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 codeName="{657A6CF4-780A-29F0-665F-34B82A1D2417}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Rennan\Documents\PROJETO EM ANDAMENTO BOM JARDIM\COLÉGIO TABOÃO\"/>
    </mc:Choice>
  </mc:AlternateContent>
  <xr:revisionPtr revIDLastSave="0" documentId="13_ncr:1_{ACBD0119-AFA6-4D7E-9829-1A182CA87895}" xr6:coauthVersionLast="47" xr6:coauthVersionMax="47" xr10:uidLastSave="{00000000-0000-0000-0000-000000000000}"/>
  <bookViews>
    <workbookView xWindow="-108" yWindow="-108" windowWidth="23256" windowHeight="12456" tabRatio="801" activeTab="7" xr2:uid="{00000000-000D-0000-FFFF-FFFF00000000}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BM!$C$15:$C$32</definedName>
    <definedName name="_xlnm._FilterDatabase" localSheetId="5" hidden="1">CÁLCULO!$C$15:$C$32</definedName>
    <definedName name="_xlnm._FilterDatabase" localSheetId="7" hidden="1">CRONO!$F$13:$F$180</definedName>
    <definedName name="_xlnm._FilterDatabase" localSheetId="8" hidden="1">CRONOPLE!$A$13:$A$15</definedName>
    <definedName name="_xlnm._FilterDatabase" localSheetId="4" hidden="1">ORÇAMENTO!$L$15:$L$32</definedName>
    <definedName name="_xlnm._FilterDatabase" localSheetId="9" hidden="1">PLE!$A$13:$A$79</definedName>
    <definedName name="_xlnm._FilterDatabase" localSheetId="10" hidden="1">QCI!$C$13:$C$25</definedName>
    <definedName name="_xlnm._FilterDatabase" localSheetId="12" hidden="1">RRE!$D$13:$D$30</definedName>
    <definedName name="ACOMPANHAMENTO" hidden="1">IF(VALUE(MENU!$O$4)=2,"BM","PLE")</definedName>
    <definedName name="_xlnm.Print_Area" localSheetId="3">BDI!$J$1:$S$132</definedName>
    <definedName name="_xlnm.Print_Area" localSheetId="11">BM!$D$1:$O$47</definedName>
    <definedName name="_xlnm.Print_Area" localSheetId="5">CÁLCULO!$E$1:$AA$40</definedName>
    <definedName name="_xlnm.Print_Area" localSheetId="7">CRONO!$H$1:$AF$180</definedName>
    <definedName name="_xlnm.Print_Area" localSheetId="0">MENU!$A$1:$I$25</definedName>
    <definedName name="_xlnm.Print_Area" localSheetId="13">OFÍCIO!$A$1:$G$56</definedName>
    <definedName name="_xlnm.Print_Area" localSheetId="4">ORÇAMENTO!$O$1:$Y$49</definedName>
    <definedName name="_xlnm.Print_Area" localSheetId="9">PLE!$B$3:$AG$80</definedName>
    <definedName name="_xlnm.Print_Area" localSheetId="10">QCI!$D$1:$O$37</definedName>
    <definedName name="_xlnm.Print_Area" localSheetId="12">RRE!$E$1:$P$49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BM!$C$15:$C$32</definedName>
    <definedName name="BM.firstrow" hidden="1">BM!$15:$15</definedName>
    <definedName name="BM.FormulaMed" hidden="1">BM!$AO$7</definedName>
    <definedName name="BM.lastrow" hidden="1">BM!$32:$32</definedName>
    <definedName name="BM.LinhaPadrão" hidden="1">BM!$14:$14</definedName>
    <definedName name="BM.MaxMed" hidden="1">IF(RegimeExecucao="Global",1,BM!$G1)</definedName>
    <definedName name="BM.MCAIXA.Filter" hidden="1">BM!$C$15:$Z$32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CÁLCULO!$C$15:$C$32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CÁLCULO!$32:$32</definedName>
    <definedName name="CÁLCULO.LinhaPadrão" hidden="1">CÁLCULO!$14:$14</definedName>
    <definedName name="CÁLCULO.margemrow" hidden="1">CÁLCULO!$40:$40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CÁLCULO!$32:$32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CÁLCULO!$32:$32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CÁLCULO!$32:$32</definedName>
    <definedName name="CÁLCULO.NúmeroDeEventos" hidden="1">IF(AUTOEVENTO&lt;&gt;"manual",MAX(CÁLCULO!$M$15:$M$32),MAX(OFFSET(EVENTOS!$C$14:$C$65,1,0)))</definedName>
    <definedName name="CÁLCULO.NúmeroDeFrentes" hidden="1">COLUMN(CÁLCULO!$AA$15)-COLUMN(CÁLCULO!$Q$15)</definedName>
    <definedName name="CÁLCULO.TotalAdmLocal" hidden="1">IF(AUTOEVENTO="manual",SUMIF(CÁLCULO!$M$15:$M$32,1,ORÇAMENTO!$X$15:$X$32),0)</definedName>
    <definedName name="CRONO.ColunaPadrão" hidden="1">CRONO!$D:$D</definedName>
    <definedName name="CRONO.Filtro" hidden="1">CRONO!$F$13:$F$180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CRONO!$175:$175</definedName>
    <definedName name="CRONO.LinhaPadrão" hidden="1">CRONO!$1:$3</definedName>
    <definedName name="CRONO.LinhasNecessarias" hidden="1">COUNTIF(QCI!$B$13:$B$24,"Manual")+COUNTIF(QCI!$B$13:$B$24,"SemiAuto")+COUNT(ORÇAMENTO.ListaCrono)</definedName>
    <definedName name="CRONO.margemrow" hidden="1">CRONO!$180:$180</definedName>
    <definedName name="CRONO.MaxParc" hidden="1">CRONO!$G1048576+CRONO!A1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CRONOPLE!$65:$65</definedName>
    <definedName name="CRONOPLE.LinhaPadrão" hidden="1">CRONOPLE!$1:$1</definedName>
    <definedName name="CRONOPLE.margemrow" hidden="1">CRONOPLE!$66:$66</definedName>
    <definedName name="CRONOPLE.ValorDoEvento" hidden="1">SUMIF(CÁLCULO!$M$15:$M$32,CRONOPLE!$B1,OFFSET(CÁLCULO!$AA$15:$AA$32,0,CRONOPLE!A$12))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EVENTOS!$65:$65</definedName>
    <definedName name="EVENTOS.LinhaPadrão" hidden="1">EVENTOS!$14:$14</definedName>
    <definedName name="EVENTOS.Lista" hidden="1">EVENTOS!$C$15:OFFSET(EVENTOS!$C$65,-1,0)</definedName>
    <definedName name="EVENTOS.ListaValidacao" hidden="1">EVENTOS!$B$15:OFFSET(EVENTOS!$B$65,-1,0)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BM!$D$35</definedName>
    <definedName name="Import.BMAFAcumulado" hidden="1">OFFSET(BM!$R$15,1,0):OFFSET(BM!$R$32,-1,0)</definedName>
    <definedName name="Import.BMArred" hidden="1">BM!$A$9</definedName>
    <definedName name="Import.CNPJ" hidden="1">DADOS!$F$39</definedName>
    <definedName name="Import.Código" hidden="1">OFFSET(ORÇAMENTO!$Q$15,1,0):OFFSET(ORÇAMENTO!$Q$32,-1,0)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OFFSET(CRONOPLE!$F$15,1,1):OFFSET(CRONOPLE!$AF$65,-1,-1)</definedName>
    <definedName name="Import.CTEF" hidden="1">DADOS!$F$37</definedName>
    <definedName name="Import.CustoUnitário" hidden="1">OFFSET(ORÇAMENTO!$U$15,1,0):OFFSET(ORÇAMENTO!$U$32,-1,0)</definedName>
    <definedName name="Import.DataBase" hidden="1">OFFSET(DADOS!$G$19,0,-1)</definedName>
    <definedName name="Import.DataBaseLicit" hidden="1">OFFSET(DADOS!$G$41,0,-1)</definedName>
    <definedName name="Import.DataEmissaoLicit" hidden="1">DADOS!$F$36</definedName>
    <definedName name="Import.DataInicioObra" hidden="1">DADOS!$F$47</definedName>
    <definedName name="Import.DescLote" hidden="1">DADOS!$F$17</definedName>
    <definedName name="Import.Descrição" hidden="1">OFFSET(ORÇAMENTO!$R$15,1,0):OFFSET(ORÇAMENTO!$R$32,-1,0)</definedName>
    <definedName name="Import.Desoneracao" hidden="1">OFFSET(DADOS!$G$18,0,-1)</definedName>
    <definedName name="Import.empresa" hidden="1">DADOS!$F$38</definedName>
    <definedName name="Import.Eventos.Nível" hidden="1">EVENTOS!$C$6</definedName>
    <definedName name="Import.Eventos.Nomes" hidden="1">OFFSET(EVENTOS!$D$15,1,0):OFFSET(EVENTOS!$D$65,-1,0)</definedName>
    <definedName name="Import.Fonte" hidden="1">OFFSET(ORÇAMENTO!$P$15,1,0):OFFSET(ORÇAMENTO!$P$32,-1,0)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OFFSET(ORÇAMENTO!$M$15,1,0):OFFSET(ORÇAMENTO!$M$32,-1,0)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OFFSET(ORÇAMENTO!$V$15,1,0):OFFSET(ORÇAMENTO!$V$32,-1,0)</definedName>
    <definedName name="Import.ORÇAMENTO.DivRecurso" hidden="1">OFFSET(ORÇAMENTO!$Y$15,1,0):OFFSET(ORÇAMENTO!$Y$32,-1,0)</definedName>
    <definedName name="Import.ORÇAMENTO.Obs" hidden="1">ORÇAMENTO!$O$38</definedName>
    <definedName name="Import.PLE" hidden="1">OFFSET(PLE!$G$15,1,1):OFFSET(PLE!$AG$65,-1,-1)</definedName>
    <definedName name="Import.PLE.Datas" hidden="1">PLE!$I$68:$AF$68</definedName>
    <definedName name="Import.PLQ" hidden="1">OFFSET(CÁLCULO!$P$15,1,1):OFFSET(CÁLCULO!$AA$32,-1,-1)</definedName>
    <definedName name="Import.PLQ.MemCalc" hidden="1">OFFSET(CÁLCULO!$I$15,1,0):OFFSET(CÁLCULO!$I$32,-1,0)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OFFSET(QCI!$V$13,1,0):OFFSET(QCI!$V$24,-1,0)</definedName>
    <definedName name="Import.QCI.ItemInv" hidden="1">OFFSET(QCI!$E$13,1,0):OFFSET(QCI!$E$24,-1,0)</definedName>
    <definedName name="Import.QCI.Obs" hidden="1">QCI!$D$28</definedName>
    <definedName name="Import.QCI.Qtde" hidden="1">OFFSET(QCI!$I$13,1,0):OFFSET(QCI!$I$24,-1,0)</definedName>
    <definedName name="Import.QCI.Situacao" hidden="1">OFFSET(QCI!$H$13,1,0):OFFSET(QCI!$H$24,-1,0)</definedName>
    <definedName name="Import.QCI.SubItemInv" hidden="1">OFFSET(QCI!$F$13,1,0):OFFSET(QCI!$F$24,-1,0)</definedName>
    <definedName name="Import.QCICP" hidden="1">OFFSET(QCI!$W$13,1,0):OFFSET(QCI!$W$24,-1,0)</definedName>
    <definedName name="Import.QCIDesc" hidden="1">OFFSET(QCI!$R$13,1,0):OFFSET(QCI!$R$24,-1,0)</definedName>
    <definedName name="Import.QCIInv" hidden="1">OFFSET(QCI!$U$13,1,0):OFFSET(QCI!$U$24,-1,0)</definedName>
    <definedName name="Import.QCILote" hidden="1">OFFSET(QCI!$T$13,1,0):OFFSET(QCI!$T$24,-1,0)</definedName>
    <definedName name="Import.QCIOutros" hidden="1">OFFSET(QCI!$X$13,1,0):OFFSET(QCI!$X$24,-1,0)</definedName>
    <definedName name="Import.Quantidade" hidden="1">OFFSET(ORÇAMENTO!$AJ$15,1,0):OFFSET(ORÇAMENTO!$AJ$32,-1,0)</definedName>
    <definedName name="import.recurso" hidden="1">DADOS!$F$4</definedName>
    <definedName name="Import.RegimeExecução" hidden="1">OFFSET(DADOS!$G$40,0,-1)</definedName>
    <definedName name="Import.Repasse" hidden="1">DADOS!$F$9</definedName>
    <definedName name="Import.RespFiscalização" hidden="1">DADOS!$F$51:$F$54</definedName>
    <definedName name="Import.RespOrçamento" hidden="1">DADOS!$F$22:$F$24</definedName>
    <definedName name="Import.RRE.Financeiro" hidden="1">RRE!$M$47:$O$49</definedName>
    <definedName name="Import.RRE.Obs" hidden="1">RRE!$E$31</definedName>
    <definedName name="Import.RRE.Social" hidden="1">RRE!$F$47:$G$49</definedName>
    <definedName name="Import.SICONV" hidden="1">DADOS!$F$8</definedName>
    <definedName name="Import.TipoArredondamento" hidden="1">DADOS!$F$31</definedName>
    <definedName name="Import.TransfereGOV" hidden="1">DADOS!$F$8</definedName>
    <definedName name="Import.Unidade" hidden="1">OFFSET(ORÇAMENTO!$S$15,1,0):OFFSET(ORÇAMENTO!$S$32,-1,0)</definedName>
    <definedName name="Import.UnitarioLicitado" hidden="1">OFFSET(ORÇAMENTO!$AL$15,1,0):OFFSET(ORÇAMENTO!$AL$32,-1,0)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ORÇAMENTO!$L$15:$L$32</definedName>
    <definedName name="ORÇAMENTO.firstrow" hidden="1">ORÇAMENTO!$15:$15</definedName>
    <definedName name="ORÇAMENTO.Fonte" hidden="1">ORÇAMENTO!$P1</definedName>
    <definedName name="ORÇAMENTO.lastrow" hidden="1">ORÇAMENTO!$32:$32</definedName>
    <definedName name="ORÇAMENTO.LinhaPadrão" hidden="1">ORÇAMENTO!$14:$14</definedName>
    <definedName name="ORÇAMENTO.ListaCrono" hidden="1">OFFSET(ORÇAMENTO!$AD$15,1,0):OFFSET(ORÇAMENTO!$AD$32,-1,0)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OFFSET(ORÇAMENTO!$P$15,1,0):OFFSET(ORÇAMENTO!$S$32,-1,0)</definedName>
    <definedName name="ORÇAMENTO.PasteFormat2" hidden="1">OFFSET(ORÇAMENTO!$U$15,1,0):OFFSET(ORÇAMENTO!$V$32,-1,0)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OFFSET(ORÇAMENTO!$T$15,1,0):OFFSET(ORÇAMENTO!$T$32,-1,0)</definedName>
    <definedName name="ORÇAMENTO.SumCPMANUAL" hidden="1">SUMIF(ORÇAMENTO!$Z$15:$Z$32,"CP",ORÇAMENTO!$AA$15:$AA$32)</definedName>
    <definedName name="ORÇAMENTO.SumINVMANUAL" hidden="1">SUMIF(ORÇAMENTO!$Z$15:$Z$32,"RP",ORÇAMENTO!$X$15:$X$32)+SUMIF(ORÇAMENTO!$Z$15:$Z$32,"CP",ORÇAMENTO!$X$15:$X$32)+SUMIF(ORÇAMENTO!$Z$15:$Z$32,"OU",ORÇAMENTO!$X$15:$X$32)</definedName>
    <definedName name="ORÇAMENTO.SumOUTROSMANUAL" hidden="1">SUMIF(ORÇAMENTO!$Z$15:$Z$32,"OU",ORÇAMENTO!$AB$15:$AB$32)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PLE!$A$13:$A$79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PLE!$65:$65</definedName>
    <definedName name="PLE.LinhaPadrão" hidden="1">PLE!$1:$1</definedName>
    <definedName name="PLE.margemrow" hidden="1">PLE!$80:$80</definedName>
    <definedName name="PLE.Medicao" hidden="1">PLE!$J$9</definedName>
    <definedName name="PLE.MEDIÇÕES.firstrow" hidden="1">PLE!$66:$66</definedName>
    <definedName name="PLE.MEDIÇÕES.lastrow" hidden="1">PLE!$74:$74</definedName>
    <definedName name="PLE.MEDIÇÕES.LinhaPadrão" hidden="1">PLE!$66:$73</definedName>
    <definedName name="PLE.ValorDoEvento" hidden="1">SUMIF(CÁLCULO!$M$15:$M$32,PLE!$B1,OFFSET(CÁLCULO!$AA$15:$AA$32,0,PLE!A$12))</definedName>
    <definedName name="PO.ValoresBDI" hidden="1">OFFSET(ORÇAMENTO!$AH$15,1,0):OFFSET(ORÇAMENTO!$AH$32,-1,0)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(COUNTIF(QCI!$B$13:$B$24,"Manual")+COUNTIF(QCI!$B$13:$B$24,"SemiAuto"))&gt;0</definedName>
    <definedName name="QCI.Filtro" hidden="1">QCI!$C$13:$C$25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QCI!$24:$24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SUMIF(QCI!$B$13:$B$24,"Manual",QCI!$AA$13:$AA$24)</definedName>
    <definedName name="QCI.SumINVMANUAL" hidden="1">SUMIF(QCI!$B$13:$B$24,"Manual",QCI!$O$13:$O$24)</definedName>
    <definedName name="QCI.SumOUTROSMANUAL" hidden="1">SUMIF(QCI!$B$13:$B$24,"Manual",QCI!$AB$13:$AB$24)</definedName>
    <definedName name="QCI.SumREPASSEMANUAL" hidden="1">QCI.SumINVMANUAL-QCI.CPManual-QCI.OutrosManual</definedName>
    <definedName name="QCI.TotalCP" hidden="1">QCI!$M$24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RRE!$Y$26:$Z$27</definedName>
    <definedName name="RRE.Filtro" hidden="1">RRE!$D$13:$D$28</definedName>
    <definedName name="RRE.firstrow" hidden="1">RRE!$13:$13</definedName>
    <definedName name="RRE.lastrow" hidden="1">RRE!$24:$24</definedName>
    <definedName name="RRE.LinhaPadrão" hidden="1">RRE!$12:$12</definedName>
    <definedName name="RRE.MaxCPAcum" hidden="1">RRE!$AD$26</definedName>
    <definedName name="RRE.MaxCPAnt" hidden="1">RRE!$AC$26</definedName>
    <definedName name="RRE.MaxOUAcum" hidden="1">RRE!$AD$27</definedName>
    <definedName name="RRE.MaxOUAnt" hidden="1">RRE!$AC$27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3">BDI!$1:$13</definedName>
    <definedName name="_xlnm.Print_Titles" localSheetId="11">BM!$1:$15</definedName>
    <definedName name="_xlnm.Print_Titles" localSheetId="5">CÁLCULO!$E:$H,CÁLCULO!$1:$15</definedName>
    <definedName name="_xlnm.Print_Titles" localSheetId="7">CRONO!$H:$S,CRONO!$1:$13</definedName>
    <definedName name="_xlnm.Print_Titles" localSheetId="4">ORÇAMENTO!$1:$15</definedName>
    <definedName name="_xlnm.Print_Titles" localSheetId="9">PLE!$B:$E,PLE!$1:$13</definedName>
    <definedName name="_xlnm.Print_Titles" localSheetId="10">QCI!$1:$13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IF(BM!$I1=0,0,CHOOSE(MATCH(RegimeExecucao,{"Global","Unitário"},0),ROUND(ROUND(BM!XFB1,15-13*BM!$A$9)/100*BM!$I1,15-13*ORÇAMENTO!$AF$11),ROUND(ROUND(BM!XFB1,15-13*BM!$A$9)*ROUND(BM!$H1,15-13*ORÇAMENTO!$AF$10),15-13*ORÇAMENTO!$AF$11)))</definedName>
    <definedName name="VTOTALMED" hidden="1">BM!$P$14</definedName>
  </definedNames>
  <calcPr calcId="191029"/>
</workbook>
</file>

<file path=xl/calcChain.xml><?xml version="1.0" encoding="utf-8"?>
<calcChain xmlns="http://schemas.openxmlformats.org/spreadsheetml/2006/main">
  <c r="H21" i="12" l="1"/>
  <c r="G21" i="12"/>
  <c r="F21" i="12"/>
  <c r="A21" i="5"/>
  <c r="H28" i="12"/>
  <c r="G28" i="12"/>
  <c r="F28" i="12"/>
  <c r="A28" i="5"/>
  <c r="H31" i="12"/>
  <c r="G31" i="12"/>
  <c r="F31" i="12"/>
  <c r="H30" i="12"/>
  <c r="G30" i="12"/>
  <c r="F30" i="12"/>
  <c r="A31" i="5"/>
  <c r="A30" i="5"/>
  <c r="AO23" i="13" l="1"/>
  <c r="AN23" i="13"/>
  <c r="AM23" i="13"/>
  <c r="AL23" i="13"/>
  <c r="AK23" i="13"/>
  <c r="AJ23" i="13"/>
  <c r="H23" i="13"/>
  <c r="G23" i="13"/>
  <c r="AO22" i="13"/>
  <c r="AN22" i="13"/>
  <c r="AM22" i="13"/>
  <c r="AL22" i="13"/>
  <c r="AK22" i="13"/>
  <c r="AJ22" i="13"/>
  <c r="H22" i="13"/>
  <c r="G22" i="13"/>
  <c r="E22" i="13"/>
  <c r="AO21" i="13"/>
  <c r="AN21" i="13"/>
  <c r="AM21" i="13"/>
  <c r="AL21" i="13"/>
  <c r="AK21" i="13"/>
  <c r="AJ21" i="13"/>
  <c r="H21" i="13"/>
  <c r="G21" i="13"/>
  <c r="AO20" i="13"/>
  <c r="AN20" i="13"/>
  <c r="AM20" i="13"/>
  <c r="AL20" i="13"/>
  <c r="AK20" i="13"/>
  <c r="AJ20" i="13"/>
  <c r="H20" i="13"/>
  <c r="G20" i="13"/>
  <c r="AO19" i="13"/>
  <c r="AN19" i="13"/>
  <c r="AM19" i="13"/>
  <c r="AL19" i="13"/>
  <c r="AK19" i="13"/>
  <c r="AJ19" i="13"/>
  <c r="H19" i="13"/>
  <c r="G19" i="13"/>
  <c r="AO18" i="13"/>
  <c r="AN18" i="13"/>
  <c r="AM18" i="13"/>
  <c r="AL18" i="13"/>
  <c r="AK18" i="13"/>
  <c r="AJ18" i="13"/>
  <c r="H18" i="13"/>
  <c r="G18" i="13"/>
  <c r="AO17" i="13"/>
  <c r="AN17" i="13"/>
  <c r="AM17" i="13"/>
  <c r="AL17" i="13"/>
  <c r="AK17" i="13"/>
  <c r="AJ17" i="13"/>
  <c r="H17" i="13"/>
  <c r="G17" i="13"/>
  <c r="AO16" i="13"/>
  <c r="AN16" i="13"/>
  <c r="AM16" i="13"/>
  <c r="AL16" i="13"/>
  <c r="AK16" i="13"/>
  <c r="AJ16" i="13"/>
  <c r="H16" i="13"/>
  <c r="G16" i="13"/>
  <c r="AO15" i="13"/>
  <c r="AN15" i="13"/>
  <c r="AM15" i="13"/>
  <c r="AL15" i="13"/>
  <c r="AK15" i="13"/>
  <c r="AJ15" i="13"/>
  <c r="H15" i="13"/>
  <c r="G15" i="13"/>
  <c r="AO14" i="13"/>
  <c r="AN14" i="13"/>
  <c r="AM14" i="13"/>
  <c r="AL14" i="13"/>
  <c r="AK14" i="13"/>
  <c r="AJ14" i="13"/>
  <c r="H14" i="13"/>
  <c r="G14" i="13"/>
  <c r="J23" i="11"/>
  <c r="I23" i="13" s="1"/>
  <c r="D23" i="11"/>
  <c r="E23" i="13" s="1"/>
  <c r="J22" i="11"/>
  <c r="I22" i="13" s="1"/>
  <c r="D22" i="11"/>
  <c r="A22" i="11"/>
  <c r="J21" i="11"/>
  <c r="I21" i="13" s="1"/>
  <c r="D21" i="11"/>
  <c r="A21" i="11" s="1"/>
  <c r="J20" i="11"/>
  <c r="I20" i="13" s="1"/>
  <c r="D20" i="11"/>
  <c r="E20" i="13" s="1"/>
  <c r="A20" i="11"/>
  <c r="J19" i="11"/>
  <c r="I19" i="13" s="1"/>
  <c r="D19" i="11"/>
  <c r="E19" i="13" s="1"/>
  <c r="A19" i="11"/>
  <c r="J18" i="11"/>
  <c r="I18" i="13" s="1"/>
  <c r="D18" i="11"/>
  <c r="E18" i="13" s="1"/>
  <c r="A18" i="11"/>
  <c r="J17" i="11"/>
  <c r="I17" i="13" s="1"/>
  <c r="D17" i="11"/>
  <c r="E17" i="13" s="1"/>
  <c r="J16" i="11"/>
  <c r="I16" i="13" s="1"/>
  <c r="D16" i="11"/>
  <c r="A16" i="11" s="1"/>
  <c r="J15" i="11"/>
  <c r="I15" i="13" s="1"/>
  <c r="D15" i="11"/>
  <c r="A15" i="11" s="1"/>
  <c r="J14" i="11"/>
  <c r="I14" i="13" s="1"/>
  <c r="D14" i="11"/>
  <c r="E14" i="13" s="1"/>
  <c r="A14" i="8"/>
  <c r="A17" i="8" s="1"/>
  <c r="A20" i="8" s="1"/>
  <c r="B16" i="10"/>
  <c r="B17" i="10" s="1"/>
  <c r="B18" i="10" s="1"/>
  <c r="B16" i="9"/>
  <c r="B17" i="9" s="1"/>
  <c r="B18" i="9" s="1"/>
  <c r="B19" i="9" s="1"/>
  <c r="B20" i="9" s="1"/>
  <c r="C16" i="7"/>
  <c r="B16" i="7" s="1"/>
  <c r="A29" i="5"/>
  <c r="A27" i="5"/>
  <c r="A26" i="5"/>
  <c r="A25" i="5"/>
  <c r="A24" i="5"/>
  <c r="A23" i="5"/>
  <c r="A22" i="5"/>
  <c r="A20" i="5"/>
  <c r="A19" i="5"/>
  <c r="A18" i="5"/>
  <c r="A17" i="5"/>
  <c r="C16" i="5"/>
  <c r="N16" i="5" s="1"/>
  <c r="A16" i="5"/>
  <c r="P7" i="13"/>
  <c r="E28" i="14" s="1"/>
  <c r="C15" i="14"/>
  <c r="L4" i="13"/>
  <c r="I5" i="12"/>
  <c r="F4" i="11"/>
  <c r="D7" i="10"/>
  <c r="J8" i="8"/>
  <c r="L5" i="4"/>
  <c r="C14" i="15"/>
  <c r="C52" i="3"/>
  <c r="G5" i="6" a="1"/>
  <c r="G5" i="6" s="1"/>
  <c r="Q5" i="5" a="1"/>
  <c r="Q5" i="5" s="1"/>
  <c r="F9" i="5"/>
  <c r="F8" i="5"/>
  <c r="F25" i="2"/>
  <c r="P85" i="4" s="1"/>
  <c r="C51" i="3"/>
  <c r="C47" i="3"/>
  <c r="C43" i="3"/>
  <c r="C41" i="3"/>
  <c r="C39" i="3"/>
  <c r="S108" i="4"/>
  <c r="S68" i="4"/>
  <c r="S28" i="4"/>
  <c r="E2" i="15"/>
  <c r="C34" i="3"/>
  <c r="C32" i="3"/>
  <c r="Q13" i="6"/>
  <c r="R13" i="6" s="1"/>
  <c r="S13" i="6" s="1"/>
  <c r="T13" i="6" s="1"/>
  <c r="U13" i="6" s="1"/>
  <c r="V13" i="6" s="1"/>
  <c r="W13" i="6" s="1"/>
  <c r="X13" i="6" s="1"/>
  <c r="Y13" i="6" s="1"/>
  <c r="Z13" i="6" s="1"/>
  <c r="A12" i="6"/>
  <c r="AX13" i="6"/>
  <c r="AY13" i="6" s="1"/>
  <c r="AZ13" i="6" s="1"/>
  <c r="AB13" i="6"/>
  <c r="AB12" i="6" s="1"/>
  <c r="AM13" i="6"/>
  <c r="AM12" i="6" s="1"/>
  <c r="H12" i="10"/>
  <c r="H11" i="10" s="1"/>
  <c r="S27" i="4"/>
  <c r="S29" i="4" s="1"/>
  <c r="BG15" i="6"/>
  <c r="BF15" i="6"/>
  <c r="BE15" i="6"/>
  <c r="BD15" i="6"/>
  <c r="BC15" i="6"/>
  <c r="BB15" i="6"/>
  <c r="BA15" i="6"/>
  <c r="AZ15" i="6"/>
  <c r="AY15" i="6"/>
  <c r="AX15" i="6"/>
  <c r="I69" i="10"/>
  <c r="N9" i="10"/>
  <c r="G12" i="9"/>
  <c r="G11" i="9" s="1"/>
  <c r="C20" i="3"/>
  <c r="C22" i="3"/>
  <c r="C24" i="3"/>
  <c r="C26" i="3"/>
  <c r="C28" i="3"/>
  <c r="C19" i="3"/>
  <c r="C15" i="3"/>
  <c r="C14" i="3"/>
  <c r="C12" i="3"/>
  <c r="I36" i="11"/>
  <c r="I35" i="11"/>
  <c r="Z178" i="8" a="1"/>
  <c r="T38" i="6" a="1"/>
  <c r="T40" i="6" s="1"/>
  <c r="I38" i="6" a="1"/>
  <c r="I39" i="6" s="1"/>
  <c r="AB13" i="12"/>
  <c r="AC13" i="12" s="1"/>
  <c r="AD13" i="12" s="1"/>
  <c r="AE13" i="12" s="1"/>
  <c r="AF13" i="12" s="1"/>
  <c r="AG13" i="12" s="1"/>
  <c r="AH13" i="12" s="1"/>
  <c r="AI13" i="12" s="1"/>
  <c r="AJ13" i="12" s="1"/>
  <c r="AK13" i="12" s="1"/>
  <c r="AL13" i="12" s="1"/>
  <c r="AM13" i="12" s="1"/>
  <c r="C2" i="4"/>
  <c r="Z7" i="11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2" i="8"/>
  <c r="C11" i="10"/>
  <c r="A14" i="5"/>
  <c r="C14" i="5" s="1"/>
  <c r="B14" i="6" s="1"/>
  <c r="AV15" i="6"/>
  <c r="AU15" i="6"/>
  <c r="AT15" i="6"/>
  <c r="AS15" i="6"/>
  <c r="AR15" i="6"/>
  <c r="AQ15" i="6"/>
  <c r="AP15" i="6"/>
  <c r="AO15" i="6"/>
  <c r="AN15" i="6"/>
  <c r="AM15" i="6"/>
  <c r="D12" i="11"/>
  <c r="A12" i="11" s="1"/>
  <c r="L39" i="13"/>
  <c r="F48" i="2"/>
  <c r="S107" i="4"/>
  <c r="S109" i="4" s="1"/>
  <c r="I95" i="4" s="1"/>
  <c r="S67" i="4"/>
  <c r="S69" i="4" s="1"/>
  <c r="I92" i="4" s="1"/>
  <c r="C8" i="4"/>
  <c r="C9" i="4"/>
  <c r="C10" i="4"/>
  <c r="C11" i="4"/>
  <c r="C12" i="4"/>
  <c r="C13" i="4"/>
  <c r="L46" i="13"/>
  <c r="A1" i="8"/>
  <c r="C10" i="15"/>
  <c r="G22" i="15"/>
  <c r="C22" i="15"/>
  <c r="E24" i="15"/>
  <c r="E22" i="15"/>
  <c r="G18" i="15"/>
  <c r="E18" i="15"/>
  <c r="C18" i="15"/>
  <c r="C12" i="15"/>
  <c r="E12" i="15"/>
  <c r="G10" i="15"/>
  <c r="E10" i="15"/>
  <c r="B20" i="15"/>
  <c r="B16" i="15"/>
  <c r="B8" i="15"/>
  <c r="Q8" i="5"/>
  <c r="O1" i="4"/>
  <c r="A3" i="4"/>
  <c r="C3" i="4" s="1"/>
  <c r="J5" i="4"/>
  <c r="N5" i="4"/>
  <c r="J8" i="4"/>
  <c r="C14" i="4"/>
  <c r="A15" i="4"/>
  <c r="C15" i="4" s="1"/>
  <c r="A16" i="4"/>
  <c r="A17" i="4" s="1"/>
  <c r="A18" i="4" s="1"/>
  <c r="C20" i="4"/>
  <c r="A21" i="4"/>
  <c r="A22" i="4" s="1"/>
  <c r="A23" i="4" s="1"/>
  <c r="A24" i="4" s="1"/>
  <c r="A25" i="4" s="1"/>
  <c r="C25" i="4" s="1"/>
  <c r="J21" i="4"/>
  <c r="R21" i="4"/>
  <c r="J22" i="4"/>
  <c r="R22" i="4"/>
  <c r="J23" i="4"/>
  <c r="R23" i="4"/>
  <c r="J24" i="4"/>
  <c r="R24" i="4"/>
  <c r="J25" i="4"/>
  <c r="R25" i="4"/>
  <c r="C26" i="4"/>
  <c r="A27" i="4"/>
  <c r="C32" i="4"/>
  <c r="A33" i="4"/>
  <c r="A34" i="4" s="1"/>
  <c r="A35" i="4" s="1"/>
  <c r="N35" i="4"/>
  <c r="C38" i="4"/>
  <c r="C39" i="4"/>
  <c r="C40" i="4"/>
  <c r="C41" i="4"/>
  <c r="C42" i="4"/>
  <c r="C43" i="4"/>
  <c r="C44" i="4"/>
  <c r="J38" i="4"/>
  <c r="A45" i="4"/>
  <c r="J40" i="4"/>
  <c r="J45" i="4"/>
  <c r="K50" i="4" a="1"/>
  <c r="K52" i="4" s="1"/>
  <c r="J61" i="4"/>
  <c r="R61" i="4"/>
  <c r="J62" i="4"/>
  <c r="R62" i="4"/>
  <c r="J63" i="4"/>
  <c r="R63" i="4"/>
  <c r="J64" i="4"/>
  <c r="R64" i="4"/>
  <c r="J65" i="4"/>
  <c r="R65" i="4"/>
  <c r="N75" i="4"/>
  <c r="J78" i="4"/>
  <c r="J80" i="4"/>
  <c r="J85" i="4"/>
  <c r="K90" i="4" a="1"/>
  <c r="K92" i="4" s="1"/>
  <c r="J101" i="4"/>
  <c r="R101" i="4"/>
  <c r="J102" i="4"/>
  <c r="R102" i="4"/>
  <c r="J103" i="4"/>
  <c r="R103" i="4"/>
  <c r="J104" i="4"/>
  <c r="R104" i="4"/>
  <c r="J105" i="4"/>
  <c r="R105" i="4"/>
  <c r="N115" i="4"/>
  <c r="J118" i="4"/>
  <c r="J120" i="4"/>
  <c r="J125" i="4"/>
  <c r="K130" i="4" a="1"/>
  <c r="K131" i="4" s="1"/>
  <c r="E2" i="12"/>
  <c r="E1" i="12"/>
  <c r="D5" i="12"/>
  <c r="F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D15" i="12"/>
  <c r="AB15" i="12"/>
  <c r="D41" i="12"/>
  <c r="E42" i="12"/>
  <c r="K44" i="12" a="1"/>
  <c r="K46" i="12" s="1"/>
  <c r="F1" i="6"/>
  <c r="F2" i="6"/>
  <c r="E5" i="6"/>
  <c r="I5" i="6"/>
  <c r="K5" i="6"/>
  <c r="S5" i="6"/>
  <c r="U5" i="6"/>
  <c r="O13" i="6"/>
  <c r="O15" i="6" s="1"/>
  <c r="B15" i="6"/>
  <c r="C15" i="6"/>
  <c r="D15" i="6"/>
  <c r="E15" i="6"/>
  <c r="B32" i="6"/>
  <c r="C32" i="6"/>
  <c r="F36" i="6"/>
  <c r="R4" i="8"/>
  <c r="R5" i="8"/>
  <c r="Y7" i="8"/>
  <c r="AE7" i="8"/>
  <c r="H8" i="8"/>
  <c r="K8" i="8"/>
  <c r="T8" i="8"/>
  <c r="Y8" i="8"/>
  <c r="AE8" i="8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S166" i="8"/>
  <c r="S171" i="8"/>
  <c r="H176" i="8"/>
  <c r="B1" i="9"/>
  <c r="E12" i="9"/>
  <c r="E11" i="9" s="1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C9" i="7"/>
  <c r="C14" i="7"/>
  <c r="B14" i="7" s="1"/>
  <c r="B15" i="7"/>
  <c r="C8" i="3"/>
  <c r="C9" i="3"/>
  <c r="C18" i="14"/>
  <c r="C19" i="14"/>
  <c r="B22" i="14"/>
  <c r="B24" i="14"/>
  <c r="B30" i="14"/>
  <c r="B54" i="14"/>
  <c r="B55" i="14"/>
  <c r="R2" i="5"/>
  <c r="O5" i="5"/>
  <c r="R5" i="5"/>
  <c r="S5" i="5"/>
  <c r="O42" i="5"/>
  <c r="R7" i="5"/>
  <c r="S7" i="5"/>
  <c r="V7" i="5"/>
  <c r="W7" i="5"/>
  <c r="X7" i="5"/>
  <c r="R8" i="5"/>
  <c r="S8" i="5"/>
  <c r="U13" i="5"/>
  <c r="V13" i="5"/>
  <c r="AH13" i="5"/>
  <c r="M15" i="5"/>
  <c r="N15" i="5"/>
  <c r="O15" i="5"/>
  <c r="O45" i="5"/>
  <c r="T47" i="5" a="1"/>
  <c r="T47" i="5" s="1"/>
  <c r="B1" i="10"/>
  <c r="H4" i="10"/>
  <c r="V6" i="10"/>
  <c r="AE6" i="10"/>
  <c r="B7" i="10"/>
  <c r="H7" i="10"/>
  <c r="O7" i="10"/>
  <c r="V7" i="10"/>
  <c r="AE7" i="10"/>
  <c r="F12" i="10"/>
  <c r="F11" i="10" s="1"/>
  <c r="B75" i="10"/>
  <c r="W77" i="10" a="1"/>
  <c r="W78" i="10" s="1"/>
  <c r="D4" i="11"/>
  <c r="G4" i="11"/>
  <c r="J4" i="11"/>
  <c r="M6" i="11"/>
  <c r="D7" i="11"/>
  <c r="L7" i="11"/>
  <c r="M7" i="11"/>
  <c r="N7" i="11"/>
  <c r="J12" i="11"/>
  <c r="I12" i="13" s="1"/>
  <c r="L13" i="11"/>
  <c r="L9" i="11" s="1"/>
  <c r="D33" i="11"/>
  <c r="F1" i="13"/>
  <c r="E4" i="13"/>
  <c r="I4" i="13"/>
  <c r="P4" i="13"/>
  <c r="M6" i="13"/>
  <c r="E7" i="13"/>
  <c r="I7" i="13"/>
  <c r="M7" i="13"/>
  <c r="N7" i="13"/>
  <c r="M11" i="13"/>
  <c r="Y11" i="13"/>
  <c r="G12" i="13"/>
  <c r="H12" i="13"/>
  <c r="J25" i="13"/>
  <c r="AC2" i="13" s="1"/>
  <c r="E35" i="13"/>
  <c r="E39" i="13"/>
  <c r="F40" i="13"/>
  <c r="M40" i="13"/>
  <c r="E41" i="13"/>
  <c r="F41" i="13"/>
  <c r="L41" i="13"/>
  <c r="M41" i="13"/>
  <c r="M42" i="13"/>
  <c r="L43" i="13"/>
  <c r="M43" i="13"/>
  <c r="E46" i="13"/>
  <c r="E48" i="13"/>
  <c r="L48" i="13"/>
  <c r="E49" i="13"/>
  <c r="L49" i="13"/>
  <c r="D39" i="12"/>
  <c r="K50" i="4"/>
  <c r="I15" i="12"/>
  <c r="O15" i="12"/>
  <c r="M15" i="12"/>
  <c r="J15" i="12" s="1"/>
  <c r="K130" i="4"/>
  <c r="AO12" i="13"/>
  <c r="AL12" i="13"/>
  <c r="AK12" i="13"/>
  <c r="AJ12" i="13"/>
  <c r="AM12" i="13"/>
  <c r="AN12" i="13"/>
  <c r="W80" i="10"/>
  <c r="K69" i="10"/>
  <c r="M69" i="10" s="1"/>
  <c r="O69" i="10" s="1"/>
  <c r="Q69" i="10" s="1"/>
  <c r="S69" i="10" s="1"/>
  <c r="U69" i="10" s="1"/>
  <c r="W69" i="10" s="1"/>
  <c r="Y69" i="10" s="1"/>
  <c r="AA69" i="10" s="1"/>
  <c r="AC69" i="10" s="1"/>
  <c r="AE69" i="10" s="1"/>
  <c r="C45" i="4"/>
  <c r="A46" i="4"/>
  <c r="A47" i="4" s="1"/>
  <c r="A48" i="4" s="1"/>
  <c r="C48" i="4" s="1"/>
  <c r="A28" i="4"/>
  <c r="A29" i="4" s="1"/>
  <c r="C29" i="4" s="1"/>
  <c r="C27" i="4"/>
  <c r="C34" i="4"/>
  <c r="E12" i="13"/>
  <c r="O8" i="5"/>
  <c r="C16" i="4" l="1"/>
  <c r="C33" i="4"/>
  <c r="A49" i="4"/>
  <c r="C49" i="4" s="1"/>
  <c r="O7" i="11"/>
  <c r="A23" i="11"/>
  <c r="A19" i="4"/>
  <c r="C19" i="4" s="1"/>
  <c r="C18" i="4"/>
  <c r="C47" i="4"/>
  <c r="C23" i="4"/>
  <c r="A14" i="11"/>
  <c r="A30" i="4"/>
  <c r="C46" i="4"/>
  <c r="E16" i="13"/>
  <c r="C28" i="4"/>
  <c r="K47" i="12"/>
  <c r="C21" i="4"/>
  <c r="C22" i="4"/>
  <c r="C17" i="4"/>
  <c r="K132" i="4"/>
  <c r="E15" i="13"/>
  <c r="A17" i="11"/>
  <c r="E21" i="13"/>
  <c r="B39" i="14"/>
  <c r="A23" i="8"/>
  <c r="B16" i="5"/>
  <c r="B19" i="10"/>
  <c r="B21" i="9"/>
  <c r="C17" i="7"/>
  <c r="W79" i="10"/>
  <c r="I16" i="5"/>
  <c r="E16" i="12"/>
  <c r="W16" i="5"/>
  <c r="H16" i="12" s="1"/>
  <c r="AE16" i="5"/>
  <c r="F16" i="5"/>
  <c r="C17" i="5"/>
  <c r="G16" i="5"/>
  <c r="H16" i="5"/>
  <c r="K44" i="12"/>
  <c r="D16" i="6"/>
  <c r="A16" i="12"/>
  <c r="B16" i="6"/>
  <c r="A16" i="6" s="1"/>
  <c r="T49" i="5"/>
  <c r="B37" i="14"/>
  <c r="C14" i="14"/>
  <c r="O7" i="13"/>
  <c r="T39" i="6"/>
  <c r="P125" i="4"/>
  <c r="H179" i="8"/>
  <c r="I40" i="6"/>
  <c r="I38" i="6"/>
  <c r="AX12" i="6"/>
  <c r="AC13" i="6"/>
  <c r="AN13" i="6"/>
  <c r="B14" i="5"/>
  <c r="F14" i="5"/>
  <c r="I80" i="4"/>
  <c r="G15" i="9"/>
  <c r="M15" i="6"/>
  <c r="L35" i="13"/>
  <c r="H15" i="10"/>
  <c r="N15" i="12"/>
  <c r="I86" i="4"/>
  <c r="I88" i="4"/>
  <c r="I83" i="4"/>
  <c r="S110" i="4"/>
  <c r="H5" i="5" s="1"/>
  <c r="X8" i="5" s="1"/>
  <c r="I55" i="4"/>
  <c r="I69" i="4"/>
  <c r="I12" i="10"/>
  <c r="H12" i="9"/>
  <c r="I12" i="9" s="1"/>
  <c r="I70" i="4"/>
  <c r="I63" i="4"/>
  <c r="I82" i="4"/>
  <c r="I56" i="4"/>
  <c r="I58" i="4"/>
  <c r="I67" i="4"/>
  <c r="L15" i="12"/>
  <c r="K15" i="12" s="1"/>
  <c r="I72" i="4"/>
  <c r="I60" i="4"/>
  <c r="I78" i="4"/>
  <c r="I71" i="4"/>
  <c r="I66" i="4"/>
  <c r="I116" i="4"/>
  <c r="I79" i="4"/>
  <c r="I130" i="4"/>
  <c r="I76" i="4"/>
  <c r="I122" i="4"/>
  <c r="N10" i="12"/>
  <c r="I104" i="4"/>
  <c r="I119" i="4"/>
  <c r="S30" i="4"/>
  <c r="F5" i="5" s="1"/>
  <c r="A36" i="4"/>
  <c r="C35" i="4"/>
  <c r="C30" i="4"/>
  <c r="A31" i="4"/>
  <c r="C31" i="4" s="1"/>
  <c r="AZ12" i="6"/>
  <c r="BA13" i="6"/>
  <c r="I112" i="4"/>
  <c r="I117" i="4"/>
  <c r="I126" i="4"/>
  <c r="I121" i="4"/>
  <c r="I96" i="4"/>
  <c r="I109" i="4"/>
  <c r="I105" i="4"/>
  <c r="I115" i="4"/>
  <c r="I98" i="4"/>
  <c r="I125" i="4"/>
  <c r="I113" i="4"/>
  <c r="I111" i="4"/>
  <c r="I101" i="4"/>
  <c r="I132" i="4"/>
  <c r="I108" i="4"/>
  <c r="I103" i="4"/>
  <c r="I129" i="4"/>
  <c r="I100" i="4"/>
  <c r="I127" i="4"/>
  <c r="I124" i="4"/>
  <c r="I107" i="4"/>
  <c r="I106" i="4"/>
  <c r="I94" i="4"/>
  <c r="I118" i="4"/>
  <c r="I131" i="4"/>
  <c r="I128" i="4"/>
  <c r="I114" i="4"/>
  <c r="I102" i="4"/>
  <c r="I120" i="4"/>
  <c r="I97" i="4"/>
  <c r="I123" i="4"/>
  <c r="C24" i="4"/>
  <c r="I110" i="4"/>
  <c r="I99" i="4"/>
  <c r="Z179" i="8"/>
  <c r="Z180" i="8"/>
  <c r="Z178" i="8"/>
  <c r="P45" i="4"/>
  <c r="K14" i="5"/>
  <c r="J14" i="5"/>
  <c r="H14" i="5"/>
  <c r="A14" i="12"/>
  <c r="D14" i="5"/>
  <c r="B14" i="12" s="1"/>
  <c r="AD14" i="5"/>
  <c r="E14" i="5"/>
  <c r="G14" i="5"/>
  <c r="AE14" i="5"/>
  <c r="N14" i="5"/>
  <c r="I62" i="4"/>
  <c r="I74" i="4"/>
  <c r="I68" i="4"/>
  <c r="I61" i="4"/>
  <c r="I64" i="4"/>
  <c r="I87" i="4"/>
  <c r="I89" i="4"/>
  <c r="I57" i="4"/>
  <c r="I73" i="4"/>
  <c r="I93" i="4"/>
  <c r="I85" i="4"/>
  <c r="I84" i="4"/>
  <c r="I77" i="4"/>
  <c r="I65" i="4"/>
  <c r="I54" i="4"/>
  <c r="I59" i="4"/>
  <c r="I90" i="4"/>
  <c r="I81" i="4"/>
  <c r="I75" i="4"/>
  <c r="I91" i="4"/>
  <c r="E45" i="12"/>
  <c r="B78" i="10"/>
  <c r="F39" i="6"/>
  <c r="O48" i="5"/>
  <c r="D36" i="11"/>
  <c r="M8" i="12"/>
  <c r="AO7" i="12"/>
  <c r="AY12" i="6"/>
  <c r="W77" i="10"/>
  <c r="A4" i="4"/>
  <c r="K51" i="4"/>
  <c r="K45" i="12"/>
  <c r="S70" i="4"/>
  <c r="G5" i="5" s="1"/>
  <c r="W8" i="5" s="1"/>
  <c r="K91" i="4"/>
  <c r="T38" i="6"/>
  <c r="K90" i="4"/>
  <c r="T48" i="5"/>
  <c r="AH28" i="5" l="1"/>
  <c r="AH21" i="5"/>
  <c r="AH30" i="5"/>
  <c r="AH31" i="5"/>
  <c r="W17" i="5"/>
  <c r="H17" i="12" s="1"/>
  <c r="R17" i="5"/>
  <c r="E17" i="12" s="1"/>
  <c r="E16" i="5"/>
  <c r="E17" i="5" s="1"/>
  <c r="F16" i="6"/>
  <c r="B42" i="14"/>
  <c r="A26" i="8"/>
  <c r="F17" i="5"/>
  <c r="AE17" i="5"/>
  <c r="H17" i="5"/>
  <c r="B17" i="7"/>
  <c r="C18" i="7"/>
  <c r="B22" i="9"/>
  <c r="B20" i="10"/>
  <c r="B17" i="5"/>
  <c r="G17" i="5"/>
  <c r="I17" i="5"/>
  <c r="N17" i="5"/>
  <c r="D17" i="6" s="1"/>
  <c r="B17" i="6"/>
  <c r="A17" i="6" s="1"/>
  <c r="C18" i="5"/>
  <c r="A17" i="12"/>
  <c r="AD16" i="5"/>
  <c r="AN16" i="6"/>
  <c r="AM16" i="6"/>
  <c r="BG16" i="6"/>
  <c r="BF16" i="6"/>
  <c r="BE16" i="6"/>
  <c r="BC16" i="6"/>
  <c r="BB16" i="6"/>
  <c r="BA16" i="6"/>
  <c r="AZ16" i="6"/>
  <c r="AY16" i="6"/>
  <c r="AX16" i="6"/>
  <c r="BD16" i="6"/>
  <c r="AS16" i="6"/>
  <c r="AR16" i="6"/>
  <c r="AQ16" i="6"/>
  <c r="AP16" i="6"/>
  <c r="AO16" i="6"/>
  <c r="N16" i="6"/>
  <c r="AU16" i="6"/>
  <c r="AT16" i="6"/>
  <c r="M16" i="6"/>
  <c r="AV16" i="6"/>
  <c r="H16" i="6"/>
  <c r="T16" i="5" s="1"/>
  <c r="G16" i="12" s="1"/>
  <c r="G16" i="6"/>
  <c r="AH20" i="5"/>
  <c r="AH19" i="5"/>
  <c r="AH17" i="5"/>
  <c r="AN17" i="5" s="1"/>
  <c r="AH26" i="5"/>
  <c r="AH25" i="5"/>
  <c r="AH16" i="5"/>
  <c r="AN16" i="5" s="1"/>
  <c r="AH18" i="5"/>
  <c r="AH27" i="5"/>
  <c r="AH23" i="5"/>
  <c r="AH22" i="5"/>
  <c r="AH29" i="5"/>
  <c r="AH24" i="5"/>
  <c r="AC12" i="6"/>
  <c r="AD13" i="6"/>
  <c r="H11" i="9"/>
  <c r="AO13" i="6"/>
  <c r="AN12" i="6"/>
  <c r="B8" i="14"/>
  <c r="I10" i="13"/>
  <c r="I11" i="9"/>
  <c r="J12" i="9"/>
  <c r="I11" i="10"/>
  <c r="J12" i="10"/>
  <c r="AH14" i="5"/>
  <c r="V8" i="5"/>
  <c r="D14" i="6"/>
  <c r="BB13" i="6"/>
  <c r="C4" i="4"/>
  <c r="A5" i="4"/>
  <c r="J14" i="12"/>
  <c r="L14" i="12"/>
  <c r="C36" i="4"/>
  <c r="A37" i="4"/>
  <c r="C37" i="4" s="1"/>
  <c r="A18" i="12" l="1"/>
  <c r="J18" i="12" s="1"/>
  <c r="A14" i="13"/>
  <c r="B14" i="11"/>
  <c r="G14" i="11" s="1"/>
  <c r="F14" i="13" s="1"/>
  <c r="AD18" i="5"/>
  <c r="AE18" i="5"/>
  <c r="N18" i="5"/>
  <c r="D18" i="6" s="1"/>
  <c r="F17" i="6"/>
  <c r="D18" i="5"/>
  <c r="B18" i="12" s="1"/>
  <c r="H18" i="5"/>
  <c r="AD17" i="5"/>
  <c r="A29" i="8"/>
  <c r="C19" i="7"/>
  <c r="B18" i="7"/>
  <c r="F18" i="5"/>
  <c r="J18" i="5"/>
  <c r="K18" i="5"/>
  <c r="B18" i="5"/>
  <c r="C19" i="5" s="1"/>
  <c r="B18" i="6"/>
  <c r="G18" i="5"/>
  <c r="B21" i="10"/>
  <c r="B23" i="9"/>
  <c r="AC16" i="6"/>
  <c r="E18" i="5"/>
  <c r="AN17" i="6"/>
  <c r="AM17" i="6"/>
  <c r="BG17" i="6"/>
  <c r="BF17" i="6"/>
  <c r="BE17" i="6"/>
  <c r="BC17" i="6"/>
  <c r="BB17" i="6"/>
  <c r="BA17" i="6"/>
  <c r="AZ17" i="6"/>
  <c r="AY17" i="6"/>
  <c r="AX17" i="6"/>
  <c r="AU17" i="6"/>
  <c r="AT17" i="6"/>
  <c r="AS17" i="6"/>
  <c r="AR17" i="6"/>
  <c r="AQ17" i="6"/>
  <c r="AP17" i="6"/>
  <c r="AO17" i="6"/>
  <c r="BD17" i="6"/>
  <c r="AV17" i="6"/>
  <c r="N17" i="6"/>
  <c r="M17" i="6"/>
  <c r="H17" i="6"/>
  <c r="T17" i="5" s="1"/>
  <c r="G17" i="12" s="1"/>
  <c r="G17" i="6"/>
  <c r="AB16" i="6"/>
  <c r="AE13" i="6"/>
  <c r="AF13" i="6" s="1"/>
  <c r="AD12" i="6"/>
  <c r="AD16" i="6" s="1"/>
  <c r="AO12" i="6"/>
  <c r="AP13" i="6"/>
  <c r="K12" i="10"/>
  <c r="J11" i="10"/>
  <c r="K12" i="9"/>
  <c r="W14" i="5"/>
  <c r="H14" i="12" s="1"/>
  <c r="AN14" i="5"/>
  <c r="BC13" i="6"/>
  <c r="BB12" i="6"/>
  <c r="A14" i="6"/>
  <c r="N14" i="6" s="1"/>
  <c r="K14" i="12"/>
  <c r="C5" i="4"/>
  <c r="A6" i="4"/>
  <c r="AC3" i="6"/>
  <c r="L18" i="12" l="1"/>
  <c r="K18" i="12" s="1"/>
  <c r="C20" i="5"/>
  <c r="C14" i="13"/>
  <c r="K14" i="13" s="1"/>
  <c r="K14" i="11"/>
  <c r="J14" i="13" s="1"/>
  <c r="F19" i="5"/>
  <c r="A19" i="12"/>
  <c r="E19" i="5"/>
  <c r="AD19" i="5"/>
  <c r="B19" i="6"/>
  <c r="A32" i="8"/>
  <c r="AC17" i="6"/>
  <c r="G19" i="5"/>
  <c r="H19" i="5"/>
  <c r="W19" i="5"/>
  <c r="H19" i="12" s="1"/>
  <c r="AB17" i="6"/>
  <c r="AE19" i="5"/>
  <c r="B19" i="5"/>
  <c r="B22" i="10"/>
  <c r="B24" i="9"/>
  <c r="N19" i="5"/>
  <c r="D19" i="6" s="1"/>
  <c r="C20" i="7"/>
  <c r="B19" i="7"/>
  <c r="H18" i="6"/>
  <c r="T18" i="5" s="1"/>
  <c r="AD17" i="6"/>
  <c r="AD3" i="6"/>
  <c r="AB3" i="6"/>
  <c r="AQ13" i="6"/>
  <c r="L12" i="9"/>
  <c r="K11" i="9"/>
  <c r="M14" i="6"/>
  <c r="AX14" i="6" s="1"/>
  <c r="L12" i="10"/>
  <c r="AF12" i="6"/>
  <c r="AG13" i="6"/>
  <c r="A7" i="4"/>
  <c r="C7" i="4" s="1"/>
  <c r="C6" i="4"/>
  <c r="BC12" i="6"/>
  <c r="BD13" i="6"/>
  <c r="AE20" i="5" l="1"/>
  <c r="C21" i="5"/>
  <c r="F18" i="12"/>
  <c r="G20" i="5"/>
  <c r="D20" i="5"/>
  <c r="B20" i="12" s="1"/>
  <c r="AD20" i="5"/>
  <c r="B20" i="6"/>
  <c r="A20" i="12"/>
  <c r="J20" i="12" s="1"/>
  <c r="C22" i="5"/>
  <c r="C23" i="5" s="1"/>
  <c r="H20" i="5"/>
  <c r="N20" i="5"/>
  <c r="D20" i="6" s="1"/>
  <c r="K20" i="5"/>
  <c r="J20" i="5"/>
  <c r="F20" i="5"/>
  <c r="B20" i="5"/>
  <c r="E20" i="5"/>
  <c r="A35" i="8"/>
  <c r="C21" i="7"/>
  <c r="B20" i="7"/>
  <c r="B25" i="9"/>
  <c r="B23" i="10"/>
  <c r="AF16" i="6"/>
  <c r="AF17" i="6"/>
  <c r="H19" i="6"/>
  <c r="T19" i="5" s="1"/>
  <c r="A19" i="6"/>
  <c r="G18" i="12"/>
  <c r="AO14" i="6"/>
  <c r="BD14" i="6"/>
  <c r="AQ12" i="6"/>
  <c r="AR13" i="6"/>
  <c r="AR14" i="6" s="1"/>
  <c r="AZ14" i="6"/>
  <c r="BC14" i="6"/>
  <c r="BA14" i="6"/>
  <c r="AP14" i="6"/>
  <c r="AQ14" i="6"/>
  <c r="AN14" i="6"/>
  <c r="AM14" i="6"/>
  <c r="AY14" i="6"/>
  <c r="L11" i="9"/>
  <c r="M12" i="9"/>
  <c r="BB14" i="6"/>
  <c r="L11" i="10"/>
  <c r="M12" i="10"/>
  <c r="AH13" i="6"/>
  <c r="AG12" i="6"/>
  <c r="BD12" i="6"/>
  <c r="BE13" i="6"/>
  <c r="BE14" i="6" s="1"/>
  <c r="Z69" i="4"/>
  <c r="Y29" i="4"/>
  <c r="Z21" i="4"/>
  <c r="Y64" i="4"/>
  <c r="X21" i="4"/>
  <c r="Y24" i="4"/>
  <c r="X103" i="4"/>
  <c r="Y102" i="4"/>
  <c r="Y101" i="4"/>
  <c r="Y21" i="4"/>
  <c r="X105" i="4"/>
  <c r="Y103" i="4"/>
  <c r="Z62" i="4"/>
  <c r="X29" i="4"/>
  <c r="X109" i="4"/>
  <c r="X101" i="4"/>
  <c r="Z23" i="4"/>
  <c r="Y62" i="4"/>
  <c r="X62" i="4"/>
  <c r="Z109" i="4"/>
  <c r="Z103" i="4"/>
  <c r="Z102" i="4"/>
  <c r="Z24" i="4"/>
  <c r="X61" i="4"/>
  <c r="Z63" i="4"/>
  <c r="X23" i="4"/>
  <c r="X65" i="4"/>
  <c r="Z105" i="4"/>
  <c r="Y104" i="4"/>
  <c r="Z61" i="4"/>
  <c r="Z29" i="4"/>
  <c r="Y65" i="4"/>
  <c r="Y109" i="4"/>
  <c r="Z104" i="4"/>
  <c r="Y69" i="4"/>
  <c r="X25" i="4"/>
  <c r="Z25" i="4"/>
  <c r="X22" i="4"/>
  <c r="X63" i="4"/>
  <c r="Y25" i="4"/>
  <c r="Y22" i="4"/>
  <c r="Z65" i="4"/>
  <c r="X69" i="4"/>
  <c r="U69" i="4" s="1"/>
  <c r="Y61" i="4"/>
  <c r="X102" i="4"/>
  <c r="X104" i="4"/>
  <c r="X64" i="4"/>
  <c r="Y105" i="4"/>
  <c r="Y63" i="4"/>
  <c r="Z22" i="4"/>
  <c r="Z101" i="4"/>
  <c r="Z64" i="4"/>
  <c r="X24" i="4"/>
  <c r="Y23" i="4"/>
  <c r="AD21" i="5" l="1"/>
  <c r="A21" i="12"/>
  <c r="K21" i="5"/>
  <c r="G21" i="5"/>
  <c r="G22" i="5" s="1"/>
  <c r="G23" i="5" s="1"/>
  <c r="J21" i="5"/>
  <c r="F21" i="5"/>
  <c r="F22" i="5" s="1"/>
  <c r="F23" i="5" s="1"/>
  <c r="B21" i="5"/>
  <c r="B22" i="5" s="1"/>
  <c r="B23" i="5" s="1"/>
  <c r="AE21" i="5"/>
  <c r="N21" i="5"/>
  <c r="E21" i="5"/>
  <c r="B21" i="6"/>
  <c r="H21" i="5"/>
  <c r="H22" i="5" s="1"/>
  <c r="H23" i="5" s="1"/>
  <c r="D21" i="5"/>
  <c r="B21" i="12" s="1"/>
  <c r="F20" i="12"/>
  <c r="L20" i="12"/>
  <c r="K20" i="12" s="1"/>
  <c r="A22" i="12"/>
  <c r="L22" i="12" s="1"/>
  <c r="AD22" i="5"/>
  <c r="D22" i="5"/>
  <c r="B22" i="12" s="1"/>
  <c r="N22" i="5"/>
  <c r="D22" i="6" s="1"/>
  <c r="K22" i="5"/>
  <c r="B22" i="6"/>
  <c r="F19" i="12"/>
  <c r="G19" i="6"/>
  <c r="E19" i="12"/>
  <c r="F19" i="6"/>
  <c r="AE22" i="5"/>
  <c r="J22" i="5"/>
  <c r="E22" i="5"/>
  <c r="E23" i="5" s="1"/>
  <c r="M19" i="6"/>
  <c r="AG19" i="6" s="1"/>
  <c r="A38" i="8"/>
  <c r="B24" i="10"/>
  <c r="B26" i="9"/>
  <c r="C22" i="7"/>
  <c r="B21" i="7"/>
  <c r="N19" i="6"/>
  <c r="A23" i="12"/>
  <c r="B23" i="6"/>
  <c r="AD23" i="5"/>
  <c r="AE23" i="5"/>
  <c r="K23" i="5"/>
  <c r="J23" i="5"/>
  <c r="C24" i="5"/>
  <c r="N23" i="5"/>
  <c r="D23" i="5"/>
  <c r="B23" i="12" s="1"/>
  <c r="AG16" i="6"/>
  <c r="AG17" i="6"/>
  <c r="G19" i="12"/>
  <c r="H20" i="6"/>
  <c r="T20" i="5" s="1"/>
  <c r="U109" i="4"/>
  <c r="K112" i="4" s="1"/>
  <c r="AS13" i="6"/>
  <c r="AR12" i="6"/>
  <c r="M11" i="10"/>
  <c r="N12" i="10"/>
  <c r="M11" i="9"/>
  <c r="N12" i="9"/>
  <c r="AH12" i="6"/>
  <c r="AI13" i="6"/>
  <c r="U29" i="4"/>
  <c r="J72" i="4"/>
  <c r="K72" i="4"/>
  <c r="BF13" i="6"/>
  <c r="BE12" i="6"/>
  <c r="D21" i="6" l="1"/>
  <c r="L21" i="12"/>
  <c r="J21" i="12"/>
  <c r="BF14" i="6"/>
  <c r="J22" i="12"/>
  <c r="K22" i="12" s="1"/>
  <c r="AQ19" i="6"/>
  <c r="BB19" i="6"/>
  <c r="AZ19" i="6"/>
  <c r="AX19" i="6"/>
  <c r="AC19" i="6"/>
  <c r="AY19" i="6"/>
  <c r="BA19" i="6"/>
  <c r="AF19" i="6"/>
  <c r="AB19" i="6"/>
  <c r="AD19" i="6"/>
  <c r="BE19" i="6"/>
  <c r="BD19" i="6"/>
  <c r="AP19" i="6"/>
  <c r="AM19" i="6"/>
  <c r="AO19" i="6"/>
  <c r="AR19" i="6"/>
  <c r="AN19" i="6"/>
  <c r="BC19" i="6"/>
  <c r="A41" i="8"/>
  <c r="B27" i="9"/>
  <c r="B22" i="7"/>
  <c r="C23" i="7"/>
  <c r="AS19" i="6"/>
  <c r="B25" i="10"/>
  <c r="D23" i="6"/>
  <c r="G20" i="12"/>
  <c r="BF19" i="6"/>
  <c r="L23" i="12"/>
  <c r="J23" i="12"/>
  <c r="AH16" i="6"/>
  <c r="AH17" i="6"/>
  <c r="AH19" i="6"/>
  <c r="I19" i="5"/>
  <c r="H22" i="6"/>
  <c r="T22" i="5" s="1"/>
  <c r="A24" i="12"/>
  <c r="B24" i="6"/>
  <c r="N24" i="5"/>
  <c r="J24" i="5"/>
  <c r="F24" i="5"/>
  <c r="H24" i="5"/>
  <c r="G24" i="5"/>
  <c r="D24" i="5"/>
  <c r="B24" i="12" s="1"/>
  <c r="E24" i="5"/>
  <c r="AE24" i="5"/>
  <c r="K24" i="5"/>
  <c r="B24" i="5"/>
  <c r="AD24" i="5"/>
  <c r="J112" i="4"/>
  <c r="AS14" i="6"/>
  <c r="AT13" i="6"/>
  <c r="AS12" i="6"/>
  <c r="O12" i="9"/>
  <c r="N11" i="9"/>
  <c r="O12" i="10"/>
  <c r="N11" i="10"/>
  <c r="AI12" i="6"/>
  <c r="AJ13" i="6"/>
  <c r="K32" i="4"/>
  <c r="J32" i="4"/>
  <c r="BG13" i="6"/>
  <c r="BG14" i="6" s="1"/>
  <c r="BF12" i="6"/>
  <c r="H21" i="6" l="1"/>
  <c r="T21" i="5" s="1"/>
  <c r="K21" i="12"/>
  <c r="F22" i="12"/>
  <c r="F23" i="12"/>
  <c r="K23" i="12"/>
  <c r="A44" i="8"/>
  <c r="B26" i="10"/>
  <c r="B23" i="7"/>
  <c r="C24" i="7"/>
  <c r="B28" i="9"/>
  <c r="AI16" i="6"/>
  <c r="AI17" i="6"/>
  <c r="AI19" i="6"/>
  <c r="J24" i="12"/>
  <c r="L24" i="12"/>
  <c r="AT19" i="6"/>
  <c r="D24" i="6"/>
  <c r="G22" i="12"/>
  <c r="H23" i="6"/>
  <c r="T23" i="5" s="1"/>
  <c r="C25" i="5"/>
  <c r="BG19" i="6"/>
  <c r="AT12" i="6"/>
  <c r="AU13" i="6"/>
  <c r="AT14" i="6"/>
  <c r="P12" i="10"/>
  <c r="O11" i="10"/>
  <c r="O11" i="9"/>
  <c r="P12" i="9"/>
  <c r="AJ12" i="6"/>
  <c r="AK13" i="6"/>
  <c r="AK12" i="6" s="1"/>
  <c r="BG12" i="6"/>
  <c r="F24" i="12" l="1"/>
  <c r="A47" i="8"/>
  <c r="K24" i="12"/>
  <c r="C25" i="7"/>
  <c r="B24" i="7"/>
  <c r="B27" i="10"/>
  <c r="B29" i="9"/>
  <c r="AK16" i="6"/>
  <c r="AK17" i="6"/>
  <c r="AK19" i="6"/>
  <c r="G23" i="12"/>
  <c r="A25" i="12"/>
  <c r="B25" i="6"/>
  <c r="C26" i="5"/>
  <c r="N25" i="5"/>
  <c r="J25" i="5"/>
  <c r="F25" i="5"/>
  <c r="K25" i="5"/>
  <c r="H25" i="5"/>
  <c r="G25" i="5"/>
  <c r="E25" i="5"/>
  <c r="D25" i="5"/>
  <c r="B25" i="12" s="1"/>
  <c r="B25" i="5"/>
  <c r="AE25" i="5"/>
  <c r="AD25" i="5"/>
  <c r="H24" i="6"/>
  <c r="T24" i="5" s="1"/>
  <c r="AJ16" i="6"/>
  <c r="AJ17" i="6"/>
  <c r="AJ19" i="6"/>
  <c r="AU19" i="6"/>
  <c r="AU12" i="6"/>
  <c r="AV13" i="6"/>
  <c r="AU14" i="6"/>
  <c r="Q12" i="9"/>
  <c r="P11" i="9"/>
  <c r="Q12" i="10"/>
  <c r="P11" i="10"/>
  <c r="A50" i="8" l="1"/>
  <c r="B30" i="9"/>
  <c r="B28" i="10"/>
  <c r="C26" i="7"/>
  <c r="B25" i="7"/>
  <c r="G24" i="12"/>
  <c r="L25" i="12"/>
  <c r="J25" i="12"/>
  <c r="D25" i="6"/>
  <c r="AV19" i="6"/>
  <c r="A26" i="12"/>
  <c r="B26" i="6"/>
  <c r="B26" i="5"/>
  <c r="C27" i="5" s="1"/>
  <c r="C28" i="5" s="1"/>
  <c r="N26" i="5"/>
  <c r="K26" i="5"/>
  <c r="J26" i="5"/>
  <c r="E26" i="5"/>
  <c r="H26" i="5"/>
  <c r="G26" i="5"/>
  <c r="F26" i="5"/>
  <c r="D26" i="5"/>
  <c r="B26" i="12" s="1"/>
  <c r="AD26" i="5"/>
  <c r="AE26" i="5"/>
  <c r="AV12" i="6"/>
  <c r="AV14" i="6"/>
  <c r="Q11" i="10"/>
  <c r="R12" i="10"/>
  <c r="R12" i="9"/>
  <c r="Q11" i="9"/>
  <c r="B28" i="6" l="1"/>
  <c r="A28" i="12"/>
  <c r="K28" i="5"/>
  <c r="N28" i="5"/>
  <c r="AD28" i="5"/>
  <c r="D28" i="5"/>
  <c r="B28" i="12" s="1"/>
  <c r="J28" i="5"/>
  <c r="AE28" i="5"/>
  <c r="F25" i="12"/>
  <c r="K25" i="12"/>
  <c r="A53" i="8"/>
  <c r="B29" i="10"/>
  <c r="C27" i="7"/>
  <c r="B26" i="7"/>
  <c r="B31" i="9"/>
  <c r="A27" i="12"/>
  <c r="B27" i="6"/>
  <c r="N27" i="5"/>
  <c r="F27" i="5"/>
  <c r="F28" i="5" s="1"/>
  <c r="H27" i="5"/>
  <c r="H28" i="5" s="1"/>
  <c r="G27" i="5"/>
  <c r="G28" i="5" s="1"/>
  <c r="E27" i="5"/>
  <c r="E28" i="5" s="1"/>
  <c r="B27" i="5"/>
  <c r="AE27" i="5"/>
  <c r="AD27" i="5"/>
  <c r="D26" i="6"/>
  <c r="H25" i="6"/>
  <c r="T25" i="5" s="1"/>
  <c r="L26" i="12"/>
  <c r="J26" i="12"/>
  <c r="R11" i="9"/>
  <c r="S12" i="9"/>
  <c r="R11" i="10"/>
  <c r="S12" i="10"/>
  <c r="B28" i="5" l="1"/>
  <c r="C29" i="5" s="1"/>
  <c r="J28" i="12"/>
  <c r="L28" i="12"/>
  <c r="D28" i="6"/>
  <c r="F26" i="12"/>
  <c r="A56" i="8"/>
  <c r="K26" i="12"/>
  <c r="B30" i="10"/>
  <c r="B32" i="9"/>
  <c r="C28" i="7"/>
  <c r="B27" i="7"/>
  <c r="H26" i="6"/>
  <c r="T26" i="5" s="1"/>
  <c r="D27" i="6"/>
  <c r="G25" i="12"/>
  <c r="T12" i="10"/>
  <c r="S11" i="10"/>
  <c r="S11" i="9"/>
  <c r="T12" i="9"/>
  <c r="C30" i="5" l="1"/>
  <c r="N29" i="5"/>
  <c r="D29" i="6" s="1"/>
  <c r="E29" i="5"/>
  <c r="A29" i="12"/>
  <c r="H29" i="5"/>
  <c r="H30" i="5" s="1"/>
  <c r="AD29" i="5"/>
  <c r="B29" i="5"/>
  <c r="F29" i="5"/>
  <c r="F30" i="5" s="1"/>
  <c r="B29" i="6"/>
  <c r="G29" i="5"/>
  <c r="G30" i="5" s="1"/>
  <c r="AE29" i="5"/>
  <c r="K28" i="12"/>
  <c r="K30" i="5"/>
  <c r="H28" i="6"/>
  <c r="T28" i="5" s="1"/>
  <c r="A59" i="8"/>
  <c r="B33" i="9"/>
  <c r="C29" i="7"/>
  <c r="B28" i="7"/>
  <c r="B31" i="10"/>
  <c r="G26" i="12"/>
  <c r="H27" i="6"/>
  <c r="T27" i="5" s="1"/>
  <c r="U12" i="10"/>
  <c r="T11" i="10"/>
  <c r="T11" i="9"/>
  <c r="U12" i="9"/>
  <c r="B30" i="5" l="1"/>
  <c r="E30" i="5"/>
  <c r="A30" i="12"/>
  <c r="J30" i="5"/>
  <c r="B30" i="6"/>
  <c r="C31" i="5"/>
  <c r="D30" i="5"/>
  <c r="B30" i="12" s="1"/>
  <c r="AD30" i="5"/>
  <c r="AE30" i="5"/>
  <c r="N30" i="5"/>
  <c r="D30" i="6" s="1"/>
  <c r="H30" i="6" s="1"/>
  <c r="T30" i="5" s="1"/>
  <c r="F29" i="12"/>
  <c r="A62" i="8"/>
  <c r="B34" i="9"/>
  <c r="B32" i="10"/>
  <c r="B29" i="7"/>
  <c r="C30" i="7"/>
  <c r="H29" i="6"/>
  <c r="T29" i="5" s="1"/>
  <c r="G27" i="12"/>
  <c r="V12" i="10"/>
  <c r="U11" i="10"/>
  <c r="V12" i="9"/>
  <c r="U11" i="9"/>
  <c r="L30" i="12" l="1"/>
  <c r="J30" i="12"/>
  <c r="B31" i="6"/>
  <c r="AE31" i="5"/>
  <c r="H31" i="5"/>
  <c r="J31" i="5"/>
  <c r="N31" i="5"/>
  <c r="D31" i="6" s="1"/>
  <c r="H31" i="6" s="1"/>
  <c r="T31" i="5" s="1"/>
  <c r="D31" i="5"/>
  <c r="B31" i="12" s="1"/>
  <c r="B31" i="5"/>
  <c r="G31" i="5"/>
  <c r="AD31" i="5"/>
  <c r="F31" i="5"/>
  <c r="E31" i="5"/>
  <c r="K31" i="5"/>
  <c r="A31" i="12"/>
  <c r="A65" i="8"/>
  <c r="B33" i="10"/>
  <c r="B35" i="9"/>
  <c r="B30" i="7"/>
  <c r="C31" i="7"/>
  <c r="G29" i="12"/>
  <c r="W12" i="9"/>
  <c r="V11" i="9"/>
  <c r="W12" i="10"/>
  <c r="V11" i="10"/>
  <c r="L31" i="12" l="1"/>
  <c r="J31" i="12"/>
  <c r="K30" i="12"/>
  <c r="A68" i="8"/>
  <c r="C32" i="7"/>
  <c r="B31" i="7"/>
  <c r="B36" i="9"/>
  <c r="B34" i="10"/>
  <c r="W11" i="10"/>
  <c r="X12" i="10"/>
  <c r="W11" i="9"/>
  <c r="X12" i="9"/>
  <c r="K31" i="12" l="1"/>
  <c r="A71" i="8"/>
  <c r="B37" i="9"/>
  <c r="B35" i="10"/>
  <c r="B32" i="7"/>
  <c r="C33" i="7"/>
  <c r="X11" i="9"/>
  <c r="Y12" i="9"/>
  <c r="Y12" i="10"/>
  <c r="X11" i="10"/>
  <c r="A74" i="8" l="1"/>
  <c r="B36" i="10"/>
  <c r="C34" i="7"/>
  <c r="B33" i="7"/>
  <c r="B38" i="9"/>
  <c r="Y11" i="10"/>
  <c r="Z12" i="10"/>
  <c r="Y11" i="9"/>
  <c r="Z12" i="9"/>
  <c r="A77" i="8" l="1"/>
  <c r="C35" i="7"/>
  <c r="B34" i="7"/>
  <c r="B39" i="9"/>
  <c r="B37" i="10"/>
  <c r="Z11" i="10"/>
  <c r="AA12" i="10"/>
  <c r="Z11" i="9"/>
  <c r="AA12" i="9"/>
  <c r="A80" i="8" l="1"/>
  <c r="B35" i="7"/>
  <c r="C36" i="7"/>
  <c r="B40" i="9"/>
  <c r="B38" i="10"/>
  <c r="AB12" i="10"/>
  <c r="AA11" i="10"/>
  <c r="AB12" i="9"/>
  <c r="AA11" i="9"/>
  <c r="A83" i="8" l="1"/>
  <c r="B41" i="9"/>
  <c r="B39" i="10"/>
  <c r="B36" i="7"/>
  <c r="C37" i="7"/>
  <c r="AB11" i="10"/>
  <c r="AC12" i="10"/>
  <c r="AC12" i="9"/>
  <c r="AB11" i="9"/>
  <c r="K29" i="5" l="1"/>
  <c r="J29" i="5"/>
  <c r="A86" i="8"/>
  <c r="B42" i="9"/>
  <c r="C38" i="7"/>
  <c r="B37" i="7"/>
  <c r="B40" i="10"/>
  <c r="AC11" i="10"/>
  <c r="AD12" i="10"/>
  <c r="AC11" i="9"/>
  <c r="AD12" i="9"/>
  <c r="D29" i="5" l="1"/>
  <c r="B29" i="12" s="1"/>
  <c r="A89" i="8"/>
  <c r="B41" i="10"/>
  <c r="C39" i="7"/>
  <c r="B38" i="7"/>
  <c r="B43" i="9"/>
  <c r="AD11" i="9"/>
  <c r="AE12" i="9"/>
  <c r="AE11" i="9" s="1"/>
  <c r="AE12" i="10"/>
  <c r="AD11" i="10"/>
  <c r="A92" i="8" l="1"/>
  <c r="B42" i="10"/>
  <c r="C40" i="7"/>
  <c r="B39" i="7"/>
  <c r="B44" i="9"/>
  <c r="AE11" i="10"/>
  <c r="AF12" i="10"/>
  <c r="AF11" i="10" s="1"/>
  <c r="A95" i="8" l="1"/>
  <c r="B45" i="9"/>
  <c r="C41" i="7"/>
  <c r="B40" i="7"/>
  <c r="B43" i="10"/>
  <c r="A98" i="8" l="1"/>
  <c r="C42" i="7"/>
  <c r="B41" i="7"/>
  <c r="B44" i="10"/>
  <c r="B46" i="9"/>
  <c r="A101" i="8" l="1"/>
  <c r="B47" i="9"/>
  <c r="B45" i="10"/>
  <c r="B42" i="7"/>
  <c r="C43" i="7"/>
  <c r="A104" i="8" l="1"/>
  <c r="B43" i="7"/>
  <c r="C44" i="7"/>
  <c r="B46" i="10"/>
  <c r="B48" i="9"/>
  <c r="A107" i="8" l="1"/>
  <c r="B44" i="7"/>
  <c r="C45" i="7"/>
  <c r="B47" i="10"/>
  <c r="B49" i="9"/>
  <c r="A110" i="8" l="1"/>
  <c r="B50" i="9"/>
  <c r="B48" i="10"/>
  <c r="C46" i="7"/>
  <c r="B45" i="7"/>
  <c r="A113" i="8" l="1"/>
  <c r="C47" i="7"/>
  <c r="B46" i="7"/>
  <c r="B49" i="10"/>
  <c r="B51" i="9"/>
  <c r="A116" i="8" l="1"/>
  <c r="B50" i="10"/>
  <c r="C48" i="7"/>
  <c r="B47" i="7"/>
  <c r="B52" i="9"/>
  <c r="A119" i="8" l="1"/>
  <c r="B53" i="9"/>
  <c r="C49" i="7"/>
  <c r="B48" i="7"/>
  <c r="B51" i="10"/>
  <c r="A122" i="8" l="1"/>
  <c r="B52" i="10"/>
  <c r="B49" i="7"/>
  <c r="C50" i="7"/>
  <c r="B54" i="9"/>
  <c r="A125" i="8" l="1"/>
  <c r="B55" i="9"/>
  <c r="B53" i="10"/>
  <c r="B50" i="7"/>
  <c r="C51" i="7"/>
  <c r="A128" i="8" l="1"/>
  <c r="B54" i="10"/>
  <c r="B56" i="9"/>
  <c r="C52" i="7"/>
  <c r="B51" i="7"/>
  <c r="A131" i="8" l="1"/>
  <c r="C53" i="7"/>
  <c r="B52" i="7"/>
  <c r="B57" i="9"/>
  <c r="B55" i="10"/>
  <c r="A134" i="8" l="1"/>
  <c r="B56" i="10"/>
  <c r="B58" i="9"/>
  <c r="C54" i="7"/>
  <c r="B53" i="7"/>
  <c r="A137" i="8" l="1"/>
  <c r="C55" i="7"/>
  <c r="B54" i="7"/>
  <c r="B59" i="9"/>
  <c r="B57" i="10"/>
  <c r="A140" i="8" l="1"/>
  <c r="B60" i="9"/>
  <c r="B58" i="10"/>
  <c r="C56" i="7"/>
  <c r="B55" i="7"/>
  <c r="A143" i="8" l="1"/>
  <c r="B56" i="7"/>
  <c r="C57" i="7"/>
  <c r="B59" i="10"/>
  <c r="B61" i="9"/>
  <c r="A146" i="8" l="1"/>
  <c r="B62" i="9"/>
  <c r="B60" i="10"/>
  <c r="B57" i="7"/>
  <c r="C58" i="7"/>
  <c r="A149" i="8" l="1"/>
  <c r="C59" i="7"/>
  <c r="B58" i="7"/>
  <c r="B61" i="10"/>
  <c r="B63" i="9"/>
  <c r="A152" i="8" l="1"/>
  <c r="C60" i="7"/>
  <c r="B59" i="7"/>
  <c r="B64" i="9"/>
  <c r="B62" i="10"/>
  <c r="A155" i="8" l="1"/>
  <c r="B63" i="10"/>
  <c r="C61" i="7"/>
  <c r="B60" i="7"/>
  <c r="A158" i="8" l="1"/>
  <c r="C62" i="7"/>
  <c r="B61" i="7"/>
  <c r="B64" i="10"/>
  <c r="A161" i="8" l="1"/>
  <c r="B62" i="7"/>
  <c r="C63" i="7"/>
  <c r="B63" i="7" l="1"/>
  <c r="C64" i="7"/>
  <c r="A28" i="6" l="1"/>
  <c r="N28" i="6" s="1"/>
  <c r="A21" i="6"/>
  <c r="A30" i="6"/>
  <c r="N30" i="6" s="1"/>
  <c r="A31" i="6"/>
  <c r="A27" i="6"/>
  <c r="A26" i="6"/>
  <c r="N26" i="6" s="1"/>
  <c r="A29" i="6"/>
  <c r="A24" i="6"/>
  <c r="M24" i="6" s="1"/>
  <c r="A25" i="6"/>
  <c r="A22" i="6"/>
  <c r="N22" i="6" s="1"/>
  <c r="A23" i="6"/>
  <c r="A18" i="6"/>
  <c r="N18" i="6" s="1"/>
  <c r="A20" i="6"/>
  <c r="B64" i="7"/>
  <c r="AE12" i="6"/>
  <c r="H14" i="6"/>
  <c r="AJ14" i="6" s="1"/>
  <c r="K11" i="10"/>
  <c r="AP12" i="6"/>
  <c r="J11" i="9"/>
  <c r="BA12" i="6"/>
  <c r="M28" i="6" l="1"/>
  <c r="M21" i="6"/>
  <c r="N21" i="6"/>
  <c r="AV28" i="6"/>
  <c r="AP28" i="6"/>
  <c r="AS28" i="6"/>
  <c r="AK28" i="6"/>
  <c r="AF28" i="6"/>
  <c r="BA28" i="6"/>
  <c r="AQ28" i="6"/>
  <c r="AU28" i="6"/>
  <c r="BC28" i="6"/>
  <c r="AZ28" i="6"/>
  <c r="AN28" i="6"/>
  <c r="BE28" i="6"/>
  <c r="AO28" i="6"/>
  <c r="AM28" i="6"/>
  <c r="BG28" i="6"/>
  <c r="AH28" i="6"/>
  <c r="BD28" i="6"/>
  <c r="AR28" i="6"/>
  <c r="AJ28" i="6"/>
  <c r="BF28" i="6"/>
  <c r="AT28" i="6"/>
  <c r="AY28" i="6"/>
  <c r="BB28" i="6"/>
  <c r="AI28" i="6"/>
  <c r="AG28" i="6"/>
  <c r="AX28" i="6"/>
  <c r="M30" i="6"/>
  <c r="BE30" i="6" s="1"/>
  <c r="M31" i="6"/>
  <c r="N31" i="6"/>
  <c r="N27" i="6"/>
  <c r="M27" i="6"/>
  <c r="M26" i="6"/>
  <c r="AJ26" i="6" s="1"/>
  <c r="N29" i="6"/>
  <c r="M29" i="6"/>
  <c r="N24" i="6"/>
  <c r="N25" i="6"/>
  <c r="M25" i="6"/>
  <c r="M22" i="6"/>
  <c r="AI22" i="6" s="1"/>
  <c r="BG24" i="6"/>
  <c r="AT24" i="6"/>
  <c r="BB24" i="6"/>
  <c r="AY24" i="6"/>
  <c r="BF24" i="6"/>
  <c r="BC24" i="6"/>
  <c r="AK24" i="6"/>
  <c r="AN24" i="6"/>
  <c r="AX24" i="6"/>
  <c r="AF24" i="6"/>
  <c r="AM24" i="6"/>
  <c r="AP24" i="6"/>
  <c r="AQ24" i="6"/>
  <c r="AU24" i="6"/>
  <c r="BE24" i="6"/>
  <c r="BD24" i="6"/>
  <c r="AI24" i="6"/>
  <c r="AH24" i="6"/>
  <c r="AG24" i="6"/>
  <c r="AS24" i="6"/>
  <c r="AZ24" i="6"/>
  <c r="BA24" i="6"/>
  <c r="AO24" i="6"/>
  <c r="AV24" i="6"/>
  <c r="AJ24" i="6"/>
  <c r="AR24" i="6"/>
  <c r="N23" i="6"/>
  <c r="M23" i="6"/>
  <c r="M18" i="6"/>
  <c r="M20" i="6"/>
  <c r="N20" i="6"/>
  <c r="AE16" i="6"/>
  <c r="AE17" i="6"/>
  <c r="AE19" i="6"/>
  <c r="AK14" i="6"/>
  <c r="T14" i="5"/>
  <c r="AB14" i="6"/>
  <c r="AE14" i="6"/>
  <c r="AD14" i="6"/>
  <c r="AH14" i="6"/>
  <c r="AC14" i="6"/>
  <c r="AG14" i="6"/>
  <c r="AI14" i="6"/>
  <c r="AF14" i="6"/>
  <c r="BD21" i="6" l="1"/>
  <c r="AJ21" i="6"/>
  <c r="AK21" i="6"/>
  <c r="AN21" i="6"/>
  <c r="AY21" i="6"/>
  <c r="BF21" i="6"/>
  <c r="AS21" i="6"/>
  <c r="AO21" i="6"/>
  <c r="BA21" i="6"/>
  <c r="AF21" i="6"/>
  <c r="BE21" i="6"/>
  <c r="AU21" i="6"/>
  <c r="BC21" i="6"/>
  <c r="AP21" i="6"/>
  <c r="AH21" i="6"/>
  <c r="AQ21" i="6"/>
  <c r="AG21" i="6"/>
  <c r="AX21" i="6"/>
  <c r="AT21" i="6"/>
  <c r="BB21" i="6"/>
  <c r="AR21" i="6"/>
  <c r="BG21" i="6"/>
  <c r="AI21" i="6"/>
  <c r="AZ21" i="6"/>
  <c r="AM21" i="6"/>
  <c r="AV21" i="6"/>
  <c r="AJ30" i="6"/>
  <c r="BC30" i="6"/>
  <c r="AN30" i="6"/>
  <c r="AU30" i="6"/>
  <c r="AZ30" i="6"/>
  <c r="AP30" i="6"/>
  <c r="AH30" i="6"/>
  <c r="AI30" i="6"/>
  <c r="AO30" i="6"/>
  <c r="AG30" i="6"/>
  <c r="AR30" i="6"/>
  <c r="BB30" i="6"/>
  <c r="BF30" i="6"/>
  <c r="AT30" i="6"/>
  <c r="BG30" i="6"/>
  <c r="AF30" i="6"/>
  <c r="AM30" i="6"/>
  <c r="AK30" i="6"/>
  <c r="AV30" i="6"/>
  <c r="BA30" i="6"/>
  <c r="AX30" i="6"/>
  <c r="AS30" i="6"/>
  <c r="AY30" i="6"/>
  <c r="AQ30" i="6"/>
  <c r="BD30" i="6"/>
  <c r="AQ31" i="6"/>
  <c r="AS31" i="6"/>
  <c r="BE31" i="6"/>
  <c r="AY31" i="6"/>
  <c r="BF31" i="6"/>
  <c r="AZ31" i="6"/>
  <c r="BD31" i="6"/>
  <c r="AF31" i="6"/>
  <c r="BB31" i="6"/>
  <c r="AU31" i="6"/>
  <c r="BC31" i="6"/>
  <c r="AV31" i="6"/>
  <c r="AN31" i="6"/>
  <c r="AG31" i="6"/>
  <c r="AH31" i="6"/>
  <c r="AM31" i="6"/>
  <c r="BA31" i="6"/>
  <c r="AT31" i="6"/>
  <c r="AJ31" i="6"/>
  <c r="AK31" i="6"/>
  <c r="AP31" i="6"/>
  <c r="AX31" i="6"/>
  <c r="AR31" i="6"/>
  <c r="BG31" i="6"/>
  <c r="AI31" i="6"/>
  <c r="AO31" i="6"/>
  <c r="AT27" i="6"/>
  <c r="BE27" i="6"/>
  <c r="BB27" i="6"/>
  <c r="BA27" i="6"/>
  <c r="AF27" i="6"/>
  <c r="AR27" i="6"/>
  <c r="AZ27" i="6"/>
  <c r="AH27" i="6"/>
  <c r="AM27" i="6"/>
  <c r="AS27" i="6"/>
  <c r="AJ27" i="6"/>
  <c r="BF27" i="6"/>
  <c r="BG27" i="6"/>
  <c r="AX27" i="6"/>
  <c r="AY27" i="6"/>
  <c r="AV27" i="6"/>
  <c r="AU27" i="6"/>
  <c r="BC27" i="6"/>
  <c r="AO27" i="6"/>
  <c r="AQ27" i="6"/>
  <c r="BD27" i="6"/>
  <c r="AI27" i="6"/>
  <c r="AK27" i="6"/>
  <c r="AN27" i="6"/>
  <c r="AG27" i="6"/>
  <c r="AP27" i="6"/>
  <c r="BB26" i="6"/>
  <c r="AX26" i="6"/>
  <c r="AQ26" i="6"/>
  <c r="AS26" i="6"/>
  <c r="BF26" i="6"/>
  <c r="AF26" i="6"/>
  <c r="AN26" i="6"/>
  <c r="BC26" i="6"/>
  <c r="AV26" i="6"/>
  <c r="BA26" i="6"/>
  <c r="AI26" i="6"/>
  <c r="AY26" i="6"/>
  <c r="AP26" i="6"/>
  <c r="AG26" i="6"/>
  <c r="AT26" i="6"/>
  <c r="BD26" i="6"/>
  <c r="AK26" i="6"/>
  <c r="AR26" i="6"/>
  <c r="AH26" i="6"/>
  <c r="AM26" i="6"/>
  <c r="AO26" i="6"/>
  <c r="AU26" i="6"/>
  <c r="AZ26" i="6"/>
  <c r="BG26" i="6"/>
  <c r="BE26" i="6"/>
  <c r="AX18" i="6"/>
  <c r="BF22" i="6"/>
  <c r="BG18" i="6"/>
  <c r="BB18" i="6"/>
  <c r="BA29" i="6"/>
  <c r="AZ29" i="6"/>
  <c r="BF29" i="6"/>
  <c r="AQ29" i="6"/>
  <c r="AH29" i="6"/>
  <c r="AN29" i="6"/>
  <c r="AS29" i="6"/>
  <c r="BB29" i="6"/>
  <c r="AG29" i="6"/>
  <c r="AO29" i="6"/>
  <c r="AU29" i="6"/>
  <c r="AR29" i="6"/>
  <c r="AI29" i="6"/>
  <c r="AM29" i="6"/>
  <c r="AK29" i="6"/>
  <c r="AY29" i="6"/>
  <c r="BG29" i="6"/>
  <c r="AF29" i="6"/>
  <c r="BD29" i="6"/>
  <c r="AT29" i="6"/>
  <c r="AJ29" i="6"/>
  <c r="BE29" i="6"/>
  <c r="AX29" i="6"/>
  <c r="BC29" i="6"/>
  <c r="AV29" i="6"/>
  <c r="AP29" i="6"/>
  <c r="AT22" i="6"/>
  <c r="AZ18" i="6"/>
  <c r="AP18" i="6"/>
  <c r="BC22" i="6"/>
  <c r="AK22" i="6"/>
  <c r="AH18" i="6"/>
  <c r="AJ22" i="6"/>
  <c r="AV18" i="6"/>
  <c r="BE18" i="6"/>
  <c r="BG22" i="6"/>
  <c r="AM22" i="6"/>
  <c r="AJ18" i="6"/>
  <c r="AT18" i="6"/>
  <c r="AS18" i="6"/>
  <c r="AN18" i="6"/>
  <c r="AG18" i="6"/>
  <c r="AY18" i="6"/>
  <c r="BD18" i="6"/>
  <c r="AX22" i="6"/>
  <c r="AG22" i="6"/>
  <c r="AS22" i="6"/>
  <c r="AH22" i="6"/>
  <c r="AP22" i="6"/>
  <c r="BA25" i="6"/>
  <c r="AQ25" i="6"/>
  <c r="AY25" i="6"/>
  <c r="AS25" i="6"/>
  <c r="AU25" i="6"/>
  <c r="AJ25" i="6"/>
  <c r="BD25" i="6"/>
  <c r="BF25" i="6"/>
  <c r="AI25" i="6"/>
  <c r="AK25" i="6"/>
  <c r="AT25" i="6"/>
  <c r="AN25" i="6"/>
  <c r="BC25" i="6"/>
  <c r="AG25" i="6"/>
  <c r="AO25" i="6"/>
  <c r="AM25" i="6"/>
  <c r="BB25" i="6"/>
  <c r="AV25" i="6"/>
  <c r="AH25" i="6"/>
  <c r="BG25" i="6"/>
  <c r="AR25" i="6"/>
  <c r="AF25" i="6"/>
  <c r="AP25" i="6"/>
  <c r="AX25" i="6"/>
  <c r="AZ25" i="6"/>
  <c r="BE25" i="6"/>
  <c r="AK18" i="6"/>
  <c r="AI18" i="6"/>
  <c r="AQ18" i="6"/>
  <c r="AM18" i="6"/>
  <c r="AR18" i="6"/>
  <c r="AO18" i="6"/>
  <c r="BA22" i="6"/>
  <c r="AY22" i="6"/>
  <c r="AR22" i="6"/>
  <c r="BB22" i="6"/>
  <c r="AN22" i="6"/>
  <c r="BD22" i="6"/>
  <c r="F15" i="7"/>
  <c r="A15" i="10" s="1"/>
  <c r="AU18" i="6"/>
  <c r="BF18" i="6"/>
  <c r="AF18" i="6"/>
  <c r="BA18" i="6"/>
  <c r="BC18" i="6"/>
  <c r="AV22" i="6"/>
  <c r="AO22" i="6"/>
  <c r="BE22" i="6"/>
  <c r="AZ22" i="6"/>
  <c r="AQ22" i="6"/>
  <c r="AU22" i="6"/>
  <c r="AF22" i="6"/>
  <c r="AF23" i="6"/>
  <c r="AR23" i="6"/>
  <c r="AN23" i="6"/>
  <c r="AG23" i="6"/>
  <c r="BF23" i="6"/>
  <c r="AH23" i="6"/>
  <c r="BG23" i="6"/>
  <c r="AI23" i="6"/>
  <c r="AY23" i="6"/>
  <c r="AX23" i="6"/>
  <c r="AO23" i="6"/>
  <c r="BD23" i="6"/>
  <c r="BC23" i="6"/>
  <c r="BE23" i="6"/>
  <c r="AP23" i="6"/>
  <c r="AM23" i="6"/>
  <c r="AU23" i="6"/>
  <c r="AS23" i="6"/>
  <c r="BA23" i="6"/>
  <c r="AJ23" i="6"/>
  <c r="AZ23" i="6"/>
  <c r="AK23" i="6"/>
  <c r="BB23" i="6"/>
  <c r="AT23" i="6"/>
  <c r="AV23" i="6"/>
  <c r="AQ23" i="6"/>
  <c r="BB20" i="6"/>
  <c r="BA20" i="6"/>
  <c r="BG20" i="6"/>
  <c r="AN20" i="6"/>
  <c r="AQ20" i="6"/>
  <c r="AP20" i="6"/>
  <c r="AI20" i="6"/>
  <c r="AY20" i="6"/>
  <c r="AX20" i="6"/>
  <c r="BD20" i="6"/>
  <c r="AG20" i="6"/>
  <c r="BF20" i="6"/>
  <c r="BC20" i="6"/>
  <c r="BE20" i="6"/>
  <c r="AS20" i="6"/>
  <c r="AM20" i="6"/>
  <c r="AT20" i="6"/>
  <c r="AF20" i="6"/>
  <c r="AZ20" i="6"/>
  <c r="AH20" i="6"/>
  <c r="AR20" i="6"/>
  <c r="AO20" i="6"/>
  <c r="AK20" i="6"/>
  <c r="AU20" i="6"/>
  <c r="AJ20" i="6"/>
  <c r="AV20" i="6"/>
  <c r="G14" i="12"/>
  <c r="X14" i="5"/>
  <c r="I14" i="12" l="1"/>
  <c r="L14" i="5"/>
  <c r="I14" i="5"/>
  <c r="Z14" i="5"/>
  <c r="AM14" i="5"/>
  <c r="AA14" i="5" l="1"/>
  <c r="AB14" i="5"/>
  <c r="O14" i="5"/>
  <c r="C14" i="6"/>
  <c r="O14" i="12"/>
  <c r="M14" i="12"/>
  <c r="C14" i="12"/>
  <c r="AO14" i="12"/>
  <c r="N14" i="12" l="1"/>
  <c r="Y14" i="12"/>
  <c r="D14" i="12"/>
  <c r="E14" i="6"/>
  <c r="W14" i="12" l="1"/>
  <c r="X14" i="12"/>
  <c r="U14" i="12" l="1"/>
  <c r="V14" i="12"/>
  <c r="T14" i="12"/>
  <c r="AE3" i="6" l="1"/>
  <c r="T6" i="6" s="1"/>
  <c r="A5" i="5" l="1"/>
  <c r="J27" i="5" l="1"/>
  <c r="K27" i="5"/>
  <c r="K19" i="5"/>
  <c r="J19" i="5"/>
  <c r="B15" i="11"/>
  <c r="B22" i="11"/>
  <c r="A23" i="13"/>
  <c r="B21" i="11"/>
  <c r="A17" i="13"/>
  <c r="A22" i="13"/>
  <c r="A16" i="13"/>
  <c r="B16" i="11"/>
  <c r="B18" i="11"/>
  <c r="B19" i="11"/>
  <c r="A20" i="13"/>
  <c r="B20" i="11"/>
  <c r="A19" i="13"/>
  <c r="A18" i="13"/>
  <c r="B23" i="11"/>
  <c r="A21" i="13"/>
  <c r="A15" i="13"/>
  <c r="B17" i="11"/>
  <c r="E14" i="8"/>
  <c r="E15" i="8" s="1"/>
  <c r="E23" i="8"/>
  <c r="E17" i="8"/>
  <c r="E18" i="8" s="1"/>
  <c r="E20" i="8"/>
  <c r="E29" i="8"/>
  <c r="E26" i="8"/>
  <c r="E35" i="8"/>
  <c r="E32" i="8"/>
  <c r="E38" i="8"/>
  <c r="E41" i="8"/>
  <c r="E47" i="8"/>
  <c r="E44" i="8"/>
  <c r="E53" i="8"/>
  <c r="E50" i="8"/>
  <c r="E62" i="8"/>
  <c r="E56" i="8"/>
  <c r="E59" i="8"/>
  <c r="E65" i="8"/>
  <c r="E68" i="8"/>
  <c r="E71" i="8"/>
  <c r="E74" i="8"/>
  <c r="E80" i="8"/>
  <c r="E77" i="8"/>
  <c r="E89" i="8"/>
  <c r="E83" i="8"/>
  <c r="E86" i="8"/>
  <c r="E92" i="8"/>
  <c r="E98" i="8"/>
  <c r="E95" i="8"/>
  <c r="E107" i="8"/>
  <c r="E104" i="8"/>
  <c r="E101" i="8"/>
  <c r="E113" i="8"/>
  <c r="E110" i="8"/>
  <c r="E116" i="8"/>
  <c r="E119" i="8"/>
  <c r="E125" i="8"/>
  <c r="E122" i="8"/>
  <c r="E134" i="8"/>
  <c r="E128" i="8"/>
  <c r="E131" i="8"/>
  <c r="E137" i="8"/>
  <c r="E143" i="8"/>
  <c r="E140" i="8"/>
  <c r="E149" i="8"/>
  <c r="E146" i="8"/>
  <c r="E152" i="8"/>
  <c r="E161" i="8"/>
  <c r="E155" i="8"/>
  <c r="E158" i="8"/>
  <c r="E1" i="8"/>
  <c r="E2" i="8" s="1"/>
  <c r="K16" i="5"/>
  <c r="J16" i="5"/>
  <c r="B12" i="11"/>
  <c r="A12" i="13"/>
  <c r="K17" i="5"/>
  <c r="J17" i="5"/>
  <c r="D27" i="5" l="1"/>
  <c r="B27" i="12" s="1"/>
  <c r="D19" i="5"/>
  <c r="B19" i="12" s="1"/>
  <c r="K23" i="11"/>
  <c r="J23" i="13" s="1"/>
  <c r="G23" i="11"/>
  <c r="F23" i="13" s="1"/>
  <c r="O23" i="11"/>
  <c r="C23" i="13"/>
  <c r="AB23" i="11"/>
  <c r="N23" i="11" s="1"/>
  <c r="AA23" i="11"/>
  <c r="B19" i="13"/>
  <c r="AB20" i="11"/>
  <c r="N20" i="11" s="1"/>
  <c r="AA20" i="11"/>
  <c r="G20" i="11"/>
  <c r="F20" i="13" s="1"/>
  <c r="O20" i="11"/>
  <c r="C20" i="13"/>
  <c r="K20" i="11"/>
  <c r="J20" i="13" s="1"/>
  <c r="B20" i="13"/>
  <c r="O18" i="11"/>
  <c r="AB18" i="11"/>
  <c r="N18" i="11" s="1"/>
  <c r="K18" i="11"/>
  <c r="J18" i="13" s="1"/>
  <c r="AA18" i="11"/>
  <c r="C18" i="13"/>
  <c r="G18" i="11"/>
  <c r="F18" i="13" s="1"/>
  <c r="C16" i="13"/>
  <c r="G16" i="11"/>
  <c r="F16" i="13" s="1"/>
  <c r="AB16" i="11"/>
  <c r="N16" i="11" s="1"/>
  <c r="AA16" i="11"/>
  <c r="O16" i="11"/>
  <c r="K16" i="11"/>
  <c r="J16" i="13" s="1"/>
  <c r="B21" i="13"/>
  <c r="B16" i="13"/>
  <c r="B18" i="13"/>
  <c r="B22" i="13"/>
  <c r="B15" i="13"/>
  <c r="AB19" i="11"/>
  <c r="N19" i="11" s="1"/>
  <c r="AA19" i="11"/>
  <c r="C19" i="13"/>
  <c r="O19" i="11"/>
  <c r="K19" i="11"/>
  <c r="J19" i="13" s="1"/>
  <c r="G19" i="11"/>
  <c r="F19" i="13" s="1"/>
  <c r="B17" i="13"/>
  <c r="K17" i="11"/>
  <c r="J17" i="13" s="1"/>
  <c r="AB17" i="11"/>
  <c r="N17" i="11" s="1"/>
  <c r="G17" i="11"/>
  <c r="F17" i="13" s="1"/>
  <c r="C17" i="13"/>
  <c r="AA17" i="11"/>
  <c r="O17" i="11"/>
  <c r="K21" i="11"/>
  <c r="J21" i="13" s="1"/>
  <c r="C21" i="13"/>
  <c r="AB21" i="11"/>
  <c r="N21" i="11" s="1"/>
  <c r="AA21" i="11"/>
  <c r="G21" i="11"/>
  <c r="F21" i="13" s="1"/>
  <c r="O21" i="11"/>
  <c r="B23" i="13"/>
  <c r="K22" i="11"/>
  <c r="J22" i="13" s="1"/>
  <c r="G22" i="11"/>
  <c r="F22" i="13" s="1"/>
  <c r="C22" i="13"/>
  <c r="O22" i="11"/>
  <c r="AB22" i="11"/>
  <c r="N22" i="11" s="1"/>
  <c r="AA22" i="11"/>
  <c r="K15" i="11"/>
  <c r="J15" i="13" s="1"/>
  <c r="AA15" i="11"/>
  <c r="G15" i="11"/>
  <c r="F15" i="13" s="1"/>
  <c r="AB15" i="11"/>
  <c r="N15" i="11" s="1"/>
  <c r="O15" i="11"/>
  <c r="C15" i="13"/>
  <c r="D16" i="5"/>
  <c r="B14" i="13" s="1"/>
  <c r="I17" i="8"/>
  <c r="L17" i="8"/>
  <c r="L14" i="8"/>
  <c r="I14" i="8"/>
  <c r="N1" i="8"/>
  <c r="R1" i="8"/>
  <c r="F1" i="8" s="1"/>
  <c r="L1" i="8"/>
  <c r="P1" i="8"/>
  <c r="H1" i="8"/>
  <c r="M1" i="8"/>
  <c r="O1" i="8"/>
  <c r="I1" i="8"/>
  <c r="B12" i="13"/>
  <c r="AA12" i="11"/>
  <c r="C12" i="13"/>
  <c r="AB12" i="11"/>
  <c r="N12" i="11" s="1"/>
  <c r="G12" i="11"/>
  <c r="F12" i="13" s="1"/>
  <c r="K12" i="11"/>
  <c r="J12" i="13" s="1"/>
  <c r="O12" i="11"/>
  <c r="D17" i="5"/>
  <c r="Z19" i="11" l="1"/>
  <c r="W19" i="11"/>
  <c r="L19" i="13"/>
  <c r="C19" i="11"/>
  <c r="C15" i="11"/>
  <c r="L15" i="13"/>
  <c r="Z15" i="11"/>
  <c r="W15" i="11"/>
  <c r="S18" i="13"/>
  <c r="R18" i="13"/>
  <c r="T18" i="13"/>
  <c r="O18" i="13"/>
  <c r="M18" i="13"/>
  <c r="K18" i="13"/>
  <c r="U18" i="13"/>
  <c r="K20" i="13"/>
  <c r="S20" i="13"/>
  <c r="R20" i="13"/>
  <c r="T20" i="13"/>
  <c r="M20" i="13"/>
  <c r="O20" i="13"/>
  <c r="U20" i="13"/>
  <c r="C22" i="11"/>
  <c r="W22" i="11"/>
  <c r="Z22" i="11"/>
  <c r="L22" i="13"/>
  <c r="D15" i="5"/>
  <c r="U19" i="13"/>
  <c r="T19" i="13"/>
  <c r="S19" i="13"/>
  <c r="K19" i="13"/>
  <c r="R19" i="13"/>
  <c r="O19" i="13"/>
  <c r="M19" i="13"/>
  <c r="K17" i="13"/>
  <c r="S17" i="13"/>
  <c r="O17" i="13"/>
  <c r="U17" i="13"/>
  <c r="T17" i="13"/>
  <c r="R17" i="13"/>
  <c r="M17" i="13"/>
  <c r="U22" i="13"/>
  <c r="R22" i="13"/>
  <c r="M22" i="13"/>
  <c r="T22" i="13"/>
  <c r="K22" i="13"/>
  <c r="S22" i="13"/>
  <c r="O22" i="13"/>
  <c r="W18" i="11"/>
  <c r="L18" i="13"/>
  <c r="C18" i="11"/>
  <c r="Z18" i="11"/>
  <c r="L21" i="13"/>
  <c r="W21" i="11"/>
  <c r="C21" i="11"/>
  <c r="Z21" i="11"/>
  <c r="L20" i="13"/>
  <c r="Z20" i="11"/>
  <c r="C20" i="11"/>
  <c r="W20" i="11"/>
  <c r="R15" i="13"/>
  <c r="O15" i="13"/>
  <c r="M15" i="13"/>
  <c r="K15" i="13"/>
  <c r="U15" i="13"/>
  <c r="S15" i="13"/>
  <c r="T15" i="13"/>
  <c r="M23" i="13"/>
  <c r="R23" i="13"/>
  <c r="K23" i="13"/>
  <c r="U23" i="13"/>
  <c r="T23" i="13"/>
  <c r="O23" i="13"/>
  <c r="S23" i="13"/>
  <c r="L16" i="13"/>
  <c r="C16" i="11"/>
  <c r="Z16" i="11"/>
  <c r="W16" i="11"/>
  <c r="T16" i="13"/>
  <c r="U16" i="13"/>
  <c r="K16" i="13"/>
  <c r="S16" i="13"/>
  <c r="O16" i="13"/>
  <c r="R16" i="13"/>
  <c r="M16" i="13"/>
  <c r="L23" i="13"/>
  <c r="W23" i="11"/>
  <c r="C23" i="11"/>
  <c r="Z23" i="11"/>
  <c r="B16" i="12"/>
  <c r="Z17" i="11"/>
  <c r="W17" i="11"/>
  <c r="C17" i="11"/>
  <c r="L17" i="13"/>
  <c r="T21" i="13"/>
  <c r="S21" i="13"/>
  <c r="R21" i="13"/>
  <c r="U21" i="13"/>
  <c r="O21" i="13"/>
  <c r="M21" i="13"/>
  <c r="K21" i="13"/>
  <c r="E21" i="8"/>
  <c r="R19" i="8"/>
  <c r="N14" i="8"/>
  <c r="P14" i="8"/>
  <c r="O14" i="8"/>
  <c r="O17" i="8"/>
  <c r="P17" i="8"/>
  <c r="R16" i="8"/>
  <c r="B17" i="12"/>
  <c r="R3" i="8"/>
  <c r="Q1" i="8"/>
  <c r="K12" i="13"/>
  <c r="O12" i="13"/>
  <c r="T12" i="13"/>
  <c r="M12" i="13"/>
  <c r="R12" i="13"/>
  <c r="S12" i="13"/>
  <c r="U12" i="13"/>
  <c r="F2" i="8"/>
  <c r="G1" i="8"/>
  <c r="I2" i="8" s="1"/>
  <c r="G2" i="8"/>
  <c r="C12" i="11"/>
  <c r="L12" i="13"/>
  <c r="Z12" i="11"/>
  <c r="W12" i="11"/>
  <c r="C22" i="9" l="1"/>
  <c r="C45" i="9"/>
  <c r="C38" i="9"/>
  <c r="C62" i="9"/>
  <c r="C61" i="10"/>
  <c r="C52" i="10"/>
  <c r="C49" i="10"/>
  <c r="C52" i="9"/>
  <c r="C29" i="9"/>
  <c r="C58" i="10"/>
  <c r="C31" i="9"/>
  <c r="C64" i="10"/>
  <c r="C16" i="9"/>
  <c r="C57" i="10"/>
  <c r="C55" i="9"/>
  <c r="C50" i="9"/>
  <c r="C43" i="10"/>
  <c r="C32" i="10"/>
  <c r="C27" i="10"/>
  <c r="C20" i="10"/>
  <c r="C54" i="9"/>
  <c r="C25" i="9"/>
  <c r="C54" i="10"/>
  <c r="C1" i="9"/>
  <c r="C51" i="10"/>
  <c r="C47" i="9"/>
  <c r="C33" i="10"/>
  <c r="C27" i="9"/>
  <c r="C24" i="9"/>
  <c r="C44" i="10"/>
  <c r="C56" i="9"/>
  <c r="C35" i="9"/>
  <c r="A1" i="10"/>
  <c r="C35" i="10"/>
  <c r="C19" i="10"/>
  <c r="C17" i="10"/>
  <c r="C59" i="10"/>
  <c r="C18" i="9"/>
  <c r="C1" i="10"/>
  <c r="A1" i="9"/>
  <c r="AJ15" i="6"/>
  <c r="Y15" i="6" s="1"/>
  <c r="C62" i="10"/>
  <c r="C58" i="9"/>
  <c r="C45" i="10"/>
  <c r="C44" i="9"/>
  <c r="C39" i="9"/>
  <c r="C28" i="10"/>
  <c r="C22" i="10"/>
  <c r="C36" i="9"/>
  <c r="C18" i="10"/>
  <c r="C42" i="10"/>
  <c r="AF15" i="6"/>
  <c r="U15" i="6" s="1"/>
  <c r="C53" i="10"/>
  <c r="C47" i="10"/>
  <c r="C32" i="9"/>
  <c r="C25" i="10"/>
  <c r="C38" i="10"/>
  <c r="C63" i="10"/>
  <c r="C41" i="9"/>
  <c r="C59" i="9"/>
  <c r="C53" i="9"/>
  <c r="C42" i="9"/>
  <c r="C37" i="10"/>
  <c r="C33" i="9"/>
  <c r="C31" i="10"/>
  <c r="C64" i="9"/>
  <c r="C56" i="10"/>
  <c r="C40" i="9"/>
  <c r="C30" i="9"/>
  <c r="C23" i="9"/>
  <c r="C26" i="9"/>
  <c r="C48" i="10"/>
  <c r="C50" i="10"/>
  <c r="C23" i="10"/>
  <c r="C60" i="10"/>
  <c r="AH15" i="6"/>
  <c r="W15" i="6" s="1"/>
  <c r="C60" i="9"/>
  <c r="C46" i="10"/>
  <c r="C40" i="10"/>
  <c r="C37" i="9"/>
  <c r="C28" i="9"/>
  <c r="C21" i="9"/>
  <c r="C24" i="10"/>
  <c r="AI15" i="6"/>
  <c r="X15" i="6" s="1"/>
  <c r="C34" i="10"/>
  <c r="C61" i="9"/>
  <c r="C55" i="10"/>
  <c r="C51" i="9"/>
  <c r="C41" i="10"/>
  <c r="C36" i="10"/>
  <c r="C34" i="9"/>
  <c r="C57" i="9"/>
  <c r="C49" i="9"/>
  <c r="C48" i="9"/>
  <c r="C43" i="9"/>
  <c r="C46" i="9"/>
  <c r="M12" i="6"/>
  <c r="AK15" i="6"/>
  <c r="Z15" i="6" s="1"/>
  <c r="C63" i="9"/>
  <c r="C30" i="10"/>
  <c r="C21" i="10"/>
  <c r="C39" i="10"/>
  <c r="AG15" i="6"/>
  <c r="V15" i="6" s="1"/>
  <c r="C29" i="10"/>
  <c r="C26" i="10"/>
  <c r="N17" i="13"/>
  <c r="P17" i="13"/>
  <c r="P20" i="13"/>
  <c r="N20" i="13"/>
  <c r="D16" i="13"/>
  <c r="D21" i="13"/>
  <c r="D18" i="13"/>
  <c r="D15" i="13"/>
  <c r="D20" i="13"/>
  <c r="P23" i="13"/>
  <c r="N23" i="13"/>
  <c r="P15" i="13"/>
  <c r="N15" i="13"/>
  <c r="D23" i="13"/>
  <c r="D17" i="13"/>
  <c r="P16" i="13"/>
  <c r="N16" i="13"/>
  <c r="P19" i="13"/>
  <c r="N19" i="13"/>
  <c r="P21" i="13"/>
  <c r="N21" i="13"/>
  <c r="D19" i="13"/>
  <c r="D22" i="13"/>
  <c r="P18" i="13"/>
  <c r="N18" i="13"/>
  <c r="P22" i="13"/>
  <c r="N22" i="13"/>
  <c r="C20" i="9"/>
  <c r="C16" i="10"/>
  <c r="C17" i="9"/>
  <c r="C19" i="9"/>
  <c r="I20" i="8"/>
  <c r="L20" i="8"/>
  <c r="V12" i="13"/>
  <c r="D12" i="13"/>
  <c r="AE3" i="8"/>
  <c r="U1" i="8"/>
  <c r="X3" i="8"/>
  <c r="D3" i="8"/>
  <c r="AE1" i="8"/>
  <c r="AB1" i="8"/>
  <c r="AC1" i="8"/>
  <c r="U3" i="8"/>
  <c r="AB3" i="8"/>
  <c r="AC3" i="8"/>
  <c r="T3" i="8"/>
  <c r="Z3" i="8"/>
  <c r="V1" i="8"/>
  <c r="W3" i="8"/>
  <c r="D1" i="8"/>
  <c r="AD3" i="8"/>
  <c r="AA1" i="8"/>
  <c r="B1" i="8"/>
  <c r="Y3" i="8"/>
  <c r="Z1" i="8"/>
  <c r="X1" i="8"/>
  <c r="T1" i="8"/>
  <c r="AA3" i="8"/>
  <c r="W1" i="8"/>
  <c r="C1" i="8"/>
  <c r="AD1" i="8"/>
  <c r="Y1" i="8"/>
  <c r="V3" i="8"/>
  <c r="E3" i="8"/>
  <c r="P12" i="13"/>
  <c r="N12" i="13"/>
  <c r="R22" i="8" l="1"/>
  <c r="E24" i="8"/>
  <c r="O20" i="8"/>
  <c r="P20" i="8"/>
  <c r="L23" i="8" l="1"/>
  <c r="P23" i="8" l="1"/>
  <c r="O23" i="8"/>
  <c r="R25" i="8"/>
  <c r="E27" i="8"/>
  <c r="L26" i="8" l="1"/>
  <c r="I26" i="8"/>
  <c r="P26" i="8" l="1"/>
  <c r="R28" i="8"/>
  <c r="E30" i="8"/>
  <c r="O26" i="8"/>
  <c r="L29" i="8" l="1"/>
  <c r="I29" i="8"/>
  <c r="H29" i="8"/>
  <c r="R29" i="8"/>
  <c r="F29" i="8" s="1"/>
  <c r="M14" i="8" l="1"/>
  <c r="Q14" i="8" s="1"/>
  <c r="M20" i="8"/>
  <c r="M17" i="8"/>
  <c r="M23" i="8"/>
  <c r="R31" i="8"/>
  <c r="E33" i="8"/>
  <c r="M26" i="8"/>
  <c r="F30" i="8"/>
  <c r="N29" i="8"/>
  <c r="O29" i="8"/>
  <c r="P29" i="8"/>
  <c r="G30" i="8"/>
  <c r="G29" i="8"/>
  <c r="I30" i="8" s="1"/>
  <c r="C14" i="8" l="1"/>
  <c r="B14" i="8"/>
  <c r="E16" i="8"/>
  <c r="H32" i="8"/>
  <c r="L32" i="8"/>
  <c r="I32" i="8"/>
  <c r="R32" i="8"/>
  <c r="F32" i="8" s="1"/>
  <c r="P32" i="8" l="1"/>
  <c r="N32" i="8"/>
  <c r="O32" i="8"/>
  <c r="F33" i="8"/>
  <c r="G32" i="8"/>
  <c r="I33" i="8" s="1"/>
  <c r="G33" i="8"/>
  <c r="R34" i="8"/>
  <c r="E36" i="8"/>
  <c r="M29" i="8"/>
  <c r="Q29" i="8" s="1"/>
  <c r="E31" i="8" l="1"/>
  <c r="D31" i="8"/>
  <c r="D29" i="8" s="1"/>
  <c r="AE31" i="8"/>
  <c r="AE29" i="8" s="1"/>
  <c r="AD31" i="8"/>
  <c r="AD29" i="8" s="1"/>
  <c r="AC31" i="8"/>
  <c r="AC29" i="8" s="1"/>
  <c r="AB31" i="8"/>
  <c r="AB29" i="8" s="1"/>
  <c r="C29" i="8"/>
  <c r="B29" i="8"/>
  <c r="AA31" i="8"/>
  <c r="AA29" i="8" s="1"/>
  <c r="Z31" i="8"/>
  <c r="Z29" i="8" s="1"/>
  <c r="Y31" i="8"/>
  <c r="Y29" i="8" s="1"/>
  <c r="W31" i="8"/>
  <c r="W29" i="8" s="1"/>
  <c r="X31" i="8"/>
  <c r="X29" i="8" s="1"/>
  <c r="V31" i="8"/>
  <c r="V29" i="8" s="1"/>
  <c r="U31" i="8"/>
  <c r="U29" i="8" s="1"/>
  <c r="T31" i="8"/>
  <c r="T29" i="8" s="1"/>
  <c r="R35" i="8"/>
  <c r="F36" i="8" s="1"/>
  <c r="L35" i="8"/>
  <c r="I35" i="8"/>
  <c r="H35" i="8"/>
  <c r="O35" i="8" l="1"/>
  <c r="F35" i="8"/>
  <c r="P35" i="8"/>
  <c r="G36" i="8"/>
  <c r="G35" i="8"/>
  <c r="I36" i="8" s="1"/>
  <c r="R37" i="8"/>
  <c r="E39" i="8"/>
  <c r="M32" i="8"/>
  <c r="Q32" i="8" s="1"/>
  <c r="N35" i="8"/>
  <c r="L38" i="8" l="1"/>
  <c r="I38" i="8"/>
  <c r="H38" i="8"/>
  <c r="R38" i="8"/>
  <c r="F39" i="8" s="1"/>
  <c r="AE34" i="8"/>
  <c r="AE32" i="8" s="1"/>
  <c r="AD34" i="8"/>
  <c r="AD32" i="8" s="1"/>
  <c r="AC34" i="8"/>
  <c r="AC32" i="8" s="1"/>
  <c r="AB34" i="8"/>
  <c r="AB32" i="8" s="1"/>
  <c r="AA34" i="8"/>
  <c r="AA32" i="8" s="1"/>
  <c r="C32" i="8"/>
  <c r="Z34" i="8"/>
  <c r="Z32" i="8" s="1"/>
  <c r="B32" i="8"/>
  <c r="Y34" i="8"/>
  <c r="Y32" i="8" s="1"/>
  <c r="X34" i="8"/>
  <c r="X32" i="8" s="1"/>
  <c r="W34" i="8"/>
  <c r="W32" i="8" s="1"/>
  <c r="V34" i="8"/>
  <c r="V32" i="8" s="1"/>
  <c r="U34" i="8"/>
  <c r="U32" i="8" s="1"/>
  <c r="T34" i="8"/>
  <c r="T32" i="8" s="1"/>
  <c r="E34" i="8"/>
  <c r="D34" i="8"/>
  <c r="D32" i="8" s="1"/>
  <c r="F38" i="8" l="1"/>
  <c r="R40" i="8"/>
  <c r="E42" i="8"/>
  <c r="M35" i="8"/>
  <c r="Q35" i="8" s="1"/>
  <c r="N38" i="8"/>
  <c r="G39" i="8"/>
  <c r="G38" i="8"/>
  <c r="I39" i="8" s="1"/>
  <c r="O38" i="8"/>
  <c r="P38" i="8"/>
  <c r="Y37" i="8" l="1"/>
  <c r="Y35" i="8" s="1"/>
  <c r="X37" i="8"/>
  <c r="X35" i="8" s="1"/>
  <c r="W37" i="8"/>
  <c r="W35" i="8" s="1"/>
  <c r="V37" i="8"/>
  <c r="V35" i="8" s="1"/>
  <c r="U37" i="8"/>
  <c r="U35" i="8" s="1"/>
  <c r="T37" i="8"/>
  <c r="T35" i="8" s="1"/>
  <c r="E37" i="8"/>
  <c r="D37" i="8"/>
  <c r="D35" i="8" s="1"/>
  <c r="AC37" i="8"/>
  <c r="AC35" i="8" s="1"/>
  <c r="AE37" i="8"/>
  <c r="AE35" i="8" s="1"/>
  <c r="C35" i="8"/>
  <c r="AD37" i="8"/>
  <c r="AD35" i="8" s="1"/>
  <c r="B35" i="8"/>
  <c r="AB37" i="8"/>
  <c r="AB35" i="8" s="1"/>
  <c r="AA37" i="8"/>
  <c r="AA35" i="8" s="1"/>
  <c r="Z37" i="8"/>
  <c r="Z35" i="8" s="1"/>
  <c r="R41" i="8"/>
  <c r="F42" i="8" s="1"/>
  <c r="L41" i="8"/>
  <c r="I41" i="8"/>
  <c r="H41" i="8"/>
  <c r="O41" i="8" l="1"/>
  <c r="P41" i="8"/>
  <c r="R43" i="8"/>
  <c r="E45" i="8"/>
  <c r="M38" i="8"/>
  <c r="Q38" i="8" s="1"/>
  <c r="G41" i="8"/>
  <c r="I42" i="8" s="1"/>
  <c r="G42" i="8"/>
  <c r="N41" i="8"/>
  <c r="F41" i="8"/>
  <c r="R44" i="8" l="1"/>
  <c r="F45" i="8" s="1"/>
  <c r="L44" i="8"/>
  <c r="I44" i="8"/>
  <c r="H44" i="8"/>
  <c r="E40" i="8"/>
  <c r="D40" i="8"/>
  <c r="D38" i="8" s="1"/>
  <c r="AE40" i="8"/>
  <c r="AE38" i="8" s="1"/>
  <c r="AD40" i="8"/>
  <c r="AD38" i="8" s="1"/>
  <c r="AC40" i="8"/>
  <c r="AC38" i="8" s="1"/>
  <c r="AB40" i="8"/>
  <c r="AB38" i="8" s="1"/>
  <c r="AA40" i="8"/>
  <c r="AA38" i="8" s="1"/>
  <c r="C38" i="8"/>
  <c r="U40" i="8"/>
  <c r="U38" i="8" s="1"/>
  <c r="Z40" i="8"/>
  <c r="Z38" i="8" s="1"/>
  <c r="B38" i="8"/>
  <c r="T40" i="8"/>
  <c r="T38" i="8" s="1"/>
  <c r="Y40" i="8"/>
  <c r="Y38" i="8" s="1"/>
  <c r="V40" i="8"/>
  <c r="V38" i="8" s="1"/>
  <c r="X40" i="8"/>
  <c r="X38" i="8" s="1"/>
  <c r="W40" i="8"/>
  <c r="W38" i="8" s="1"/>
  <c r="F44" i="8" l="1"/>
  <c r="R46" i="8"/>
  <c r="E48" i="8"/>
  <c r="M41" i="8"/>
  <c r="Q41" i="8" s="1"/>
  <c r="N44" i="8"/>
  <c r="O44" i="8"/>
  <c r="P44" i="8"/>
  <c r="G45" i="8"/>
  <c r="G44" i="8"/>
  <c r="I45" i="8" s="1"/>
  <c r="L47" i="8" l="1"/>
  <c r="O47" i="8" s="1"/>
  <c r="I47" i="8"/>
  <c r="H47" i="8"/>
  <c r="R47" i="8"/>
  <c r="F48" i="8" s="1"/>
  <c r="P47" i="8"/>
  <c r="AE43" i="8"/>
  <c r="AE41" i="8" s="1"/>
  <c r="AD43" i="8"/>
  <c r="AD41" i="8" s="1"/>
  <c r="AC43" i="8"/>
  <c r="AC41" i="8" s="1"/>
  <c r="AB43" i="8"/>
  <c r="AB41" i="8" s="1"/>
  <c r="AA43" i="8"/>
  <c r="AA41" i="8" s="1"/>
  <c r="C41" i="8"/>
  <c r="Z43" i="8"/>
  <c r="Z41" i="8" s="1"/>
  <c r="B41" i="8"/>
  <c r="Y43" i="8"/>
  <c r="Y41" i="8" s="1"/>
  <c r="X43" i="8"/>
  <c r="X41" i="8" s="1"/>
  <c r="W43" i="8"/>
  <c r="W41" i="8" s="1"/>
  <c r="V43" i="8"/>
  <c r="V41" i="8" s="1"/>
  <c r="U43" i="8"/>
  <c r="U41" i="8" s="1"/>
  <c r="T43" i="8"/>
  <c r="T41" i="8" s="1"/>
  <c r="D43" i="8"/>
  <c r="D41" i="8" s="1"/>
  <c r="E43" i="8"/>
  <c r="N47" i="8" l="1"/>
  <c r="G48" i="8"/>
  <c r="G47" i="8"/>
  <c r="I48" i="8" s="1"/>
  <c r="R49" i="8"/>
  <c r="E51" i="8"/>
  <c r="M44" i="8"/>
  <c r="Q44" i="8" s="1"/>
  <c r="F47" i="8"/>
  <c r="X46" i="8" l="1"/>
  <c r="X44" i="8" s="1"/>
  <c r="W46" i="8"/>
  <c r="W44" i="8" s="1"/>
  <c r="V46" i="8"/>
  <c r="V44" i="8" s="1"/>
  <c r="U46" i="8"/>
  <c r="U44" i="8" s="1"/>
  <c r="T46" i="8"/>
  <c r="T44" i="8" s="1"/>
  <c r="E46" i="8"/>
  <c r="D46" i="8"/>
  <c r="D44" i="8" s="1"/>
  <c r="Z46" i="8"/>
  <c r="Z44" i="8" s="1"/>
  <c r="AA46" i="8"/>
  <c r="AA44" i="8" s="1"/>
  <c r="Y46" i="8"/>
  <c r="Y44" i="8" s="1"/>
  <c r="AE46" i="8"/>
  <c r="AE44" i="8" s="1"/>
  <c r="C44" i="8"/>
  <c r="AB46" i="8"/>
  <c r="AB44" i="8" s="1"/>
  <c r="AD46" i="8"/>
  <c r="AD44" i="8" s="1"/>
  <c r="B44" i="8"/>
  <c r="AC46" i="8"/>
  <c r="AC44" i="8" s="1"/>
  <c r="R50" i="8"/>
  <c r="L50" i="8"/>
  <c r="M47" i="8" s="1"/>
  <c r="Q47" i="8" s="1"/>
  <c r="C47" i="8" s="1"/>
  <c r="I50" i="8"/>
  <c r="H50" i="8"/>
  <c r="O50" i="8" l="1"/>
  <c r="P50" i="8"/>
  <c r="N50" i="8"/>
  <c r="E49" i="8"/>
  <c r="B47" i="8"/>
  <c r="AE49" i="8"/>
  <c r="AE47" i="8" s="1"/>
  <c r="Y49" i="8"/>
  <c r="Y47" i="8" s="1"/>
  <c r="X49" i="8"/>
  <c r="X47" i="8" s="1"/>
  <c r="V49" i="8"/>
  <c r="V47" i="8" s="1"/>
  <c r="T49" i="8"/>
  <c r="T47" i="8" s="1"/>
  <c r="AB49" i="8"/>
  <c r="AB47" i="8" s="1"/>
  <c r="G51" i="8"/>
  <c r="G50" i="8"/>
  <c r="I51" i="8" s="1"/>
  <c r="D49" i="8"/>
  <c r="D47" i="8" s="1"/>
  <c r="R52" i="8"/>
  <c r="E54" i="8"/>
  <c r="AC49" i="8"/>
  <c r="AC47" i="8" s="1"/>
  <c r="F50" i="8"/>
  <c r="Z49" i="8"/>
  <c r="Z47" i="8" s="1"/>
  <c r="W49" i="8"/>
  <c r="W47" i="8" s="1"/>
  <c r="AD49" i="8"/>
  <c r="AD47" i="8" s="1"/>
  <c r="U49" i="8"/>
  <c r="U47" i="8" s="1"/>
  <c r="F51" i="8"/>
  <c r="AA49" i="8"/>
  <c r="AA47" i="8" s="1"/>
  <c r="R53" i="8" l="1"/>
  <c r="L53" i="8"/>
  <c r="M50" i="8" s="1"/>
  <c r="Q50" i="8" s="1"/>
  <c r="C50" i="8" s="1"/>
  <c r="I53" i="8"/>
  <c r="H53" i="8"/>
  <c r="N53" i="8" l="1"/>
  <c r="O53" i="8"/>
  <c r="P53" i="8"/>
  <c r="AC52" i="8"/>
  <c r="AC50" i="8" s="1"/>
  <c r="E52" i="8"/>
  <c r="B50" i="8"/>
  <c r="F54" i="8"/>
  <c r="T52" i="8"/>
  <c r="T50" i="8" s="1"/>
  <c r="V52" i="8"/>
  <c r="V50" i="8" s="1"/>
  <c r="X52" i="8"/>
  <c r="X50" i="8" s="1"/>
  <c r="Y52" i="8"/>
  <c r="Y50" i="8" s="1"/>
  <c r="W52" i="8"/>
  <c r="W50" i="8" s="1"/>
  <c r="Z52" i="8"/>
  <c r="Z50" i="8" s="1"/>
  <c r="D52" i="8"/>
  <c r="D50" i="8" s="1"/>
  <c r="F53" i="8"/>
  <c r="AA52" i="8"/>
  <c r="AA50" i="8" s="1"/>
  <c r="AB52" i="8"/>
  <c r="AB50" i="8" s="1"/>
  <c r="G54" i="8"/>
  <c r="G53" i="8"/>
  <c r="I54" i="8" s="1"/>
  <c r="AE52" i="8"/>
  <c r="AE50" i="8" s="1"/>
  <c r="U52" i="8"/>
  <c r="U50" i="8" s="1"/>
  <c r="R55" i="8"/>
  <c r="E57" i="8"/>
  <c r="AD52" i="8"/>
  <c r="AD50" i="8" s="1"/>
  <c r="I56" i="8" l="1"/>
  <c r="P56" i="8"/>
  <c r="O56" i="8"/>
  <c r="N56" i="8"/>
  <c r="M56" i="8"/>
  <c r="L56" i="8"/>
  <c r="M53" i="8" s="1"/>
  <c r="Q53" i="8" s="1"/>
  <c r="E55" i="8" s="1"/>
  <c r="H56" i="8"/>
  <c r="R56" i="8"/>
  <c r="AA55" i="8" l="1"/>
  <c r="AA53" i="8" s="1"/>
  <c r="C53" i="8"/>
  <c r="B53" i="8"/>
  <c r="Z55" i="8"/>
  <c r="Z53" i="8" s="1"/>
  <c r="G56" i="8"/>
  <c r="I57" i="8" s="1"/>
  <c r="G57" i="8"/>
  <c r="F56" i="8"/>
  <c r="Q56" i="8"/>
  <c r="R58" i="8"/>
  <c r="E60" i="8"/>
  <c r="AD55" i="8"/>
  <c r="AD53" i="8" s="1"/>
  <c r="AE55" i="8"/>
  <c r="AE53" i="8" s="1"/>
  <c r="F57" i="8"/>
  <c r="AB55" i="8"/>
  <c r="AB53" i="8" s="1"/>
  <c r="U55" i="8"/>
  <c r="U53" i="8" s="1"/>
  <c r="D55" i="8"/>
  <c r="D53" i="8" s="1"/>
  <c r="AC55" i="8"/>
  <c r="AC53" i="8" s="1"/>
  <c r="V55" i="8"/>
  <c r="V53" i="8" s="1"/>
  <c r="X55" i="8"/>
  <c r="X53" i="8" s="1"/>
  <c r="Y55" i="8"/>
  <c r="Y53" i="8" s="1"/>
  <c r="T55" i="8"/>
  <c r="T53" i="8" s="1"/>
  <c r="W55" i="8"/>
  <c r="W53" i="8" s="1"/>
  <c r="P59" i="8" l="1"/>
  <c r="R59" i="8"/>
  <c r="AD58" i="8" s="1"/>
  <c r="AD56" i="8" s="1"/>
  <c r="O59" i="8"/>
  <c r="N59" i="8"/>
  <c r="M59" i="8"/>
  <c r="L59" i="8"/>
  <c r="I59" i="8"/>
  <c r="H59" i="8"/>
  <c r="B56" i="8"/>
  <c r="Y58" i="8"/>
  <c r="Y56" i="8" s="1"/>
  <c r="E58" i="8"/>
  <c r="C56" i="8"/>
  <c r="D58" i="8" l="1"/>
  <c r="D56" i="8" s="1"/>
  <c r="U58" i="8"/>
  <c r="U56" i="8" s="1"/>
  <c r="W58" i="8"/>
  <c r="W56" i="8" s="1"/>
  <c r="T58" i="8"/>
  <c r="T56" i="8" s="1"/>
  <c r="Z58" i="8"/>
  <c r="Z56" i="8" s="1"/>
  <c r="V58" i="8"/>
  <c r="V56" i="8" s="1"/>
  <c r="F59" i="8"/>
  <c r="F60" i="8"/>
  <c r="AE58" i="8"/>
  <c r="AE56" i="8" s="1"/>
  <c r="X58" i="8"/>
  <c r="X56" i="8" s="1"/>
  <c r="AA58" i="8"/>
  <c r="AA56" i="8" s="1"/>
  <c r="AB58" i="8"/>
  <c r="AB56" i="8" s="1"/>
  <c r="AC58" i="8"/>
  <c r="AC56" i="8" s="1"/>
  <c r="R61" i="8"/>
  <c r="Q59" i="8"/>
  <c r="E63" i="8"/>
  <c r="G60" i="8"/>
  <c r="G59" i="8"/>
  <c r="I60" i="8" s="1"/>
  <c r="B59" i="8" l="1"/>
  <c r="E61" i="8"/>
  <c r="C59" i="8"/>
  <c r="P62" i="8"/>
  <c r="H62" i="8"/>
  <c r="N62" i="8"/>
  <c r="R62" i="8"/>
  <c r="AB61" i="8" s="1"/>
  <c r="AB59" i="8" s="1"/>
  <c r="O62" i="8"/>
  <c r="M62" i="8"/>
  <c r="L62" i="8"/>
  <c r="I62" i="8"/>
  <c r="F62" i="8" l="1"/>
  <c r="D61" i="8"/>
  <c r="D59" i="8" s="1"/>
  <c r="V61" i="8"/>
  <c r="V59" i="8" s="1"/>
  <c r="U61" i="8"/>
  <c r="U59" i="8" s="1"/>
  <c r="AE61" i="8"/>
  <c r="AE59" i="8" s="1"/>
  <c r="W61" i="8"/>
  <c r="W59" i="8" s="1"/>
  <c r="AD61" i="8"/>
  <c r="AD59" i="8" s="1"/>
  <c r="T61" i="8"/>
  <c r="T59" i="8" s="1"/>
  <c r="X61" i="8"/>
  <c r="X59" i="8" s="1"/>
  <c r="F63" i="8"/>
  <c r="G62" i="8"/>
  <c r="I63" i="8" s="1"/>
  <c r="G63" i="8"/>
  <c r="Y61" i="8"/>
  <c r="Y59" i="8" s="1"/>
  <c r="R64" i="8"/>
  <c r="Q62" i="8"/>
  <c r="E66" i="8"/>
  <c r="AA61" i="8"/>
  <c r="AA59" i="8" s="1"/>
  <c r="AC61" i="8"/>
  <c r="AC59" i="8" s="1"/>
  <c r="Z61" i="8"/>
  <c r="Z59" i="8" s="1"/>
  <c r="M65" i="8" l="1"/>
  <c r="H65" i="8"/>
  <c r="R65" i="8"/>
  <c r="X64" i="8" s="1"/>
  <c r="X62" i="8" s="1"/>
  <c r="P65" i="8"/>
  <c r="O65" i="8"/>
  <c r="N65" i="8"/>
  <c r="L65" i="8"/>
  <c r="I65" i="8"/>
  <c r="E64" i="8"/>
  <c r="C62" i="8"/>
  <c r="B62" i="8"/>
  <c r="V64" i="8" l="1"/>
  <c r="V62" i="8" s="1"/>
  <c r="W64" i="8"/>
  <c r="W62" i="8" s="1"/>
  <c r="Y64" i="8"/>
  <c r="Y62" i="8" s="1"/>
  <c r="T64" i="8"/>
  <c r="T62" i="8" s="1"/>
  <c r="AA64" i="8"/>
  <c r="AA62" i="8" s="1"/>
  <c r="Z64" i="8"/>
  <c r="Z62" i="8" s="1"/>
  <c r="AB64" i="8"/>
  <c r="AB62" i="8" s="1"/>
  <c r="AE64" i="8"/>
  <c r="AE62" i="8" s="1"/>
  <c r="AC64" i="8"/>
  <c r="AC62" i="8" s="1"/>
  <c r="F65" i="8"/>
  <c r="AD64" i="8"/>
  <c r="AD62" i="8" s="1"/>
  <c r="F66" i="8"/>
  <c r="D64" i="8"/>
  <c r="D62" i="8" s="1"/>
  <c r="U64" i="8"/>
  <c r="U62" i="8" s="1"/>
  <c r="Q65" i="8"/>
  <c r="R67" i="8"/>
  <c r="E69" i="8"/>
  <c r="G66" i="8"/>
  <c r="G65" i="8"/>
  <c r="I66" i="8" s="1"/>
  <c r="P68" i="8" l="1"/>
  <c r="O68" i="8"/>
  <c r="R68" i="8"/>
  <c r="AD67" i="8" s="1"/>
  <c r="AD65" i="8" s="1"/>
  <c r="H68" i="8"/>
  <c r="M68" i="8"/>
  <c r="L68" i="8"/>
  <c r="I68" i="8"/>
  <c r="N68" i="8"/>
  <c r="C65" i="8"/>
  <c r="E67" i="8"/>
  <c r="B65" i="8"/>
  <c r="T67" i="8" l="1"/>
  <c r="T65" i="8" s="1"/>
  <c r="D67" i="8"/>
  <c r="D65" i="8" s="1"/>
  <c r="AB67" i="8"/>
  <c r="AB65" i="8" s="1"/>
  <c r="Z67" i="8"/>
  <c r="Z65" i="8" s="1"/>
  <c r="AC67" i="8"/>
  <c r="AC65" i="8" s="1"/>
  <c r="W67" i="8"/>
  <c r="W65" i="8" s="1"/>
  <c r="AA67" i="8"/>
  <c r="AA65" i="8" s="1"/>
  <c r="X67" i="8"/>
  <c r="X65" i="8" s="1"/>
  <c r="Y67" i="8"/>
  <c r="Y65" i="8" s="1"/>
  <c r="AE67" i="8"/>
  <c r="AE65" i="8" s="1"/>
  <c r="U67" i="8"/>
  <c r="U65" i="8" s="1"/>
  <c r="V67" i="8"/>
  <c r="V65" i="8" s="1"/>
  <c r="R70" i="8"/>
  <c r="Q68" i="8"/>
  <c r="E72" i="8"/>
  <c r="F69" i="8"/>
  <c r="F68" i="8"/>
  <c r="G69" i="8"/>
  <c r="G68" i="8"/>
  <c r="I69" i="8" s="1"/>
  <c r="E70" i="8" l="1"/>
  <c r="C68" i="8"/>
  <c r="B68" i="8"/>
  <c r="P71" i="8"/>
  <c r="O71" i="8"/>
  <c r="M71" i="8"/>
  <c r="L71" i="8"/>
  <c r="I71" i="8"/>
  <c r="H71" i="8"/>
  <c r="N71" i="8"/>
  <c r="R71" i="8"/>
  <c r="AC70" i="8" s="1"/>
  <c r="AC68" i="8" s="1"/>
  <c r="T70" i="8" l="1"/>
  <c r="T68" i="8" s="1"/>
  <c r="AD70" i="8"/>
  <c r="AD68" i="8" s="1"/>
  <c r="AE70" i="8"/>
  <c r="AE68" i="8" s="1"/>
  <c r="F72" i="8"/>
  <c r="U70" i="8"/>
  <c r="U68" i="8" s="1"/>
  <c r="X70" i="8"/>
  <c r="X68" i="8" s="1"/>
  <c r="W70" i="8"/>
  <c r="W68" i="8" s="1"/>
  <c r="V70" i="8"/>
  <c r="V68" i="8" s="1"/>
  <c r="Y70" i="8"/>
  <c r="Y68" i="8" s="1"/>
  <c r="Z70" i="8"/>
  <c r="Z68" i="8" s="1"/>
  <c r="R73" i="8"/>
  <c r="Q71" i="8"/>
  <c r="E75" i="8"/>
  <c r="F71" i="8"/>
  <c r="D70" i="8"/>
  <c r="D68" i="8" s="1"/>
  <c r="G71" i="8"/>
  <c r="I72" i="8" s="1"/>
  <c r="G72" i="8"/>
  <c r="AA70" i="8"/>
  <c r="AA68" i="8" s="1"/>
  <c r="AB70" i="8"/>
  <c r="AB68" i="8" s="1"/>
  <c r="E73" i="8" l="1"/>
  <c r="C71" i="8"/>
  <c r="B71" i="8"/>
  <c r="L74" i="8"/>
  <c r="R74" i="8"/>
  <c r="AD73" i="8" s="1"/>
  <c r="AD71" i="8" s="1"/>
  <c r="P74" i="8"/>
  <c r="O74" i="8"/>
  <c r="N74" i="8"/>
  <c r="M74" i="8"/>
  <c r="I74" i="8"/>
  <c r="H74" i="8"/>
  <c r="AA73" i="8" l="1"/>
  <c r="AA71" i="8" s="1"/>
  <c r="G74" i="8"/>
  <c r="I75" i="8" s="1"/>
  <c r="G75" i="8"/>
  <c r="Y73" i="8"/>
  <c r="Y71" i="8" s="1"/>
  <c r="Q74" i="8"/>
  <c r="R76" i="8"/>
  <c r="E78" i="8"/>
  <c r="F75" i="8"/>
  <c r="AE73" i="8"/>
  <c r="AE71" i="8" s="1"/>
  <c r="T73" i="8"/>
  <c r="T71" i="8" s="1"/>
  <c r="D73" i="8"/>
  <c r="D71" i="8" s="1"/>
  <c r="X73" i="8"/>
  <c r="X71" i="8" s="1"/>
  <c r="AB73" i="8"/>
  <c r="AB71" i="8" s="1"/>
  <c r="V73" i="8"/>
  <c r="V71" i="8" s="1"/>
  <c r="AC73" i="8"/>
  <c r="AC71" i="8" s="1"/>
  <c r="F74" i="8"/>
  <c r="W73" i="8"/>
  <c r="W71" i="8" s="1"/>
  <c r="Z73" i="8"/>
  <c r="Z71" i="8" s="1"/>
  <c r="U73" i="8"/>
  <c r="U71" i="8" s="1"/>
  <c r="C74" i="8" l="1"/>
  <c r="E76" i="8"/>
  <c r="B74" i="8"/>
  <c r="R77" i="8"/>
  <c r="AB76" i="8" s="1"/>
  <c r="AB74" i="8" s="1"/>
  <c r="O77" i="8"/>
  <c r="N77" i="8"/>
  <c r="H77" i="8"/>
  <c r="P77" i="8"/>
  <c r="L77" i="8"/>
  <c r="M77" i="8"/>
  <c r="I77" i="8"/>
  <c r="F77" i="8" l="1"/>
  <c r="W76" i="8"/>
  <c r="W74" i="8" s="1"/>
  <c r="V76" i="8"/>
  <c r="V74" i="8" s="1"/>
  <c r="X76" i="8"/>
  <c r="X74" i="8" s="1"/>
  <c r="Z76" i="8"/>
  <c r="Z74" i="8" s="1"/>
  <c r="F78" i="8"/>
  <c r="Y76" i="8"/>
  <c r="Y74" i="8" s="1"/>
  <c r="AA76" i="8"/>
  <c r="AA74" i="8" s="1"/>
  <c r="U76" i="8"/>
  <c r="U74" i="8" s="1"/>
  <c r="AC76" i="8"/>
  <c r="AC74" i="8" s="1"/>
  <c r="AE76" i="8"/>
  <c r="AE74" i="8" s="1"/>
  <c r="R79" i="8"/>
  <c r="Q77" i="8"/>
  <c r="E81" i="8"/>
  <c r="G77" i="8"/>
  <c r="I78" i="8" s="1"/>
  <c r="G78" i="8"/>
  <c r="AD76" i="8"/>
  <c r="AD74" i="8" s="1"/>
  <c r="D76" i="8"/>
  <c r="D74" i="8" s="1"/>
  <c r="T76" i="8"/>
  <c r="T74" i="8" s="1"/>
  <c r="R80" i="8" l="1"/>
  <c r="AB79" i="8" s="1"/>
  <c r="AB77" i="8" s="1"/>
  <c r="O80" i="8"/>
  <c r="N80" i="8"/>
  <c r="L80" i="8"/>
  <c r="I80" i="8"/>
  <c r="H80" i="8"/>
  <c r="P80" i="8"/>
  <c r="M80" i="8"/>
  <c r="C77" i="8"/>
  <c r="E79" i="8"/>
  <c r="B77" i="8"/>
  <c r="AD79" i="8" l="1"/>
  <c r="AD77" i="8" s="1"/>
  <c r="AE79" i="8"/>
  <c r="AE77" i="8" s="1"/>
  <c r="U79" i="8"/>
  <c r="U77" i="8" s="1"/>
  <c r="AC79" i="8"/>
  <c r="AC77" i="8" s="1"/>
  <c r="Z79" i="8"/>
  <c r="Z77" i="8" s="1"/>
  <c r="F81" i="8"/>
  <c r="V79" i="8"/>
  <c r="V77" i="8" s="1"/>
  <c r="D79" i="8"/>
  <c r="D77" i="8" s="1"/>
  <c r="X79" i="8"/>
  <c r="X77" i="8" s="1"/>
  <c r="W79" i="8"/>
  <c r="W77" i="8" s="1"/>
  <c r="T79" i="8"/>
  <c r="T77" i="8" s="1"/>
  <c r="AA79" i="8"/>
  <c r="AA77" i="8" s="1"/>
  <c r="F80" i="8"/>
  <c r="Y79" i="8"/>
  <c r="Y77" i="8" s="1"/>
  <c r="Q80" i="8"/>
  <c r="R82" i="8"/>
  <c r="E84" i="8"/>
  <c r="G80" i="8"/>
  <c r="I81" i="8" s="1"/>
  <c r="G81" i="8"/>
  <c r="I83" i="8" l="1"/>
  <c r="O83" i="8"/>
  <c r="N83" i="8"/>
  <c r="M83" i="8"/>
  <c r="L83" i="8"/>
  <c r="H83" i="8"/>
  <c r="R83" i="8"/>
  <c r="Z82" i="8" s="1"/>
  <c r="Z80" i="8" s="1"/>
  <c r="P83" i="8"/>
  <c r="C80" i="8"/>
  <c r="B80" i="8"/>
  <c r="E82" i="8"/>
  <c r="W82" i="8"/>
  <c r="W80" i="8" s="1"/>
  <c r="U82" i="8" l="1"/>
  <c r="U80" i="8" s="1"/>
  <c r="AB82" i="8"/>
  <c r="AB80" i="8" s="1"/>
  <c r="AE82" i="8"/>
  <c r="AE80" i="8" s="1"/>
  <c r="AC82" i="8"/>
  <c r="AC80" i="8" s="1"/>
  <c r="AA82" i="8"/>
  <c r="AA80" i="8" s="1"/>
  <c r="D82" i="8"/>
  <c r="D80" i="8" s="1"/>
  <c r="T82" i="8"/>
  <c r="T80" i="8" s="1"/>
  <c r="AD82" i="8"/>
  <c r="AD80" i="8" s="1"/>
  <c r="X82" i="8"/>
  <c r="X80" i="8" s="1"/>
  <c r="V82" i="8"/>
  <c r="V80" i="8" s="1"/>
  <c r="Y82" i="8"/>
  <c r="Y80" i="8" s="1"/>
  <c r="G83" i="8"/>
  <c r="I84" i="8" s="1"/>
  <c r="G84" i="8"/>
  <c r="F84" i="8"/>
  <c r="R85" i="8"/>
  <c r="Q83" i="8"/>
  <c r="E87" i="8"/>
  <c r="F83" i="8"/>
  <c r="C83" i="8" l="1"/>
  <c r="B83" i="8"/>
  <c r="E85" i="8"/>
  <c r="R86" i="8"/>
  <c r="AD85" i="8" s="1"/>
  <c r="AD83" i="8" s="1"/>
  <c r="P86" i="8"/>
  <c r="N86" i="8"/>
  <c r="M86" i="8"/>
  <c r="O86" i="8"/>
  <c r="L86" i="8"/>
  <c r="I86" i="8"/>
  <c r="H86" i="8"/>
  <c r="F87" i="8" l="1"/>
  <c r="F86" i="8"/>
  <c r="AE85" i="8"/>
  <c r="AE83" i="8" s="1"/>
  <c r="W85" i="8"/>
  <c r="W83" i="8" s="1"/>
  <c r="Z85" i="8"/>
  <c r="Z83" i="8" s="1"/>
  <c r="Y85" i="8"/>
  <c r="Y83" i="8" s="1"/>
  <c r="V85" i="8"/>
  <c r="V83" i="8" s="1"/>
  <c r="AA85" i="8"/>
  <c r="AA83" i="8" s="1"/>
  <c r="R88" i="8"/>
  <c r="Q86" i="8"/>
  <c r="E90" i="8"/>
  <c r="AB85" i="8"/>
  <c r="AB83" i="8" s="1"/>
  <c r="AC85" i="8"/>
  <c r="AC83" i="8" s="1"/>
  <c r="T85" i="8"/>
  <c r="T83" i="8" s="1"/>
  <c r="D85" i="8"/>
  <c r="D83" i="8" s="1"/>
  <c r="U85" i="8"/>
  <c r="U83" i="8" s="1"/>
  <c r="G87" i="8"/>
  <c r="G86" i="8"/>
  <c r="I87" i="8" s="1"/>
  <c r="X85" i="8"/>
  <c r="X83" i="8" s="1"/>
  <c r="P89" i="8" l="1"/>
  <c r="N89" i="8"/>
  <c r="M89" i="8"/>
  <c r="L89" i="8"/>
  <c r="I89" i="8"/>
  <c r="H89" i="8"/>
  <c r="R89" i="8"/>
  <c r="X88" i="8" s="1"/>
  <c r="X86" i="8" s="1"/>
  <c r="O89" i="8"/>
  <c r="B86" i="8"/>
  <c r="E88" i="8"/>
  <c r="AB88" i="8"/>
  <c r="AB86" i="8" s="1"/>
  <c r="C86" i="8"/>
  <c r="V88" i="8" l="1"/>
  <c r="V86" i="8" s="1"/>
  <c r="W88" i="8"/>
  <c r="W86" i="8" s="1"/>
  <c r="AC88" i="8"/>
  <c r="AC86" i="8" s="1"/>
  <c r="Y88" i="8"/>
  <c r="Y86" i="8" s="1"/>
  <c r="AA88" i="8"/>
  <c r="AA86" i="8" s="1"/>
  <c r="U88" i="8"/>
  <c r="U86" i="8" s="1"/>
  <c r="Z88" i="8"/>
  <c r="Z86" i="8" s="1"/>
  <c r="F89" i="8"/>
  <c r="AE88" i="8"/>
  <c r="AE86" i="8" s="1"/>
  <c r="D88" i="8"/>
  <c r="D86" i="8" s="1"/>
  <c r="G90" i="8"/>
  <c r="G89" i="8"/>
  <c r="I90" i="8" s="1"/>
  <c r="AD88" i="8"/>
  <c r="AD86" i="8" s="1"/>
  <c r="F90" i="8"/>
  <c r="R91" i="8"/>
  <c r="Q89" i="8"/>
  <c r="E93" i="8"/>
  <c r="T88" i="8"/>
  <c r="T86" i="8" s="1"/>
  <c r="H92" i="8" l="1"/>
  <c r="R92" i="8"/>
  <c r="Z91" i="8" s="1"/>
  <c r="Z89" i="8" s="1"/>
  <c r="P92" i="8"/>
  <c r="O92" i="8"/>
  <c r="N92" i="8"/>
  <c r="M92" i="8"/>
  <c r="L92" i="8"/>
  <c r="I92" i="8"/>
  <c r="E91" i="8"/>
  <c r="AC91" i="8"/>
  <c r="AC89" i="8" s="1"/>
  <c r="C89" i="8"/>
  <c r="B89" i="8"/>
  <c r="W91" i="8" l="1"/>
  <c r="W89" i="8" s="1"/>
  <c r="D91" i="8"/>
  <c r="D89" i="8" s="1"/>
  <c r="AD91" i="8"/>
  <c r="AD89" i="8" s="1"/>
  <c r="T91" i="8"/>
  <c r="T89" i="8" s="1"/>
  <c r="AA91" i="8"/>
  <c r="AA89" i="8" s="1"/>
  <c r="U91" i="8"/>
  <c r="U89" i="8" s="1"/>
  <c r="V91" i="8"/>
  <c r="V89" i="8" s="1"/>
  <c r="AB91" i="8"/>
  <c r="AB89" i="8" s="1"/>
  <c r="AE91" i="8"/>
  <c r="AE89" i="8" s="1"/>
  <c r="F92" i="8"/>
  <c r="X91" i="8"/>
  <c r="X89" i="8" s="1"/>
  <c r="Y91" i="8"/>
  <c r="Y89" i="8" s="1"/>
  <c r="G92" i="8"/>
  <c r="I93" i="8" s="1"/>
  <c r="G93" i="8"/>
  <c r="Q92" i="8"/>
  <c r="R94" i="8"/>
  <c r="E96" i="8"/>
  <c r="F93" i="8"/>
  <c r="C92" i="8" l="1"/>
  <c r="B92" i="8"/>
  <c r="E94" i="8"/>
  <c r="R95" i="8"/>
  <c r="AB94" i="8" s="1"/>
  <c r="AB92" i="8" s="1"/>
  <c r="P95" i="8"/>
  <c r="O95" i="8"/>
  <c r="M95" i="8"/>
  <c r="L95" i="8"/>
  <c r="N95" i="8"/>
  <c r="I95" i="8"/>
  <c r="H95" i="8"/>
  <c r="F95" i="8" l="1"/>
  <c r="F96" i="8"/>
  <c r="V94" i="8"/>
  <c r="V92" i="8" s="1"/>
  <c r="X94" i="8"/>
  <c r="X92" i="8" s="1"/>
  <c r="Z94" i="8"/>
  <c r="Z92" i="8" s="1"/>
  <c r="Y94" i="8"/>
  <c r="Y92" i="8" s="1"/>
  <c r="R97" i="8"/>
  <c r="Q95" i="8"/>
  <c r="E99" i="8"/>
  <c r="G96" i="8"/>
  <c r="G95" i="8"/>
  <c r="I96" i="8" s="1"/>
  <c r="T94" i="8"/>
  <c r="T92" i="8" s="1"/>
  <c r="AC94" i="8"/>
  <c r="AC92" i="8" s="1"/>
  <c r="D94" i="8"/>
  <c r="D92" i="8" s="1"/>
  <c r="AD94" i="8"/>
  <c r="AD92" i="8" s="1"/>
  <c r="AE94" i="8"/>
  <c r="AE92" i="8" s="1"/>
  <c r="AA94" i="8"/>
  <c r="AA92" i="8" s="1"/>
  <c r="W94" i="8"/>
  <c r="W92" i="8" s="1"/>
  <c r="U94" i="8"/>
  <c r="U92" i="8" s="1"/>
  <c r="E97" i="8" l="1"/>
  <c r="C95" i="8"/>
  <c r="B95" i="8"/>
  <c r="P98" i="8"/>
  <c r="O98" i="8"/>
  <c r="M98" i="8"/>
  <c r="L98" i="8"/>
  <c r="I98" i="8"/>
  <c r="H98" i="8"/>
  <c r="R98" i="8"/>
  <c r="AC97" i="8" s="1"/>
  <c r="AC95" i="8" s="1"/>
  <c r="N98" i="8"/>
  <c r="AB97" i="8" l="1"/>
  <c r="AB95" i="8" s="1"/>
  <c r="AD97" i="8"/>
  <c r="AD95" i="8" s="1"/>
  <c r="G99" i="8"/>
  <c r="G98" i="8"/>
  <c r="I99" i="8" s="1"/>
  <c r="F98" i="8"/>
  <c r="T97" i="8"/>
  <c r="T95" i="8" s="1"/>
  <c r="AE97" i="8"/>
  <c r="AE95" i="8" s="1"/>
  <c r="D97" i="8"/>
  <c r="D95" i="8" s="1"/>
  <c r="V97" i="8"/>
  <c r="V95" i="8" s="1"/>
  <c r="U97" i="8"/>
  <c r="U95" i="8" s="1"/>
  <c r="Q98" i="8"/>
  <c r="R100" i="8"/>
  <c r="E102" i="8"/>
  <c r="F99" i="8"/>
  <c r="Z97" i="8"/>
  <c r="Z95" i="8" s="1"/>
  <c r="X97" i="8"/>
  <c r="X95" i="8" s="1"/>
  <c r="W97" i="8"/>
  <c r="W95" i="8" s="1"/>
  <c r="AA97" i="8"/>
  <c r="AA95" i="8" s="1"/>
  <c r="Y97" i="8"/>
  <c r="Y95" i="8" s="1"/>
  <c r="R101" i="8" l="1"/>
  <c r="W100" i="8" s="1"/>
  <c r="W98" i="8" s="1"/>
  <c r="M101" i="8"/>
  <c r="L101" i="8"/>
  <c r="I101" i="8"/>
  <c r="H101" i="8"/>
  <c r="O101" i="8"/>
  <c r="N101" i="8"/>
  <c r="P101" i="8"/>
  <c r="E100" i="8"/>
  <c r="C98" i="8"/>
  <c r="B98" i="8"/>
  <c r="X100" i="8" l="1"/>
  <c r="X98" i="8" s="1"/>
  <c r="AC100" i="8"/>
  <c r="AC98" i="8" s="1"/>
  <c r="Y100" i="8"/>
  <c r="Y98" i="8" s="1"/>
  <c r="U100" i="8"/>
  <c r="U98" i="8" s="1"/>
  <c r="AA100" i="8"/>
  <c r="AA98" i="8" s="1"/>
  <c r="AE100" i="8"/>
  <c r="AE98" i="8" s="1"/>
  <c r="AD100" i="8"/>
  <c r="AD98" i="8" s="1"/>
  <c r="D100" i="8"/>
  <c r="D98" i="8" s="1"/>
  <c r="Z100" i="8"/>
  <c r="Z98" i="8" s="1"/>
  <c r="AB100" i="8"/>
  <c r="AB98" i="8" s="1"/>
  <c r="T100" i="8"/>
  <c r="T98" i="8" s="1"/>
  <c r="F102" i="8"/>
  <c r="V100" i="8"/>
  <c r="V98" i="8" s="1"/>
  <c r="R103" i="8"/>
  <c r="Q101" i="8"/>
  <c r="E105" i="8"/>
  <c r="G101" i="8"/>
  <c r="I102" i="8" s="1"/>
  <c r="G102" i="8"/>
  <c r="F101" i="8"/>
  <c r="C101" i="8" l="1"/>
  <c r="B101" i="8"/>
  <c r="E103" i="8"/>
  <c r="R104" i="8"/>
  <c r="AD103" i="8" s="1"/>
  <c r="AD101" i="8" s="1"/>
  <c r="P104" i="8"/>
  <c r="O104" i="8"/>
  <c r="N104" i="8"/>
  <c r="L104" i="8"/>
  <c r="I104" i="8"/>
  <c r="M104" i="8"/>
  <c r="H104" i="8"/>
  <c r="F104" i="8" l="1"/>
  <c r="F105" i="8"/>
  <c r="X103" i="8"/>
  <c r="X101" i="8" s="1"/>
  <c r="Y103" i="8"/>
  <c r="Y101" i="8" s="1"/>
  <c r="U103" i="8"/>
  <c r="U101" i="8" s="1"/>
  <c r="Z103" i="8"/>
  <c r="Z101" i="8" s="1"/>
  <c r="W103" i="8"/>
  <c r="W101" i="8" s="1"/>
  <c r="AB103" i="8"/>
  <c r="AB101" i="8" s="1"/>
  <c r="R106" i="8"/>
  <c r="Q104" i="8"/>
  <c r="E108" i="8"/>
  <c r="D103" i="8"/>
  <c r="D101" i="8" s="1"/>
  <c r="G105" i="8"/>
  <c r="G104" i="8"/>
  <c r="I105" i="8" s="1"/>
  <c r="T103" i="8"/>
  <c r="T101" i="8" s="1"/>
  <c r="AA103" i="8"/>
  <c r="AA101" i="8" s="1"/>
  <c r="V103" i="8"/>
  <c r="V101" i="8" s="1"/>
  <c r="AC103" i="8"/>
  <c r="AC101" i="8" s="1"/>
  <c r="AE103" i="8"/>
  <c r="AE101" i="8" s="1"/>
  <c r="E106" i="8" l="1"/>
  <c r="C104" i="8"/>
  <c r="B104" i="8"/>
  <c r="O107" i="8"/>
  <c r="N107" i="8"/>
  <c r="L107" i="8"/>
  <c r="I107" i="8"/>
  <c r="H107" i="8"/>
  <c r="R107" i="8"/>
  <c r="AC106" i="8" s="1"/>
  <c r="AC104" i="8" s="1"/>
  <c r="M107" i="8"/>
  <c r="P107" i="8"/>
  <c r="Y106" i="8" l="1"/>
  <c r="Y104" i="8" s="1"/>
  <c r="AB106" i="8"/>
  <c r="AB104" i="8" s="1"/>
  <c r="V106" i="8"/>
  <c r="V104" i="8" s="1"/>
  <c r="F108" i="8"/>
  <c r="T106" i="8"/>
  <c r="T104" i="8" s="1"/>
  <c r="F107" i="8"/>
  <c r="Z106" i="8"/>
  <c r="Z104" i="8" s="1"/>
  <c r="D106" i="8"/>
  <c r="D104" i="8" s="1"/>
  <c r="AE106" i="8"/>
  <c r="AE104" i="8" s="1"/>
  <c r="W106" i="8"/>
  <c r="W104" i="8" s="1"/>
  <c r="AA106" i="8"/>
  <c r="AA104" i="8" s="1"/>
  <c r="G107" i="8"/>
  <c r="I108" i="8" s="1"/>
  <c r="G108" i="8"/>
  <c r="R109" i="8"/>
  <c r="Q107" i="8"/>
  <c r="E111" i="8"/>
  <c r="AD106" i="8"/>
  <c r="AD104" i="8" s="1"/>
  <c r="U106" i="8"/>
  <c r="U104" i="8" s="1"/>
  <c r="X106" i="8"/>
  <c r="X104" i="8" s="1"/>
  <c r="C107" i="8" l="1"/>
  <c r="B107" i="8"/>
  <c r="E109" i="8"/>
  <c r="R110" i="8"/>
  <c r="AB109" i="8" s="1"/>
  <c r="AB107" i="8" s="1"/>
  <c r="P110" i="8"/>
  <c r="O110" i="8"/>
  <c r="N110" i="8"/>
  <c r="M110" i="8"/>
  <c r="L110" i="8"/>
  <c r="I110" i="8"/>
  <c r="H110" i="8"/>
  <c r="F111" i="8" l="1"/>
  <c r="T109" i="8"/>
  <c r="T107" i="8" s="1"/>
  <c r="U109" i="8"/>
  <c r="U107" i="8" s="1"/>
  <c r="W109" i="8"/>
  <c r="W107" i="8" s="1"/>
  <c r="Z109" i="8"/>
  <c r="Z107" i="8" s="1"/>
  <c r="V109" i="8"/>
  <c r="V107" i="8" s="1"/>
  <c r="AA109" i="8"/>
  <c r="AA107" i="8" s="1"/>
  <c r="AC109" i="8"/>
  <c r="AC107" i="8" s="1"/>
  <c r="AD109" i="8"/>
  <c r="AD107" i="8" s="1"/>
  <c r="G111" i="8"/>
  <c r="G110" i="8"/>
  <c r="I111" i="8" s="1"/>
  <c r="AE109" i="8"/>
  <c r="AE107" i="8" s="1"/>
  <c r="R112" i="8"/>
  <c r="Q110" i="8"/>
  <c r="E114" i="8"/>
  <c r="Y109" i="8"/>
  <c r="Y107" i="8" s="1"/>
  <c r="F110" i="8"/>
  <c r="X109" i="8"/>
  <c r="X107" i="8" s="1"/>
  <c r="D109" i="8"/>
  <c r="D107" i="8" s="1"/>
  <c r="C110" i="8" l="1"/>
  <c r="B110" i="8"/>
  <c r="E112" i="8"/>
  <c r="R113" i="8"/>
  <c r="Y112" i="8" s="1"/>
  <c r="Y110" i="8" s="1"/>
  <c r="P113" i="8"/>
  <c r="O113" i="8"/>
  <c r="N113" i="8"/>
  <c r="M113" i="8"/>
  <c r="I113" i="8"/>
  <c r="H113" i="8"/>
  <c r="L113" i="8"/>
  <c r="F113" i="8" l="1"/>
  <c r="F114" i="8"/>
  <c r="AB112" i="8"/>
  <c r="AB110" i="8" s="1"/>
  <c r="T112" i="8"/>
  <c r="T110" i="8" s="1"/>
  <c r="W112" i="8"/>
  <c r="W110" i="8" s="1"/>
  <c r="X112" i="8"/>
  <c r="X110" i="8" s="1"/>
  <c r="D112" i="8"/>
  <c r="D110" i="8" s="1"/>
  <c r="V112" i="8"/>
  <c r="V110" i="8" s="1"/>
  <c r="R115" i="8"/>
  <c r="Q113" i="8"/>
  <c r="E117" i="8"/>
  <c r="G114" i="8"/>
  <c r="G113" i="8"/>
  <c r="I114" i="8" s="1"/>
  <c r="AC112" i="8"/>
  <c r="AC110" i="8" s="1"/>
  <c r="Z112" i="8"/>
  <c r="Z110" i="8" s="1"/>
  <c r="U112" i="8"/>
  <c r="U110" i="8" s="1"/>
  <c r="AE112" i="8"/>
  <c r="AE110" i="8" s="1"/>
  <c r="AA112" i="8"/>
  <c r="AA110" i="8" s="1"/>
  <c r="AD112" i="8"/>
  <c r="AD110" i="8" s="1"/>
  <c r="N116" i="8" l="1"/>
  <c r="M116" i="8"/>
  <c r="I116" i="8"/>
  <c r="H116" i="8"/>
  <c r="R116" i="8"/>
  <c r="F116" i="8" s="1"/>
  <c r="P116" i="8"/>
  <c r="O116" i="8"/>
  <c r="L116" i="8"/>
  <c r="W115" i="8"/>
  <c r="W113" i="8" s="1"/>
  <c r="E115" i="8"/>
  <c r="AD115" i="8"/>
  <c r="AD113" i="8" s="1"/>
  <c r="C113" i="8"/>
  <c r="B113" i="8"/>
  <c r="AE115" i="8" l="1"/>
  <c r="AE113" i="8" s="1"/>
  <c r="D115" i="8"/>
  <c r="D113" i="8" s="1"/>
  <c r="X115" i="8"/>
  <c r="X113" i="8" s="1"/>
  <c r="AC115" i="8"/>
  <c r="AC113" i="8" s="1"/>
  <c r="T115" i="8"/>
  <c r="T113" i="8" s="1"/>
  <c r="V115" i="8"/>
  <c r="V113" i="8" s="1"/>
  <c r="F117" i="8"/>
  <c r="Y115" i="8"/>
  <c r="Y113" i="8" s="1"/>
  <c r="U115" i="8"/>
  <c r="U113" i="8" s="1"/>
  <c r="Z115" i="8"/>
  <c r="Z113" i="8" s="1"/>
  <c r="AA115" i="8"/>
  <c r="AA113" i="8" s="1"/>
  <c r="AB115" i="8"/>
  <c r="AB113" i="8" s="1"/>
  <c r="Q116" i="8"/>
  <c r="R118" i="8"/>
  <c r="E120" i="8"/>
  <c r="G117" i="8"/>
  <c r="G116" i="8"/>
  <c r="I117" i="8" s="1"/>
  <c r="P119" i="8" l="1"/>
  <c r="I119" i="8"/>
  <c r="H119" i="8"/>
  <c r="L119" i="8"/>
  <c r="O119" i="8"/>
  <c r="N119" i="8"/>
  <c r="R119" i="8"/>
  <c r="F120" i="8" s="1"/>
  <c r="M119" i="8"/>
  <c r="B116" i="8"/>
  <c r="C116" i="8"/>
  <c r="E118" i="8"/>
  <c r="AA118" i="8" l="1"/>
  <c r="AA116" i="8" s="1"/>
  <c r="D118" i="8"/>
  <c r="D116" i="8" s="1"/>
  <c r="AB118" i="8"/>
  <c r="AB116" i="8" s="1"/>
  <c r="AC118" i="8"/>
  <c r="AC116" i="8" s="1"/>
  <c r="Y118" i="8"/>
  <c r="Y116" i="8" s="1"/>
  <c r="AD118" i="8"/>
  <c r="AD116" i="8" s="1"/>
  <c r="X118" i="8"/>
  <c r="X116" i="8" s="1"/>
  <c r="AE118" i="8"/>
  <c r="AE116" i="8" s="1"/>
  <c r="T118" i="8"/>
  <c r="T116" i="8" s="1"/>
  <c r="U118" i="8"/>
  <c r="U116" i="8" s="1"/>
  <c r="V118" i="8"/>
  <c r="V116" i="8" s="1"/>
  <c r="W118" i="8"/>
  <c r="W116" i="8" s="1"/>
  <c r="F119" i="8"/>
  <c r="R121" i="8"/>
  <c r="Q119" i="8"/>
  <c r="E123" i="8"/>
  <c r="G119" i="8"/>
  <c r="I120" i="8" s="1"/>
  <c r="G120" i="8"/>
  <c r="Z118" i="8"/>
  <c r="Z116" i="8" s="1"/>
  <c r="P122" i="8" l="1"/>
  <c r="O122" i="8"/>
  <c r="N122" i="8"/>
  <c r="M122" i="8"/>
  <c r="L122" i="8"/>
  <c r="H122" i="8"/>
  <c r="R122" i="8"/>
  <c r="F123" i="8" s="1"/>
  <c r="I122" i="8"/>
  <c r="B119" i="8"/>
  <c r="E121" i="8"/>
  <c r="C119" i="8"/>
  <c r="U121" i="8" l="1"/>
  <c r="U119" i="8" s="1"/>
  <c r="W121" i="8"/>
  <c r="W119" i="8" s="1"/>
  <c r="AA121" i="8"/>
  <c r="AA119" i="8" s="1"/>
  <c r="AD121" i="8"/>
  <c r="AD119" i="8" s="1"/>
  <c r="Y121" i="8"/>
  <c r="Y119" i="8" s="1"/>
  <c r="AE121" i="8"/>
  <c r="AE119" i="8" s="1"/>
  <c r="Z121" i="8"/>
  <c r="Z119" i="8" s="1"/>
  <c r="AB121" i="8"/>
  <c r="AB119" i="8" s="1"/>
  <c r="AC121" i="8"/>
  <c r="AC119" i="8" s="1"/>
  <c r="F122" i="8"/>
  <c r="D121" i="8"/>
  <c r="D119" i="8" s="1"/>
  <c r="T121" i="8"/>
  <c r="T119" i="8" s="1"/>
  <c r="R124" i="8"/>
  <c r="Q122" i="8"/>
  <c r="E126" i="8"/>
  <c r="G123" i="8"/>
  <c r="G122" i="8"/>
  <c r="I123" i="8" s="1"/>
  <c r="V121" i="8"/>
  <c r="V119" i="8" s="1"/>
  <c r="X121" i="8"/>
  <c r="X119" i="8" s="1"/>
  <c r="E124" i="8" l="1"/>
  <c r="B122" i="8"/>
  <c r="C122" i="8"/>
  <c r="M125" i="8"/>
  <c r="L125" i="8"/>
  <c r="H125" i="8"/>
  <c r="R125" i="8"/>
  <c r="W124" i="8" s="1"/>
  <c r="W122" i="8" s="1"/>
  <c r="P125" i="8"/>
  <c r="O125" i="8"/>
  <c r="N125" i="8"/>
  <c r="I125" i="8"/>
  <c r="T124" i="8" l="1"/>
  <c r="T122" i="8" s="1"/>
  <c r="G126" i="8"/>
  <c r="G125" i="8"/>
  <c r="I126" i="8" s="1"/>
  <c r="F126" i="8"/>
  <c r="F125" i="8"/>
  <c r="D124" i="8"/>
  <c r="D122" i="8" s="1"/>
  <c r="AE124" i="8"/>
  <c r="AE122" i="8" s="1"/>
  <c r="X124" i="8"/>
  <c r="X122" i="8" s="1"/>
  <c r="AB124" i="8"/>
  <c r="AB122" i="8" s="1"/>
  <c r="Y124" i="8"/>
  <c r="Y122" i="8" s="1"/>
  <c r="U124" i="8"/>
  <c r="U122" i="8" s="1"/>
  <c r="Z124" i="8"/>
  <c r="Z122" i="8" s="1"/>
  <c r="AC124" i="8"/>
  <c r="AC122" i="8" s="1"/>
  <c r="AD124" i="8"/>
  <c r="AD122" i="8" s="1"/>
  <c r="R127" i="8"/>
  <c r="Q125" i="8"/>
  <c r="E129" i="8"/>
  <c r="AA124" i="8"/>
  <c r="AA122" i="8" s="1"/>
  <c r="V124" i="8"/>
  <c r="V122" i="8" s="1"/>
  <c r="R128" i="8" l="1"/>
  <c r="V127" i="8" s="1"/>
  <c r="V125" i="8" s="1"/>
  <c r="P128" i="8"/>
  <c r="O128" i="8"/>
  <c r="N128" i="8"/>
  <c r="M128" i="8"/>
  <c r="L128" i="8"/>
  <c r="I128" i="8"/>
  <c r="H128" i="8"/>
  <c r="C125" i="8"/>
  <c r="E127" i="8"/>
  <c r="B125" i="8"/>
  <c r="X127" i="8" l="1"/>
  <c r="X125" i="8" s="1"/>
  <c r="D127" i="8"/>
  <c r="D125" i="8" s="1"/>
  <c r="AA127" i="8"/>
  <c r="AA125" i="8" s="1"/>
  <c r="Z127" i="8"/>
  <c r="Z125" i="8" s="1"/>
  <c r="Y127" i="8"/>
  <c r="Y125" i="8" s="1"/>
  <c r="AB127" i="8"/>
  <c r="AB125" i="8" s="1"/>
  <c r="AC127" i="8"/>
  <c r="AC125" i="8" s="1"/>
  <c r="AD127" i="8"/>
  <c r="AD125" i="8" s="1"/>
  <c r="AE127" i="8"/>
  <c r="AE125" i="8" s="1"/>
  <c r="F129" i="8"/>
  <c r="T127" i="8"/>
  <c r="T125" i="8" s="1"/>
  <c r="F128" i="8"/>
  <c r="U127" i="8"/>
  <c r="U125" i="8" s="1"/>
  <c r="W127" i="8"/>
  <c r="W125" i="8" s="1"/>
  <c r="Q128" i="8"/>
  <c r="R130" i="8"/>
  <c r="E132" i="8"/>
  <c r="G128" i="8"/>
  <c r="I129" i="8" s="1"/>
  <c r="G129" i="8"/>
  <c r="R131" i="8" l="1"/>
  <c r="AE130" i="8" s="1"/>
  <c r="AE128" i="8" s="1"/>
  <c r="P131" i="8"/>
  <c r="O131" i="8"/>
  <c r="N131" i="8"/>
  <c r="M131" i="8"/>
  <c r="L131" i="8"/>
  <c r="I131" i="8"/>
  <c r="H131" i="8"/>
  <c r="AB130" i="8"/>
  <c r="AB128" i="8" s="1"/>
  <c r="C128" i="8"/>
  <c r="E130" i="8"/>
  <c r="AD130" i="8"/>
  <c r="AD128" i="8" s="1"/>
  <c r="B128" i="8"/>
  <c r="D130" i="8" l="1"/>
  <c r="D128" i="8" s="1"/>
  <c r="Z130" i="8"/>
  <c r="Z128" i="8" s="1"/>
  <c r="AC130" i="8"/>
  <c r="AC128" i="8" s="1"/>
  <c r="F131" i="8"/>
  <c r="T130" i="8"/>
  <c r="T128" i="8" s="1"/>
  <c r="U130" i="8"/>
  <c r="U128" i="8" s="1"/>
  <c r="V130" i="8"/>
  <c r="V128" i="8" s="1"/>
  <c r="W130" i="8"/>
  <c r="W128" i="8" s="1"/>
  <c r="X130" i="8"/>
  <c r="X128" i="8" s="1"/>
  <c r="Y130" i="8"/>
  <c r="Y128" i="8" s="1"/>
  <c r="AA130" i="8"/>
  <c r="AA128" i="8" s="1"/>
  <c r="F132" i="8"/>
  <c r="R133" i="8"/>
  <c r="Q131" i="8"/>
  <c r="E135" i="8"/>
  <c r="G132" i="8"/>
  <c r="G131" i="8"/>
  <c r="I132" i="8" s="1"/>
  <c r="L134" i="8" l="1"/>
  <c r="I134" i="8"/>
  <c r="H134" i="8"/>
  <c r="R134" i="8"/>
  <c r="AA133" i="8" s="1"/>
  <c r="AA131" i="8" s="1"/>
  <c r="P134" i="8"/>
  <c r="O134" i="8"/>
  <c r="N134" i="8"/>
  <c r="M134" i="8"/>
  <c r="E133" i="8"/>
  <c r="C131" i="8"/>
  <c r="B131" i="8"/>
  <c r="D133" i="8" l="1"/>
  <c r="D131" i="8" s="1"/>
  <c r="AB133" i="8"/>
  <c r="AB131" i="8" s="1"/>
  <c r="U133" i="8"/>
  <c r="U131" i="8" s="1"/>
  <c r="V133" i="8"/>
  <c r="V131" i="8" s="1"/>
  <c r="Z133" i="8"/>
  <c r="Z131" i="8" s="1"/>
  <c r="AC133" i="8"/>
  <c r="AC131" i="8" s="1"/>
  <c r="AD133" i="8"/>
  <c r="AD131" i="8" s="1"/>
  <c r="AE133" i="8"/>
  <c r="AE131" i="8" s="1"/>
  <c r="T133" i="8"/>
  <c r="T131" i="8" s="1"/>
  <c r="X133" i="8"/>
  <c r="X131" i="8" s="1"/>
  <c r="W133" i="8"/>
  <c r="W131" i="8" s="1"/>
  <c r="Y133" i="8"/>
  <c r="Y131" i="8" s="1"/>
  <c r="G134" i="8"/>
  <c r="I135" i="8" s="1"/>
  <c r="G135" i="8"/>
  <c r="F134" i="8"/>
  <c r="Q134" i="8"/>
  <c r="R136" i="8"/>
  <c r="E138" i="8"/>
  <c r="F135" i="8"/>
  <c r="R137" i="8" l="1"/>
  <c r="U136" i="8" s="1"/>
  <c r="U134" i="8" s="1"/>
  <c r="O137" i="8"/>
  <c r="N137" i="8"/>
  <c r="P137" i="8"/>
  <c r="M137" i="8"/>
  <c r="L137" i="8"/>
  <c r="I137" i="8"/>
  <c r="H137" i="8"/>
  <c r="C134" i="8"/>
  <c r="B134" i="8"/>
  <c r="E136" i="8"/>
  <c r="V136" i="8" l="1"/>
  <c r="V134" i="8" s="1"/>
  <c r="Y136" i="8"/>
  <c r="Y134" i="8" s="1"/>
  <c r="D136" i="8"/>
  <c r="D134" i="8" s="1"/>
  <c r="F137" i="8"/>
  <c r="AB136" i="8"/>
  <c r="AB134" i="8" s="1"/>
  <c r="AC136" i="8"/>
  <c r="AC134" i="8" s="1"/>
  <c r="W136" i="8"/>
  <c r="W134" i="8" s="1"/>
  <c r="AD136" i="8"/>
  <c r="AD134" i="8" s="1"/>
  <c r="Z136" i="8"/>
  <c r="Z134" i="8" s="1"/>
  <c r="T136" i="8"/>
  <c r="T134" i="8" s="1"/>
  <c r="X136" i="8"/>
  <c r="X134" i="8" s="1"/>
  <c r="AA136" i="8"/>
  <c r="AA134" i="8" s="1"/>
  <c r="AE136" i="8"/>
  <c r="AE134" i="8" s="1"/>
  <c r="F138" i="8"/>
  <c r="R139" i="8"/>
  <c r="Q137" i="8"/>
  <c r="E141" i="8"/>
  <c r="G137" i="8"/>
  <c r="I138" i="8" s="1"/>
  <c r="G138" i="8"/>
  <c r="C137" i="8" l="1"/>
  <c r="B137" i="8"/>
  <c r="E139" i="8"/>
  <c r="R140" i="8"/>
  <c r="AC139" i="8" s="1"/>
  <c r="AC137" i="8" s="1"/>
  <c r="P140" i="8"/>
  <c r="O140" i="8"/>
  <c r="N140" i="8"/>
  <c r="M140" i="8"/>
  <c r="L140" i="8"/>
  <c r="I140" i="8"/>
  <c r="H140" i="8"/>
  <c r="U139" i="8" l="1"/>
  <c r="U137" i="8" s="1"/>
  <c r="D139" i="8"/>
  <c r="D137" i="8" s="1"/>
  <c r="V139" i="8"/>
  <c r="V137" i="8" s="1"/>
  <c r="T139" i="8"/>
  <c r="T137" i="8" s="1"/>
  <c r="F141" i="8"/>
  <c r="X139" i="8"/>
  <c r="X137" i="8" s="1"/>
  <c r="AD139" i="8"/>
  <c r="AD137" i="8" s="1"/>
  <c r="W139" i="8"/>
  <c r="W137" i="8" s="1"/>
  <c r="F140" i="8"/>
  <c r="AE139" i="8"/>
  <c r="AE137" i="8" s="1"/>
  <c r="Y139" i="8"/>
  <c r="Y137" i="8" s="1"/>
  <c r="Z139" i="8"/>
  <c r="Z137" i="8" s="1"/>
  <c r="AB139" i="8"/>
  <c r="AB137" i="8" s="1"/>
  <c r="R142" i="8"/>
  <c r="Q140" i="8"/>
  <c r="E144" i="8"/>
  <c r="G141" i="8"/>
  <c r="G140" i="8"/>
  <c r="I141" i="8" s="1"/>
  <c r="AA139" i="8"/>
  <c r="AA137" i="8" s="1"/>
  <c r="I143" i="8" l="1"/>
  <c r="H143" i="8"/>
  <c r="O143" i="8"/>
  <c r="N143" i="8"/>
  <c r="M143" i="8"/>
  <c r="L143" i="8"/>
  <c r="P143" i="8"/>
  <c r="R143" i="8"/>
  <c r="Z142" i="8" s="1"/>
  <c r="Z140" i="8" s="1"/>
  <c r="E142" i="8"/>
  <c r="C140" i="8"/>
  <c r="B140" i="8"/>
  <c r="AD142" i="8" l="1"/>
  <c r="AD140" i="8" s="1"/>
  <c r="AC142" i="8"/>
  <c r="AC140" i="8" s="1"/>
  <c r="AA142" i="8"/>
  <c r="AA140" i="8" s="1"/>
  <c r="AB142" i="8"/>
  <c r="AB140" i="8" s="1"/>
  <c r="D142" i="8"/>
  <c r="D140" i="8" s="1"/>
  <c r="V142" i="8"/>
  <c r="V140" i="8" s="1"/>
  <c r="T142" i="8"/>
  <c r="T140" i="8" s="1"/>
  <c r="U142" i="8"/>
  <c r="U140" i="8" s="1"/>
  <c r="W142" i="8"/>
  <c r="W140" i="8" s="1"/>
  <c r="X142" i="8"/>
  <c r="X140" i="8" s="1"/>
  <c r="Y142" i="8"/>
  <c r="Y140" i="8" s="1"/>
  <c r="G143" i="8"/>
  <c r="I144" i="8" s="1"/>
  <c r="G144" i="8"/>
  <c r="F144" i="8"/>
  <c r="R145" i="8"/>
  <c r="Q143" i="8"/>
  <c r="E147" i="8"/>
  <c r="F143" i="8"/>
  <c r="AE142" i="8"/>
  <c r="AE140" i="8" s="1"/>
  <c r="C143" i="8" l="1"/>
  <c r="B143" i="8"/>
  <c r="E145" i="8"/>
  <c r="R146" i="8"/>
  <c r="AB145" i="8" s="1"/>
  <c r="AB143" i="8" s="1"/>
  <c r="P146" i="8"/>
  <c r="N146" i="8"/>
  <c r="M146" i="8"/>
  <c r="H146" i="8"/>
  <c r="O146" i="8"/>
  <c r="L146" i="8"/>
  <c r="I146" i="8"/>
  <c r="F147" i="8" l="1"/>
  <c r="F146" i="8"/>
  <c r="Z145" i="8"/>
  <c r="Z143" i="8" s="1"/>
  <c r="W145" i="8"/>
  <c r="W143" i="8" s="1"/>
  <c r="AA145" i="8"/>
  <c r="AA143" i="8" s="1"/>
  <c r="Y145" i="8"/>
  <c r="Y143" i="8" s="1"/>
  <c r="G147" i="8"/>
  <c r="G146" i="8"/>
  <c r="I147" i="8" s="1"/>
  <c r="AC145" i="8"/>
  <c r="AC143" i="8" s="1"/>
  <c r="AD145" i="8"/>
  <c r="AD143" i="8" s="1"/>
  <c r="R148" i="8"/>
  <c r="Q146" i="8"/>
  <c r="E150" i="8"/>
  <c r="X145" i="8"/>
  <c r="X143" i="8" s="1"/>
  <c r="U145" i="8"/>
  <c r="U143" i="8" s="1"/>
  <c r="AE145" i="8"/>
  <c r="AE143" i="8" s="1"/>
  <c r="D145" i="8"/>
  <c r="D143" i="8" s="1"/>
  <c r="T145" i="8"/>
  <c r="T143" i="8" s="1"/>
  <c r="V145" i="8"/>
  <c r="V143" i="8" s="1"/>
  <c r="B146" i="8" l="1"/>
  <c r="E148" i="8"/>
  <c r="C146" i="8"/>
  <c r="P149" i="8"/>
  <c r="O149" i="8"/>
  <c r="N149" i="8"/>
  <c r="M149" i="8"/>
  <c r="L149" i="8"/>
  <c r="I149" i="8"/>
  <c r="H149" i="8"/>
  <c r="R149" i="8"/>
  <c r="V148" i="8" s="1"/>
  <c r="V146" i="8" s="1"/>
  <c r="F149" i="8" l="1"/>
  <c r="AC148" i="8"/>
  <c r="AC146" i="8" s="1"/>
  <c r="AE148" i="8"/>
  <c r="AE146" i="8" s="1"/>
  <c r="AD148" i="8"/>
  <c r="AD146" i="8" s="1"/>
  <c r="T148" i="8"/>
  <c r="T146" i="8" s="1"/>
  <c r="F150" i="8"/>
  <c r="X148" i="8"/>
  <c r="X146" i="8" s="1"/>
  <c r="G150" i="8"/>
  <c r="G149" i="8"/>
  <c r="I150" i="8" s="1"/>
  <c r="U148" i="8"/>
  <c r="U146" i="8" s="1"/>
  <c r="Y148" i="8"/>
  <c r="Y146" i="8" s="1"/>
  <c r="D148" i="8"/>
  <c r="D146" i="8" s="1"/>
  <c r="AA148" i="8"/>
  <c r="AA146" i="8" s="1"/>
  <c r="R151" i="8"/>
  <c r="Q149" i="8"/>
  <c r="E153" i="8"/>
  <c r="W148" i="8"/>
  <c r="W146" i="8" s="1"/>
  <c r="AB148" i="8"/>
  <c r="AB146" i="8" s="1"/>
  <c r="Z148" i="8"/>
  <c r="Z146" i="8" s="1"/>
  <c r="E151" i="8" l="1"/>
  <c r="C149" i="8"/>
  <c r="B149" i="8"/>
  <c r="H152" i="8"/>
  <c r="I152" i="8"/>
  <c r="M152" i="8"/>
  <c r="R152" i="8"/>
  <c r="F153" i="8" s="1"/>
  <c r="P152" i="8"/>
  <c r="O152" i="8"/>
  <c r="N152" i="8"/>
  <c r="L152" i="8"/>
  <c r="U151" i="8" l="1"/>
  <c r="U149" i="8" s="1"/>
  <c r="V151" i="8"/>
  <c r="V149" i="8" s="1"/>
  <c r="W151" i="8"/>
  <c r="W149" i="8" s="1"/>
  <c r="X151" i="8"/>
  <c r="X149" i="8" s="1"/>
  <c r="Y151" i="8"/>
  <c r="Y149" i="8" s="1"/>
  <c r="AA151" i="8"/>
  <c r="AA149" i="8" s="1"/>
  <c r="Z151" i="8"/>
  <c r="Z149" i="8" s="1"/>
  <c r="R154" i="8"/>
  <c r="Q152" i="8"/>
  <c r="E156" i="8"/>
  <c r="G152" i="8"/>
  <c r="I153" i="8" s="1"/>
  <c r="G153" i="8"/>
  <c r="AC151" i="8"/>
  <c r="AC149" i="8" s="1"/>
  <c r="AE151" i="8"/>
  <c r="AE149" i="8" s="1"/>
  <c r="AB151" i="8"/>
  <c r="AB149" i="8" s="1"/>
  <c r="F152" i="8"/>
  <c r="D151" i="8"/>
  <c r="D149" i="8" s="1"/>
  <c r="AD151" i="8"/>
  <c r="AD149" i="8" s="1"/>
  <c r="T151" i="8"/>
  <c r="T149" i="8" s="1"/>
  <c r="C152" i="8" l="1"/>
  <c r="B152" i="8"/>
  <c r="E154" i="8"/>
  <c r="R155" i="8"/>
  <c r="AE154" i="8" s="1"/>
  <c r="AE152" i="8" s="1"/>
  <c r="P155" i="8"/>
  <c r="O155" i="8"/>
  <c r="M155" i="8"/>
  <c r="L155" i="8"/>
  <c r="N155" i="8"/>
  <c r="H155" i="8"/>
  <c r="I155" i="8"/>
  <c r="F155" i="8" l="1"/>
  <c r="F156" i="8"/>
  <c r="X154" i="8"/>
  <c r="X152" i="8" s="1"/>
  <c r="Y154" i="8"/>
  <c r="Y152" i="8" s="1"/>
  <c r="Z154" i="8"/>
  <c r="Z152" i="8" s="1"/>
  <c r="AA154" i="8"/>
  <c r="AA152" i="8" s="1"/>
  <c r="R157" i="8"/>
  <c r="Q155" i="8"/>
  <c r="E159" i="8"/>
  <c r="AC154" i="8"/>
  <c r="AC152" i="8" s="1"/>
  <c r="D154" i="8"/>
  <c r="D152" i="8" s="1"/>
  <c r="AD154" i="8"/>
  <c r="AD152" i="8" s="1"/>
  <c r="AB154" i="8"/>
  <c r="AB152" i="8" s="1"/>
  <c r="U154" i="8"/>
  <c r="U152" i="8" s="1"/>
  <c r="T154" i="8"/>
  <c r="T152" i="8" s="1"/>
  <c r="G156" i="8"/>
  <c r="G155" i="8"/>
  <c r="I156" i="8" s="1"/>
  <c r="W154" i="8"/>
  <c r="W152" i="8" s="1"/>
  <c r="V154" i="8"/>
  <c r="V152" i="8" s="1"/>
  <c r="E157" i="8" l="1"/>
  <c r="C155" i="8"/>
  <c r="B155" i="8"/>
  <c r="P158" i="8"/>
  <c r="O158" i="8"/>
  <c r="N158" i="8"/>
  <c r="M158" i="8"/>
  <c r="L158" i="8"/>
  <c r="I158" i="8"/>
  <c r="H158" i="8"/>
  <c r="R158" i="8"/>
  <c r="F159" i="8" s="1"/>
  <c r="AA157" i="8" l="1"/>
  <c r="AA155" i="8" s="1"/>
  <c r="AC157" i="8"/>
  <c r="AC155" i="8" s="1"/>
  <c r="D157" i="8"/>
  <c r="D155" i="8" s="1"/>
  <c r="AB157" i="8"/>
  <c r="AB155" i="8" s="1"/>
  <c r="T157" i="8"/>
  <c r="T155" i="8" s="1"/>
  <c r="V157" i="8"/>
  <c r="V155" i="8" s="1"/>
  <c r="G159" i="8"/>
  <c r="G158" i="8"/>
  <c r="I159" i="8" s="1"/>
  <c r="R160" i="8"/>
  <c r="Q158" i="8"/>
  <c r="E162" i="8"/>
  <c r="W157" i="8"/>
  <c r="W155" i="8" s="1"/>
  <c r="AD157" i="8"/>
  <c r="AD155" i="8" s="1"/>
  <c r="U157" i="8"/>
  <c r="U155" i="8" s="1"/>
  <c r="X157" i="8"/>
  <c r="X155" i="8" s="1"/>
  <c r="F158" i="8"/>
  <c r="AE157" i="8"/>
  <c r="AE155" i="8" s="1"/>
  <c r="Z157" i="8"/>
  <c r="Z155" i="8" s="1"/>
  <c r="Y157" i="8"/>
  <c r="Y155" i="8" s="1"/>
  <c r="R161" i="8" l="1"/>
  <c r="F162" i="8" s="1"/>
  <c r="P161" i="8"/>
  <c r="O161" i="8"/>
  <c r="N161" i="8"/>
  <c r="M161" i="8"/>
  <c r="L161" i="8"/>
  <c r="N26" i="8" s="1"/>
  <c r="Q26" i="8" s="1"/>
  <c r="I161" i="8"/>
  <c r="H161" i="8"/>
  <c r="E160" i="8"/>
  <c r="C158" i="8"/>
  <c r="B158" i="8"/>
  <c r="E28" i="8" l="1"/>
  <c r="N20" i="8"/>
  <c r="Q20" i="8" s="1"/>
  <c r="N23" i="8"/>
  <c r="Q23" i="8" s="1"/>
  <c r="W160" i="8"/>
  <c r="W158" i="8" s="1"/>
  <c r="Y160" i="8"/>
  <c r="Y158" i="8" s="1"/>
  <c r="U160" i="8"/>
  <c r="U158" i="8" s="1"/>
  <c r="X160" i="8"/>
  <c r="X158" i="8" s="1"/>
  <c r="T160" i="8"/>
  <c r="T158" i="8" s="1"/>
  <c r="V160" i="8"/>
  <c r="V158" i="8" s="1"/>
  <c r="AB160" i="8"/>
  <c r="AB158" i="8" s="1"/>
  <c r="AE160" i="8"/>
  <c r="AE158" i="8" s="1"/>
  <c r="D160" i="8"/>
  <c r="D158" i="8" s="1"/>
  <c r="AA160" i="8"/>
  <c r="AA158" i="8" s="1"/>
  <c r="AD160" i="8"/>
  <c r="AD158" i="8" s="1"/>
  <c r="Z160" i="8"/>
  <c r="Z158" i="8" s="1"/>
  <c r="AC160" i="8"/>
  <c r="AC158" i="8" s="1"/>
  <c r="R163" i="8"/>
  <c r="Q161" i="8"/>
  <c r="N17" i="8"/>
  <c r="Q17" i="8" s="1"/>
  <c r="G161" i="8"/>
  <c r="I162" i="8" s="1"/>
  <c r="G162" i="8"/>
  <c r="F161" i="8"/>
  <c r="E22" i="8" l="1"/>
  <c r="Z22" i="8" s="1"/>
  <c r="E25" i="8"/>
  <c r="AE163" i="8"/>
  <c r="AE161" i="8" s="1"/>
  <c r="AD163" i="8"/>
  <c r="AD161" i="8" s="1"/>
  <c r="AC163" i="8"/>
  <c r="AC161" i="8" s="1"/>
  <c r="AB163" i="8"/>
  <c r="AB161" i="8" s="1"/>
  <c r="AA163" i="8"/>
  <c r="AA161" i="8" s="1"/>
  <c r="C161" i="8"/>
  <c r="Z163" i="8"/>
  <c r="Z161" i="8" s="1"/>
  <c r="B161" i="8"/>
  <c r="Y163" i="8"/>
  <c r="Y161" i="8" s="1"/>
  <c r="X163" i="8"/>
  <c r="X161" i="8" s="1"/>
  <c r="W163" i="8"/>
  <c r="W161" i="8" s="1"/>
  <c r="U163" i="8"/>
  <c r="U161" i="8" s="1"/>
  <c r="T163" i="8"/>
  <c r="T161" i="8" s="1"/>
  <c r="V163" i="8"/>
  <c r="V161" i="8" s="1"/>
  <c r="E163" i="8"/>
  <c r="D163" i="8"/>
  <c r="D161" i="8" s="1"/>
  <c r="E19" i="8"/>
  <c r="AD19" i="8" s="1"/>
  <c r="AD22" i="8" l="1"/>
  <c r="X22" i="8"/>
  <c r="AB22" i="8"/>
  <c r="AE22" i="8"/>
  <c r="AC22" i="8"/>
  <c r="AA22" i="8"/>
  <c r="Y22" i="8"/>
  <c r="AB19" i="8"/>
  <c r="AE19" i="8"/>
  <c r="U19" i="8"/>
  <c r="X19" i="8"/>
  <c r="Y19" i="8"/>
  <c r="V19" i="8"/>
  <c r="W19" i="8"/>
  <c r="Z19" i="8"/>
  <c r="AA19" i="8"/>
  <c r="AC19" i="8"/>
  <c r="J10" i="13" l="1"/>
  <c r="F17" i="12" l="1"/>
  <c r="F14" i="12"/>
  <c r="F27" i="12"/>
  <c r="F16" i="12"/>
  <c r="H22" i="12" l="1"/>
  <c r="H23" i="12"/>
  <c r="H24" i="12"/>
  <c r="H18" i="12"/>
  <c r="H20" i="12"/>
  <c r="H29" i="12"/>
  <c r="H26" i="12"/>
  <c r="H25" i="12"/>
  <c r="I23" i="8" l="1"/>
  <c r="G29" i="6"/>
  <c r="F29" i="6"/>
  <c r="E29" i="12"/>
  <c r="W29" i="5"/>
  <c r="AC29" i="6" l="1"/>
  <c r="AD29" i="6"/>
  <c r="AE29" i="6"/>
  <c r="W22" i="8" s="1"/>
  <c r="AB29" i="6"/>
  <c r="V22" i="8" l="1"/>
  <c r="R26" i="8"/>
  <c r="Z25" i="8" l="1"/>
  <c r="AB25" i="8"/>
  <c r="AC25" i="8"/>
  <c r="AA25" i="8"/>
  <c r="AD25" i="8"/>
  <c r="T25" i="8"/>
  <c r="D25" i="8"/>
  <c r="X25" i="8"/>
  <c r="AE25" i="8"/>
  <c r="Y25" i="8"/>
  <c r="W25" i="8"/>
  <c r="Z28" i="8"/>
  <c r="Z26" i="8" s="1"/>
  <c r="T28" i="8"/>
  <c r="T26" i="8" s="1"/>
  <c r="AB28" i="8"/>
  <c r="AB26" i="8" s="1"/>
  <c r="X28" i="8"/>
  <c r="X26" i="8" s="1"/>
  <c r="U28" i="8"/>
  <c r="U26" i="8" s="1"/>
  <c r="AC28" i="8"/>
  <c r="AC26" i="8" s="1"/>
  <c r="AA28" i="8"/>
  <c r="AA26" i="8" s="1"/>
  <c r="Y28" i="8"/>
  <c r="Y26" i="8" s="1"/>
  <c r="AE28" i="8"/>
  <c r="AE26" i="8" s="1"/>
  <c r="V28" i="8"/>
  <c r="V26" i="8" s="1"/>
  <c r="AD28" i="8"/>
  <c r="AD26" i="8" s="1"/>
  <c r="D28" i="8"/>
  <c r="D26" i="8" s="1"/>
  <c r="W28" i="8"/>
  <c r="W26" i="8" s="1"/>
  <c r="F27" i="8"/>
  <c r="F26" i="8"/>
  <c r="G26" i="8"/>
  <c r="I27" i="8" s="1"/>
  <c r="C26" i="8"/>
  <c r="G27" i="8"/>
  <c r="J27" i="12"/>
  <c r="L27" i="12" l="1"/>
  <c r="K27" i="12" s="1"/>
  <c r="H26" i="8"/>
  <c r="H27" i="12" l="1"/>
  <c r="I29" i="5" l="1"/>
  <c r="B26" i="8" l="1"/>
  <c r="AF17" i="5" l="1"/>
  <c r="AF24" i="5"/>
  <c r="AF23" i="5"/>
  <c r="AF22" i="5"/>
  <c r="AF19" i="5"/>
  <c r="AF26" i="5"/>
  <c r="AF21" i="5"/>
  <c r="AF18" i="5"/>
  <c r="AF30" i="5"/>
  <c r="AF29" i="5"/>
  <c r="AF14" i="5"/>
  <c r="AF27" i="5"/>
  <c r="AF31" i="5"/>
  <c r="AF20" i="5"/>
  <c r="AF16" i="5"/>
  <c r="AF28" i="5"/>
  <c r="AF25" i="5"/>
  <c r="S16" i="5" l="1"/>
  <c r="AG16" i="5"/>
  <c r="R14" i="5"/>
  <c r="S14" i="5"/>
  <c r="G14" i="6" s="1"/>
  <c r="AG14" i="5"/>
  <c r="U29" i="5"/>
  <c r="AN29" i="5" s="1"/>
  <c r="AG29" i="5"/>
  <c r="S29" i="5"/>
  <c r="S19" i="5"/>
  <c r="AG19" i="5"/>
  <c r="U19" i="5"/>
  <c r="AN19" i="5" s="1"/>
  <c r="S17" i="5"/>
  <c r="AG17" i="5"/>
  <c r="S25" i="5"/>
  <c r="S28" i="5"/>
  <c r="S20" i="5"/>
  <c r="U31" i="5"/>
  <c r="S27" i="5"/>
  <c r="U30" i="5"/>
  <c r="AG18" i="5"/>
  <c r="R21" i="5"/>
  <c r="R26" i="5"/>
  <c r="S22" i="5"/>
  <c r="AG23" i="5"/>
  <c r="AG24" i="5"/>
  <c r="R25" i="5"/>
  <c r="U28" i="5"/>
  <c r="AG20" i="5"/>
  <c r="R31" i="5"/>
  <c r="U27" i="5"/>
  <c r="AG30" i="5"/>
  <c r="R18" i="5"/>
  <c r="U21" i="5"/>
  <c r="AG26" i="5"/>
  <c r="AG22" i="5"/>
  <c r="S23" i="5"/>
  <c r="R24" i="5"/>
  <c r="AG25" i="5"/>
  <c r="R28" i="5"/>
  <c r="U20" i="5"/>
  <c r="AG31" i="5"/>
  <c r="R27" i="5"/>
  <c r="S30" i="5"/>
  <c r="S18" i="5"/>
  <c r="S21" i="5"/>
  <c r="U26" i="5"/>
  <c r="R22" i="5"/>
  <c r="U23" i="5"/>
  <c r="U24" i="5"/>
  <c r="U25" i="5"/>
  <c r="AG28" i="5"/>
  <c r="R20" i="5"/>
  <c r="S31" i="5"/>
  <c r="AG27" i="5"/>
  <c r="R30" i="5"/>
  <c r="U18" i="5"/>
  <c r="AG21" i="5"/>
  <c r="S26" i="5"/>
  <c r="U22" i="5"/>
  <c r="R23" i="5"/>
  <c r="S24" i="5"/>
  <c r="G24" i="6" l="1"/>
  <c r="E23" i="12"/>
  <c r="F23" i="6"/>
  <c r="AN22" i="5"/>
  <c r="W22" i="5"/>
  <c r="X22" i="5" s="1"/>
  <c r="G26" i="6"/>
  <c r="W18" i="5"/>
  <c r="X18" i="5" s="1"/>
  <c r="AN18" i="5"/>
  <c r="F30" i="6"/>
  <c r="E30" i="12"/>
  <c r="G31" i="6"/>
  <c r="E20" i="12"/>
  <c r="F20" i="6"/>
  <c r="AN25" i="5"/>
  <c r="W25" i="5"/>
  <c r="X25" i="5" s="1"/>
  <c r="AN24" i="5"/>
  <c r="W24" i="5"/>
  <c r="X24" i="5" s="1"/>
  <c r="AN23" i="5"/>
  <c r="W23" i="5"/>
  <c r="X23" i="5" s="1"/>
  <c r="AC23" i="5" s="1"/>
  <c r="E22" i="12"/>
  <c r="F22" i="6"/>
  <c r="W26" i="5"/>
  <c r="X26" i="5" s="1"/>
  <c r="AN26" i="5"/>
  <c r="G21" i="6"/>
  <c r="G18" i="6"/>
  <c r="G30" i="6"/>
  <c r="E27" i="12"/>
  <c r="F27" i="6"/>
  <c r="W20" i="5"/>
  <c r="X20" i="5" s="1"/>
  <c r="AC20" i="5" s="1"/>
  <c r="AN20" i="5"/>
  <c r="E28" i="12"/>
  <c r="F28" i="6"/>
  <c r="F24" i="6"/>
  <c r="E24" i="12"/>
  <c r="G23" i="6"/>
  <c r="AN21" i="5"/>
  <c r="W21" i="5"/>
  <c r="X21" i="5" s="1"/>
  <c r="AC21" i="5" s="1"/>
  <c r="F18" i="6"/>
  <c r="E18" i="12"/>
  <c r="W27" i="5"/>
  <c r="X27" i="5" s="1"/>
  <c r="AN27" i="5"/>
  <c r="E31" i="12"/>
  <c r="F31" i="6"/>
  <c r="AN28" i="5"/>
  <c r="W28" i="5"/>
  <c r="X28" i="5" s="1"/>
  <c r="F25" i="6"/>
  <c r="E25" i="12"/>
  <c r="AC25" i="5"/>
  <c r="G22" i="6"/>
  <c r="F26" i="6"/>
  <c r="AC26" i="5"/>
  <c r="E26" i="12"/>
  <c r="F21" i="6"/>
  <c r="E21" i="12"/>
  <c r="AN30" i="5"/>
  <c r="W30" i="5"/>
  <c r="X30" i="5" s="1"/>
  <c r="G27" i="6"/>
  <c r="AN31" i="5"/>
  <c r="W31" i="5"/>
  <c r="X31" i="5" s="1"/>
  <c r="G20" i="6"/>
  <c r="G28" i="6"/>
  <c r="G25" i="6"/>
  <c r="F14" i="6"/>
  <c r="E14" i="12"/>
  <c r="AC14" i="5"/>
  <c r="AC24" i="5" l="1"/>
  <c r="AC18" i="5"/>
  <c r="AC27" i="5"/>
  <c r="AE30" i="6"/>
  <c r="Z30" i="5"/>
  <c r="AC30" i="6"/>
  <c r="AD30" i="6"/>
  <c r="I30" i="5"/>
  <c r="I31" i="5" s="1"/>
  <c r="AM30" i="5"/>
  <c r="X29" i="5"/>
  <c r="I30" i="12"/>
  <c r="AB30" i="6"/>
  <c r="L30" i="5"/>
  <c r="AC28" i="5"/>
  <c r="L28" i="5"/>
  <c r="C28" i="6" s="1"/>
  <c r="AB28" i="6"/>
  <c r="AC28" i="6"/>
  <c r="Z28" i="5"/>
  <c r="I28" i="12"/>
  <c r="AE28" i="6"/>
  <c r="AM28" i="5"/>
  <c r="AD28" i="6"/>
  <c r="Z24" i="5"/>
  <c r="AM24" i="5"/>
  <c r="AC24" i="6"/>
  <c r="AB24" i="6"/>
  <c r="AD24" i="6"/>
  <c r="AE24" i="6"/>
  <c r="L24" i="5"/>
  <c r="I24" i="12"/>
  <c r="AC30" i="5"/>
  <c r="X15" i="5"/>
  <c r="Z18" i="5"/>
  <c r="AC18" i="6"/>
  <c r="AB18" i="6"/>
  <c r="L18" i="5"/>
  <c r="AD18" i="6"/>
  <c r="X17" i="5"/>
  <c r="AE18" i="6"/>
  <c r="I18" i="12"/>
  <c r="I18" i="5"/>
  <c r="AM18" i="5"/>
  <c r="X16" i="5"/>
  <c r="AE31" i="6"/>
  <c r="AM31" i="5"/>
  <c r="AC31" i="6"/>
  <c r="AB31" i="6"/>
  <c r="L31" i="5"/>
  <c r="I31" i="12"/>
  <c r="Z31" i="5"/>
  <c r="AD31" i="6"/>
  <c r="AC31" i="5"/>
  <c r="AE27" i="6"/>
  <c r="AB27" i="6"/>
  <c r="Z27" i="5"/>
  <c r="AD27" i="6"/>
  <c r="AM27" i="5"/>
  <c r="L27" i="5"/>
  <c r="I27" i="12"/>
  <c r="AC27" i="6"/>
  <c r="AC21" i="6"/>
  <c r="L21" i="5"/>
  <c r="AE21" i="6"/>
  <c r="AM21" i="5"/>
  <c r="AD21" i="6"/>
  <c r="I21" i="12"/>
  <c r="AB21" i="6"/>
  <c r="Z21" i="5"/>
  <c r="AB21" i="5" s="1"/>
  <c r="AD23" i="6"/>
  <c r="AB23" i="6"/>
  <c r="Z23" i="5"/>
  <c r="AE23" i="6"/>
  <c r="I23" i="12"/>
  <c r="L23" i="5"/>
  <c r="AC23" i="6"/>
  <c r="AM23" i="5"/>
  <c r="Z25" i="5"/>
  <c r="AB25" i="6"/>
  <c r="AC25" i="6"/>
  <c r="AD25" i="6"/>
  <c r="AE25" i="6"/>
  <c r="AM25" i="5"/>
  <c r="I25" i="12"/>
  <c r="L25" i="5"/>
  <c r="AC22" i="5"/>
  <c r="AE22" i="6"/>
  <c r="AB22" i="6"/>
  <c r="AC22" i="6"/>
  <c r="L22" i="5"/>
  <c r="AD22" i="6"/>
  <c r="Z22" i="5"/>
  <c r="I22" i="12"/>
  <c r="AM22" i="5"/>
  <c r="Z20" i="5"/>
  <c r="AE20" i="6"/>
  <c r="L20" i="5"/>
  <c r="AC20" i="6"/>
  <c r="X19" i="5"/>
  <c r="AM20" i="5"/>
  <c r="AB20" i="6"/>
  <c r="I20" i="12"/>
  <c r="AD20" i="6"/>
  <c r="I20" i="5"/>
  <c r="I21" i="5" s="1"/>
  <c r="I22" i="5" s="1"/>
  <c r="I23" i="5" s="1"/>
  <c r="I24" i="5" s="1"/>
  <c r="I25" i="5" s="1"/>
  <c r="I26" i="5" s="1"/>
  <c r="I27" i="5" s="1"/>
  <c r="I28" i="5" s="1"/>
  <c r="O28" i="5" s="1"/>
  <c r="I26" i="12"/>
  <c r="AM26" i="5"/>
  <c r="L26" i="5"/>
  <c r="AD26" i="6"/>
  <c r="Z26" i="5"/>
  <c r="AE26" i="6"/>
  <c r="AC26" i="6"/>
  <c r="AB26" i="6"/>
  <c r="D28" i="12" l="1"/>
  <c r="E28" i="6"/>
  <c r="C20" i="6"/>
  <c r="O20" i="5"/>
  <c r="M20" i="12"/>
  <c r="C20" i="12"/>
  <c r="O20" i="12"/>
  <c r="AO20" i="12"/>
  <c r="U22" i="8"/>
  <c r="C22" i="6"/>
  <c r="O22" i="5"/>
  <c r="AB23" i="5"/>
  <c r="O31" i="12"/>
  <c r="AO31" i="12"/>
  <c r="M31" i="12"/>
  <c r="C31" i="12"/>
  <c r="AD15" i="6"/>
  <c r="S15" i="6" s="1"/>
  <c r="AB18" i="5"/>
  <c r="O24" i="12"/>
  <c r="C24" i="12"/>
  <c r="AO24" i="12"/>
  <c r="M24" i="12"/>
  <c r="AO28" i="12"/>
  <c r="Y28" i="12" s="1"/>
  <c r="M28" i="12"/>
  <c r="C28" i="12"/>
  <c r="O28" i="12"/>
  <c r="M30" i="12"/>
  <c r="M29" i="12" s="1"/>
  <c r="C30" i="12"/>
  <c r="O30" i="12"/>
  <c r="AO30" i="12"/>
  <c r="V25" i="8"/>
  <c r="D22" i="8"/>
  <c r="T22" i="8"/>
  <c r="AB25" i="5"/>
  <c r="C23" i="6"/>
  <c r="O23" i="5"/>
  <c r="C31" i="6"/>
  <c r="O31" i="5"/>
  <c r="AO18" i="12"/>
  <c r="O18" i="12"/>
  <c r="C18" i="12"/>
  <c r="M18" i="12"/>
  <c r="C18" i="6"/>
  <c r="O18" i="5"/>
  <c r="K73" i="10"/>
  <c r="M73" i="10"/>
  <c r="I73" i="10"/>
  <c r="Y73" i="10"/>
  <c r="AC73" i="10"/>
  <c r="Z15" i="5"/>
  <c r="AA73" i="10"/>
  <c r="AE73" i="10"/>
  <c r="U73" i="10"/>
  <c r="O73" i="10"/>
  <c r="W73" i="10"/>
  <c r="AM15" i="5"/>
  <c r="Q73" i="10"/>
  <c r="S73" i="10"/>
  <c r="C24" i="6"/>
  <c r="O24" i="5"/>
  <c r="AB28" i="5"/>
  <c r="L29" i="5"/>
  <c r="R23" i="8"/>
  <c r="I29" i="12"/>
  <c r="AM29" i="5"/>
  <c r="Z29" i="5"/>
  <c r="AC29" i="5"/>
  <c r="U25" i="8"/>
  <c r="O26" i="12"/>
  <c r="AO26" i="12"/>
  <c r="C26" i="12"/>
  <c r="M26" i="12"/>
  <c r="C22" i="12"/>
  <c r="AO22" i="12"/>
  <c r="M22" i="12"/>
  <c r="O22" i="12"/>
  <c r="AB22" i="5"/>
  <c r="C25" i="6"/>
  <c r="O25" i="5"/>
  <c r="AO23" i="12"/>
  <c r="C23" i="12"/>
  <c r="O23" i="12"/>
  <c r="M23" i="12"/>
  <c r="AO21" i="12"/>
  <c r="C21" i="12"/>
  <c r="O21" i="12"/>
  <c r="M21" i="12"/>
  <c r="C21" i="6"/>
  <c r="O21" i="5"/>
  <c r="M27" i="12"/>
  <c r="C27" i="12"/>
  <c r="AO27" i="12"/>
  <c r="O27" i="12"/>
  <c r="AB27" i="5"/>
  <c r="AM16" i="5"/>
  <c r="Z16" i="5"/>
  <c r="L16" i="5"/>
  <c r="I16" i="12"/>
  <c r="R14" i="8"/>
  <c r="O14" i="11"/>
  <c r="AC16" i="5"/>
  <c r="AE15" i="6"/>
  <c r="T15" i="6" s="1"/>
  <c r="T19" i="8"/>
  <c r="AB15" i="6"/>
  <c r="D19" i="8"/>
  <c r="O30" i="5"/>
  <c r="C30" i="6"/>
  <c r="AB30" i="5"/>
  <c r="AB26" i="5"/>
  <c r="C26" i="6"/>
  <c r="O26" i="5"/>
  <c r="R20" i="8"/>
  <c r="AM19" i="5"/>
  <c r="Z19" i="5"/>
  <c r="I19" i="12"/>
  <c r="L19" i="5"/>
  <c r="AC19" i="5"/>
  <c r="AB20" i="5"/>
  <c r="C25" i="12"/>
  <c r="M25" i="12"/>
  <c r="AO25" i="12"/>
  <c r="O25" i="12"/>
  <c r="C27" i="6"/>
  <c r="O27" i="5"/>
  <c r="AB31" i="5"/>
  <c r="R17" i="8"/>
  <c r="I17" i="12"/>
  <c r="L17" i="5"/>
  <c r="Z17" i="5"/>
  <c r="AM17" i="5"/>
  <c r="AC17" i="5"/>
  <c r="AC15" i="6"/>
  <c r="R15" i="6" s="1"/>
  <c r="AB24" i="5"/>
  <c r="T17" i="8" l="1"/>
  <c r="N28" i="12"/>
  <c r="N26" i="12"/>
  <c r="Y27" i="12"/>
  <c r="Y21" i="12"/>
  <c r="Y23" i="12"/>
  <c r="N22" i="12"/>
  <c r="U23" i="8"/>
  <c r="N24" i="12"/>
  <c r="Y31" i="12"/>
  <c r="F17" i="8"/>
  <c r="AA16" i="8"/>
  <c r="AA14" i="8" s="1"/>
  <c r="AE17" i="8"/>
  <c r="AA17" i="8"/>
  <c r="U17" i="8"/>
  <c r="W16" i="8"/>
  <c r="W14" i="8" s="1"/>
  <c r="AD16" i="8"/>
  <c r="AD14" i="8" s="1"/>
  <c r="AD17" i="8"/>
  <c r="T16" i="8"/>
  <c r="T174" i="8" s="1"/>
  <c r="Z17" i="8"/>
  <c r="G18" i="8"/>
  <c r="AB17" i="8"/>
  <c r="AB16" i="8"/>
  <c r="AB14" i="8" s="1"/>
  <c r="X16" i="8"/>
  <c r="X14" i="8" s="1"/>
  <c r="W17" i="8"/>
  <c r="V17" i="8"/>
  <c r="Z16" i="8"/>
  <c r="Z14" i="8" s="1"/>
  <c r="AC16" i="8"/>
  <c r="AC14" i="8" s="1"/>
  <c r="Y17" i="8"/>
  <c r="G17" i="8"/>
  <c r="I18" i="8" s="1"/>
  <c r="AC17" i="8"/>
  <c r="F18" i="8"/>
  <c r="D16" i="8"/>
  <c r="AE16" i="8"/>
  <c r="AE14" i="8" s="1"/>
  <c r="V16" i="8"/>
  <c r="V14" i="8" s="1"/>
  <c r="X17" i="8"/>
  <c r="U16" i="8"/>
  <c r="U14" i="8" s="1"/>
  <c r="Y16" i="8"/>
  <c r="Y14" i="8" s="1"/>
  <c r="C19" i="6"/>
  <c r="O19" i="5"/>
  <c r="V20" i="8"/>
  <c r="G21" i="8"/>
  <c r="Y20" i="8"/>
  <c r="W20" i="8"/>
  <c r="AC20" i="8"/>
  <c r="AA20" i="8"/>
  <c r="F21" i="8"/>
  <c r="AB20" i="8"/>
  <c r="Z20" i="8"/>
  <c r="AE20" i="8"/>
  <c r="F20" i="8"/>
  <c r="G20" i="8"/>
  <c r="I21" i="8" s="1"/>
  <c r="X20" i="8"/>
  <c r="AD20" i="8"/>
  <c r="D30" i="12"/>
  <c r="E30" i="6"/>
  <c r="C16" i="12"/>
  <c r="J16" i="12"/>
  <c r="E25" i="6"/>
  <c r="D25" i="12"/>
  <c r="J29" i="12"/>
  <c r="C29" i="12"/>
  <c r="Q72" i="10"/>
  <c r="Q71" i="10"/>
  <c r="Q70" i="10" s="1"/>
  <c r="U71" i="10"/>
  <c r="U70" i="10" s="1"/>
  <c r="U72" i="10"/>
  <c r="AC72" i="10"/>
  <c r="AC71" i="10"/>
  <c r="AC70" i="10" s="1"/>
  <c r="K72" i="10"/>
  <c r="K71" i="10"/>
  <c r="K70" i="10" s="1"/>
  <c r="AO29" i="12"/>
  <c r="Y30" i="12"/>
  <c r="AO19" i="12"/>
  <c r="Y20" i="12"/>
  <c r="E20" i="6"/>
  <c r="D20" i="12"/>
  <c r="N25" i="12"/>
  <c r="C19" i="12"/>
  <c r="J19" i="12"/>
  <c r="D26" i="12"/>
  <c r="E26" i="6"/>
  <c r="D17" i="8"/>
  <c r="AC11" i="5"/>
  <c r="C16" i="6"/>
  <c r="O16" i="5"/>
  <c r="N21" i="12"/>
  <c r="N23" i="12"/>
  <c r="W23" i="8"/>
  <c r="AB23" i="8"/>
  <c r="D23" i="8"/>
  <c r="AA23" i="8"/>
  <c r="G24" i="8"/>
  <c r="AC23" i="8"/>
  <c r="X23" i="8"/>
  <c r="AE23" i="8"/>
  <c r="F23" i="8"/>
  <c r="Z23" i="8"/>
  <c r="T23" i="8"/>
  <c r="F24" i="8"/>
  <c r="Y23" i="8"/>
  <c r="G23" i="8"/>
  <c r="I24" i="8" s="1"/>
  <c r="AD23" i="8"/>
  <c r="E24" i="6"/>
  <c r="D24" i="12"/>
  <c r="AE72" i="10"/>
  <c r="AE71" i="10"/>
  <c r="AE70" i="10" s="1"/>
  <c r="Y72" i="10"/>
  <c r="Y71" i="10"/>
  <c r="Y70" i="10" s="1"/>
  <c r="D18" i="12"/>
  <c r="E18" i="6"/>
  <c r="O17" i="12"/>
  <c r="O16" i="12"/>
  <c r="N18" i="12"/>
  <c r="E23" i="6"/>
  <c r="D23" i="12"/>
  <c r="T20" i="8"/>
  <c r="N30" i="12"/>
  <c r="O29" i="12"/>
  <c r="N29" i="12" s="1"/>
  <c r="Y24" i="12"/>
  <c r="AB16" i="5"/>
  <c r="AB17" i="5"/>
  <c r="C17" i="8" s="1"/>
  <c r="AB15" i="5"/>
  <c r="X31" i="12"/>
  <c r="W31" i="12"/>
  <c r="E22" i="6"/>
  <c r="D22" i="12"/>
  <c r="O19" i="12"/>
  <c r="N20" i="12"/>
  <c r="O17" i="5"/>
  <c r="C17" i="6"/>
  <c r="Y25" i="12"/>
  <c r="AB19" i="5"/>
  <c r="C20" i="8" s="1"/>
  <c r="AB29" i="5"/>
  <c r="C23" i="8" s="1"/>
  <c r="F28" i="7"/>
  <c r="F29" i="7"/>
  <c r="F53" i="7"/>
  <c r="F60" i="7"/>
  <c r="F55" i="7"/>
  <c r="F22" i="7"/>
  <c r="F21" i="7"/>
  <c r="F46" i="7"/>
  <c r="F52" i="7"/>
  <c r="F31" i="7"/>
  <c r="F62" i="7"/>
  <c r="F54" i="7"/>
  <c r="F36" i="7"/>
  <c r="F40" i="7"/>
  <c r="F14" i="7"/>
  <c r="F17" i="7"/>
  <c r="F20" i="7"/>
  <c r="F37" i="7"/>
  <c r="F38" i="7"/>
  <c r="F33" i="7"/>
  <c r="F57" i="7"/>
  <c r="F34" i="7"/>
  <c r="F43" i="7"/>
  <c r="F45" i="7"/>
  <c r="F16" i="7"/>
  <c r="F32" i="7"/>
  <c r="F24" i="7"/>
  <c r="F64" i="7"/>
  <c r="F19" i="7"/>
  <c r="F47" i="7"/>
  <c r="F35" i="7"/>
  <c r="F27" i="7"/>
  <c r="F61" i="7"/>
  <c r="F26" i="7"/>
  <c r="F44" i="7"/>
  <c r="F51" i="7"/>
  <c r="F18" i="7"/>
  <c r="F49" i="7"/>
  <c r="F30" i="7"/>
  <c r="F41" i="7"/>
  <c r="F25" i="7"/>
  <c r="F59" i="7"/>
  <c r="F63" i="7"/>
  <c r="Q15" i="6"/>
  <c r="F56" i="7"/>
  <c r="F42" i="7"/>
  <c r="F39" i="7"/>
  <c r="F23" i="7"/>
  <c r="F50" i="7"/>
  <c r="F48" i="7"/>
  <c r="F58" i="7"/>
  <c r="O24" i="11"/>
  <c r="L14" i="13"/>
  <c r="C14" i="11"/>
  <c r="W14" i="11"/>
  <c r="N27" i="12"/>
  <c r="E21" i="6"/>
  <c r="D21" i="12"/>
  <c r="Y22" i="12"/>
  <c r="Y26" i="12"/>
  <c r="C29" i="6"/>
  <c r="O29" i="5"/>
  <c r="W71" i="10"/>
  <c r="W70" i="10" s="1"/>
  <c r="W72" i="10"/>
  <c r="AA71" i="10"/>
  <c r="AA70" i="10" s="1"/>
  <c r="AA72" i="10"/>
  <c r="I72" i="10"/>
  <c r="AE9" i="10" s="1"/>
  <c r="I71" i="10"/>
  <c r="I70" i="10" s="1"/>
  <c r="Y9" i="10" s="1"/>
  <c r="AO17" i="12"/>
  <c r="AO16" i="12"/>
  <c r="Y16" i="12" s="1"/>
  <c r="Y18" i="12"/>
  <c r="D20" i="8"/>
  <c r="N31" i="12"/>
  <c r="C17" i="12"/>
  <c r="J17" i="12"/>
  <c r="E27" i="6"/>
  <c r="D27" i="12"/>
  <c r="G15" i="8"/>
  <c r="F14" i="8"/>
  <c r="G14" i="8"/>
  <c r="I15" i="8" s="1"/>
  <c r="F15" i="8"/>
  <c r="Q165" i="8"/>
  <c r="H165" i="8" s="1"/>
  <c r="D174" i="8"/>
  <c r="W27" i="12"/>
  <c r="X27" i="12"/>
  <c r="W21" i="12"/>
  <c r="X21" i="12"/>
  <c r="W23" i="12"/>
  <c r="X23" i="12"/>
  <c r="S71" i="10"/>
  <c r="S70" i="10" s="1"/>
  <c r="S72" i="10"/>
  <c r="O72" i="10"/>
  <c r="O71" i="10"/>
  <c r="O70" i="10" s="1"/>
  <c r="M71" i="10"/>
  <c r="M70" i="10" s="1"/>
  <c r="M72" i="10"/>
  <c r="M16" i="12"/>
  <c r="M17" i="12"/>
  <c r="D31" i="12"/>
  <c r="E31" i="6"/>
  <c r="V23" i="8"/>
  <c r="W28" i="12"/>
  <c r="X28" i="12"/>
  <c r="U20" i="8"/>
  <c r="M19" i="12"/>
  <c r="Y17" i="12" l="1"/>
  <c r="T28" i="12"/>
  <c r="V28" i="12"/>
  <c r="U28" i="12"/>
  <c r="T23" i="12"/>
  <c r="U23" i="12"/>
  <c r="V23" i="12"/>
  <c r="V27" i="12"/>
  <c r="U27" i="12"/>
  <c r="T27" i="12"/>
  <c r="W17" i="12"/>
  <c r="X17" i="12"/>
  <c r="A58" i="9"/>
  <c r="A58" i="10"/>
  <c r="A39" i="9"/>
  <c r="A39" i="10"/>
  <c r="A63" i="9"/>
  <c r="A63" i="10"/>
  <c r="A30" i="9"/>
  <c r="A30" i="10"/>
  <c r="A44" i="9"/>
  <c r="A44" i="10"/>
  <c r="A35" i="10"/>
  <c r="A35" i="9"/>
  <c r="A24" i="10"/>
  <c r="A24" i="9"/>
  <c r="A43" i="9"/>
  <c r="A43" i="10"/>
  <c r="A38" i="10"/>
  <c r="A38" i="9"/>
  <c r="A62" i="10"/>
  <c r="A62" i="9"/>
  <c r="A21" i="9"/>
  <c r="A21" i="10"/>
  <c r="A53" i="9"/>
  <c r="A53" i="10"/>
  <c r="V31" i="12"/>
  <c r="U31" i="12"/>
  <c r="T31" i="12"/>
  <c r="AD14" i="13"/>
  <c r="S14" i="13" s="1"/>
  <c r="M27" i="13" s="1"/>
  <c r="AG14" i="13"/>
  <c r="U14" i="13" s="1"/>
  <c r="AD4" i="13" s="1"/>
  <c r="AB14" i="11"/>
  <c r="L16" i="12"/>
  <c r="K16" i="12" s="1"/>
  <c r="N16" i="12"/>
  <c r="Y19" i="12"/>
  <c r="D170" i="8"/>
  <c r="D169" i="8"/>
  <c r="D165" i="8" s="1"/>
  <c r="X26" i="12"/>
  <c r="W26" i="12"/>
  <c r="A48" i="10"/>
  <c r="A48" i="9"/>
  <c r="A42" i="10"/>
  <c r="A42" i="9"/>
  <c r="A59" i="10"/>
  <c r="A59" i="9"/>
  <c r="A49" i="9"/>
  <c r="A49" i="10"/>
  <c r="A26" i="9"/>
  <c r="A26" i="10"/>
  <c r="A47" i="10"/>
  <c r="A47" i="9"/>
  <c r="A32" i="10"/>
  <c r="A32" i="9"/>
  <c r="A34" i="10"/>
  <c r="A34" i="9"/>
  <c r="A37" i="9"/>
  <c r="A37" i="10"/>
  <c r="A40" i="9"/>
  <c r="A40" i="10"/>
  <c r="A31" i="9"/>
  <c r="A31" i="10"/>
  <c r="A22" i="9"/>
  <c r="A22" i="10"/>
  <c r="A29" i="9"/>
  <c r="A29" i="10"/>
  <c r="W25" i="12"/>
  <c r="X25" i="12"/>
  <c r="N19" i="12"/>
  <c r="X24" i="12"/>
  <c r="W24" i="12"/>
  <c r="L17" i="12"/>
  <c r="K17" i="12" s="1"/>
  <c r="N17" i="12"/>
  <c r="X30" i="12"/>
  <c r="W30" i="12"/>
  <c r="D173" i="8" a="1"/>
  <c r="D173" i="8" s="1"/>
  <c r="D168" i="8" s="1"/>
  <c r="D14" i="8"/>
  <c r="V21" i="12"/>
  <c r="U21" i="12"/>
  <c r="T21" i="12"/>
  <c r="T170" i="8"/>
  <c r="T169" i="8"/>
  <c r="T165" i="8" s="1"/>
  <c r="U174" i="8"/>
  <c r="X18" i="12"/>
  <c r="W18" i="12"/>
  <c r="AE14" i="13"/>
  <c r="M14" i="13" s="1"/>
  <c r="M28" i="13" s="1"/>
  <c r="AF20" i="13"/>
  <c r="AD16" i="13"/>
  <c r="AG22" i="13"/>
  <c r="AG20" i="13"/>
  <c r="AF12" i="13"/>
  <c r="AD17" i="13"/>
  <c r="AD21" i="13"/>
  <c r="AH20" i="13"/>
  <c r="AC18" i="13"/>
  <c r="AG19" i="13"/>
  <c r="AC20" i="13"/>
  <c r="AG23" i="13"/>
  <c r="AG16" i="13"/>
  <c r="AF16" i="13"/>
  <c r="AH17" i="13"/>
  <c r="AE23" i="13"/>
  <c r="AF23" i="13"/>
  <c r="AD19" i="13"/>
  <c r="AD12" i="13"/>
  <c r="AC17" i="13"/>
  <c r="AC21" i="13"/>
  <c r="AF15" i="13"/>
  <c r="AH21" i="13"/>
  <c r="AE22" i="13"/>
  <c r="AH15" i="13"/>
  <c r="AC12" i="13"/>
  <c r="AD22" i="13"/>
  <c r="AD18" i="13"/>
  <c r="AC19" i="13"/>
  <c r="AF21" i="13"/>
  <c r="AD23" i="13"/>
  <c r="AH18" i="13"/>
  <c r="AH23" i="13"/>
  <c r="AD20" i="13"/>
  <c r="AF17" i="13"/>
  <c r="AE17" i="13"/>
  <c r="AH14" i="13"/>
  <c r="O14" i="13" s="1"/>
  <c r="AH16" i="13"/>
  <c r="AE19" i="13"/>
  <c r="AD15" i="13"/>
  <c r="AF18" i="13"/>
  <c r="AC16" i="13"/>
  <c r="AE18" i="13"/>
  <c r="AC15" i="13"/>
  <c r="AH12" i="13"/>
  <c r="AG15" i="13"/>
  <c r="AE15" i="13"/>
  <c r="AE12" i="13"/>
  <c r="AE20" i="13"/>
  <c r="AE16" i="13"/>
  <c r="AF19" i="13"/>
  <c r="AF22" i="13"/>
  <c r="AG21" i="13"/>
  <c r="AH19" i="13"/>
  <c r="AC22" i="13"/>
  <c r="AG12" i="13"/>
  <c r="AE21" i="13"/>
  <c r="AG18" i="13"/>
  <c r="AC23" i="13"/>
  <c r="AH22" i="13"/>
  <c r="AG17" i="13"/>
  <c r="X22" i="12"/>
  <c r="W22" i="12"/>
  <c r="D14" i="13"/>
  <c r="L28" i="13"/>
  <c r="V14" i="13"/>
  <c r="A50" i="9"/>
  <c r="A50" i="10"/>
  <c r="A56" i="10"/>
  <c r="A56" i="9"/>
  <c r="A25" i="9"/>
  <c r="A25" i="10"/>
  <c r="A18" i="10"/>
  <c r="A18" i="9"/>
  <c r="A61" i="10"/>
  <c r="A61" i="9"/>
  <c r="A19" i="10"/>
  <c r="A19" i="9"/>
  <c r="A16" i="10"/>
  <c r="A16" i="9"/>
  <c r="A57" i="10"/>
  <c r="A57" i="9"/>
  <c r="A20" i="9"/>
  <c r="A20" i="10"/>
  <c r="A36" i="9"/>
  <c r="A36" i="10"/>
  <c r="A52" i="9"/>
  <c r="A52" i="10"/>
  <c r="A55" i="10"/>
  <c r="A55" i="9"/>
  <c r="A28" i="9"/>
  <c r="A28" i="10"/>
  <c r="Y29" i="12"/>
  <c r="E19" i="6"/>
  <c r="D19" i="12"/>
  <c r="H20" i="8"/>
  <c r="X16" i="12"/>
  <c r="W16" i="12"/>
  <c r="E29" i="6"/>
  <c r="H23" i="8"/>
  <c r="D29" i="12"/>
  <c r="O25" i="11"/>
  <c r="AA7" i="11"/>
  <c r="A23" i="10"/>
  <c r="A23" i="9"/>
  <c r="A41" i="10"/>
  <c r="A41" i="9"/>
  <c r="A51" i="10"/>
  <c r="A51" i="9"/>
  <c r="A27" i="9"/>
  <c r="A27" i="10"/>
  <c r="A64" i="9"/>
  <c r="A64" i="10"/>
  <c r="A45" i="10"/>
  <c r="A45" i="9"/>
  <c r="A33" i="10"/>
  <c r="A33" i="9"/>
  <c r="A17" i="10"/>
  <c r="A17" i="9"/>
  <c r="A54" i="10"/>
  <c r="A54" i="9"/>
  <c r="A46" i="9"/>
  <c r="A46" i="10"/>
  <c r="A60" i="9"/>
  <c r="A60" i="10"/>
  <c r="H17" i="8"/>
  <c r="E17" i="6"/>
  <c r="D17" i="12"/>
  <c r="D16" i="12"/>
  <c r="H14" i="8"/>
  <c r="E16" i="6"/>
  <c r="L19" i="12"/>
  <c r="K19" i="12" s="1"/>
  <c r="W20" i="12"/>
  <c r="X20" i="12"/>
  <c r="L29" i="12"/>
  <c r="K29" i="12" s="1"/>
  <c r="T14" i="8"/>
  <c r="T173" i="8" a="1"/>
  <c r="T173" i="8" s="1"/>
  <c r="T22" i="12" l="1"/>
  <c r="U22" i="12"/>
  <c r="V22" i="12"/>
  <c r="T18" i="12"/>
  <c r="U18" i="12"/>
  <c r="V18" i="12"/>
  <c r="U30" i="12"/>
  <c r="T30" i="12"/>
  <c r="V30" i="12"/>
  <c r="T24" i="12"/>
  <c r="V24" i="12"/>
  <c r="U24" i="12"/>
  <c r="U25" i="12"/>
  <c r="T25" i="12"/>
  <c r="V25" i="12"/>
  <c r="X19" i="12"/>
  <c r="W19" i="12"/>
  <c r="T168" i="8"/>
  <c r="U173" i="8" a="1"/>
  <c r="U173" i="8" s="1"/>
  <c r="T20" i="12"/>
  <c r="U20" i="12"/>
  <c r="V20" i="12"/>
  <c r="V16" i="12"/>
  <c r="T16" i="12"/>
  <c r="U16" i="12"/>
  <c r="V15" i="13"/>
  <c r="V16" i="13" s="1"/>
  <c r="V17" i="13" s="1"/>
  <c r="V18" i="13" s="1"/>
  <c r="V19" i="13" s="1"/>
  <c r="V20" i="13" s="1"/>
  <c r="V21" i="13" s="1"/>
  <c r="V22" i="13" s="1"/>
  <c r="V23" i="13" s="1"/>
  <c r="I11" i="14" s="1"/>
  <c r="J11" i="14" s="1"/>
  <c r="K11" i="14" s="1"/>
  <c r="L11" i="14" s="1"/>
  <c r="W29" i="12"/>
  <c r="X29" i="12"/>
  <c r="D33" i="14"/>
  <c r="L24" i="13"/>
  <c r="P14" i="13"/>
  <c r="N14" i="13"/>
  <c r="O28" i="13"/>
  <c r="T17" i="12"/>
  <c r="V17" i="12"/>
  <c r="U17" i="12"/>
  <c r="O29" i="13"/>
  <c r="M24" i="13"/>
  <c r="U170" i="8"/>
  <c r="V174" i="8"/>
  <c r="U169" i="8"/>
  <c r="U165" i="8" s="1"/>
  <c r="T26" i="12"/>
  <c r="U26" i="12"/>
  <c r="V26" i="12"/>
  <c r="N14" i="11"/>
  <c r="N24" i="11" s="1"/>
  <c r="AB24" i="11"/>
  <c r="AB7" i="11" s="1"/>
  <c r="Z3" i="11" s="1"/>
  <c r="AA3" i="11" s="1"/>
  <c r="I28" i="14" l="1"/>
  <c r="J28" i="14" s="1"/>
  <c r="K28" i="14" s="1"/>
  <c r="L28" i="14" s="1"/>
  <c r="I18" i="14"/>
  <c r="J18" i="14" s="1"/>
  <c r="K18" i="14" s="1"/>
  <c r="L18" i="14" s="1"/>
  <c r="I35" i="14"/>
  <c r="J35" i="14" s="1"/>
  <c r="K35" i="14" s="1"/>
  <c r="L35" i="14" s="1"/>
  <c r="I12" i="14"/>
  <c r="J12" i="14" s="1"/>
  <c r="K12" i="14" s="1"/>
  <c r="L12" i="14" s="1"/>
  <c r="I32" i="14"/>
  <c r="J32" i="14" s="1"/>
  <c r="K32" i="14" s="1"/>
  <c r="L32" i="14" s="1"/>
  <c r="I41" i="14"/>
  <c r="J41" i="14" s="1"/>
  <c r="K41" i="14" s="1"/>
  <c r="L41" i="14" s="1"/>
  <c r="I34" i="14"/>
  <c r="J34" i="14" s="1"/>
  <c r="K34" i="14" s="1"/>
  <c r="L34" i="14" s="1"/>
  <c r="I22" i="14"/>
  <c r="J22" i="14" s="1"/>
  <c r="K22" i="14" s="1"/>
  <c r="L22" i="14" s="1"/>
  <c r="I16" i="14"/>
  <c r="J16" i="14" s="1"/>
  <c r="K16" i="14" s="1"/>
  <c r="L16" i="14" s="1"/>
  <c r="I13" i="14"/>
  <c r="J13" i="14" s="1"/>
  <c r="K13" i="14" s="1"/>
  <c r="L13" i="14" s="1"/>
  <c r="V173" i="8" a="1"/>
  <c r="V173" i="8" s="1"/>
  <c r="U168" i="8"/>
  <c r="U29" i="12"/>
  <c r="T29" i="12"/>
  <c r="V29" i="12"/>
  <c r="V170" i="8"/>
  <c r="V169" i="8"/>
  <c r="V165" i="8" s="1"/>
  <c r="W174" i="8"/>
  <c r="AA21" i="5"/>
  <c r="AD16" i="11"/>
  <c r="AD15" i="11"/>
  <c r="AD21" i="11"/>
  <c r="AD20" i="11"/>
  <c r="AD22" i="11"/>
  <c r="AD23" i="11"/>
  <c r="AD17" i="11"/>
  <c r="AD14" i="11"/>
  <c r="AD18" i="11"/>
  <c r="AD19" i="11"/>
  <c r="AD12" i="11"/>
  <c r="AA23" i="5"/>
  <c r="AA25" i="5"/>
  <c r="AA28" i="5"/>
  <c r="AA26" i="5"/>
  <c r="AA22" i="5"/>
  <c r="AA30" i="5"/>
  <c r="AA20" i="5"/>
  <c r="AA31" i="5"/>
  <c r="AA18" i="5"/>
  <c r="AA27" i="5"/>
  <c r="AA24" i="5"/>
  <c r="N28" i="13"/>
  <c r="P24" i="13"/>
  <c r="O24" i="13"/>
  <c r="F33" i="14"/>
  <c r="AD6" i="13"/>
  <c r="AE6" i="13" s="1"/>
  <c r="I8" i="14"/>
  <c r="J8" i="14" s="1"/>
  <c r="K8" i="14" s="1"/>
  <c r="L8" i="14" s="1"/>
  <c r="I21" i="14"/>
  <c r="J21" i="14" s="1"/>
  <c r="K21" i="14" s="1"/>
  <c r="L21" i="14" s="1"/>
  <c r="I10" i="14"/>
  <c r="J10" i="14" s="1"/>
  <c r="K10" i="14" s="1"/>
  <c r="L10" i="14" s="1"/>
  <c r="I46" i="14"/>
  <c r="J46" i="14" s="1"/>
  <c r="K46" i="14" s="1"/>
  <c r="L46" i="14" s="1"/>
  <c r="I20" i="14"/>
  <c r="J20" i="14" s="1"/>
  <c r="K20" i="14" s="1"/>
  <c r="L20" i="14" s="1"/>
  <c r="I19" i="14"/>
  <c r="J19" i="14" s="1"/>
  <c r="K19" i="14" s="1"/>
  <c r="L19" i="14" s="1"/>
  <c r="I42" i="14"/>
  <c r="J42" i="14" s="1"/>
  <c r="K42" i="14" s="1"/>
  <c r="L42" i="14" s="1"/>
  <c r="I44" i="14"/>
  <c r="J44" i="14" s="1"/>
  <c r="K44" i="14" s="1"/>
  <c r="L44" i="14" s="1"/>
  <c r="I38" i="14"/>
  <c r="J38" i="14" s="1"/>
  <c r="K38" i="14" s="1"/>
  <c r="L38" i="14" s="1"/>
  <c r="I9" i="14"/>
  <c r="J9" i="14" s="1"/>
  <c r="K9" i="14" s="1"/>
  <c r="L9" i="14" s="1"/>
  <c r="I40" i="14"/>
  <c r="J40" i="14" s="1"/>
  <c r="K40" i="14" s="1"/>
  <c r="L40" i="14" s="1"/>
  <c r="I30" i="14"/>
  <c r="J30" i="14" s="1"/>
  <c r="K30" i="14" s="1"/>
  <c r="L30" i="14" s="1"/>
  <c r="I31" i="14"/>
  <c r="J31" i="14" s="1"/>
  <c r="K31" i="14" s="1"/>
  <c r="L31" i="14" s="1"/>
  <c r="I15" i="14"/>
  <c r="J15" i="14" s="1"/>
  <c r="K15" i="14" s="1"/>
  <c r="L15" i="14" s="1"/>
  <c r="I27" i="14"/>
  <c r="J27" i="14" s="1"/>
  <c r="K27" i="14" s="1"/>
  <c r="L27" i="14" s="1"/>
  <c r="I23" i="14"/>
  <c r="J23" i="14" s="1"/>
  <c r="K23" i="14" s="1"/>
  <c r="L23" i="14" s="1"/>
  <c r="I25" i="14"/>
  <c r="J25" i="14" s="1"/>
  <c r="K25" i="14" s="1"/>
  <c r="L25" i="14" s="1"/>
  <c r="I43" i="14"/>
  <c r="J43" i="14" s="1"/>
  <c r="K43" i="14" s="1"/>
  <c r="L43" i="14" s="1"/>
  <c r="I45" i="14"/>
  <c r="J45" i="14" s="1"/>
  <c r="K45" i="14" s="1"/>
  <c r="L45" i="14" s="1"/>
  <c r="I29" i="14"/>
  <c r="J29" i="14" s="1"/>
  <c r="K29" i="14" s="1"/>
  <c r="L29" i="14" s="1"/>
  <c r="L27" i="13"/>
  <c r="D32" i="14" s="1"/>
  <c r="N25" i="11"/>
  <c r="I14" i="14"/>
  <c r="J14" i="14" s="1"/>
  <c r="K14" i="14" s="1"/>
  <c r="L14" i="14" s="1"/>
  <c r="I7" i="14"/>
  <c r="J7" i="14" s="1"/>
  <c r="K7" i="14" s="1"/>
  <c r="L7" i="14" s="1"/>
  <c r="I33" i="14"/>
  <c r="J33" i="14" s="1"/>
  <c r="K33" i="14" s="1"/>
  <c r="L33" i="14" s="1"/>
  <c r="I39" i="14"/>
  <c r="J39" i="14" s="1"/>
  <c r="K39" i="14" s="1"/>
  <c r="L39" i="14" s="1"/>
  <c r="I37" i="14"/>
  <c r="J37" i="14" s="1"/>
  <c r="K37" i="14" s="1"/>
  <c r="L37" i="14" s="1"/>
  <c r="I24" i="14"/>
  <c r="J24" i="14" s="1"/>
  <c r="K24" i="14" s="1"/>
  <c r="L24" i="14" s="1"/>
  <c r="I17" i="14"/>
  <c r="J17" i="14" s="1"/>
  <c r="K17" i="14" s="1"/>
  <c r="L17" i="14" s="1"/>
  <c r="I36" i="14"/>
  <c r="J36" i="14" s="1"/>
  <c r="K36" i="14" s="1"/>
  <c r="L36" i="14" s="1"/>
  <c r="I26" i="14"/>
  <c r="J26" i="14" s="1"/>
  <c r="K26" i="14" s="1"/>
  <c r="L26" i="14" s="1"/>
  <c r="I6" i="14"/>
  <c r="J6" i="14" s="1"/>
  <c r="K6" i="14" s="1"/>
  <c r="L6" i="14" s="1"/>
  <c r="U19" i="12"/>
  <c r="T19" i="12"/>
  <c r="V19" i="12"/>
  <c r="AE16" i="11" l="1"/>
  <c r="M16" i="11" s="1"/>
  <c r="L16" i="11" s="1"/>
  <c r="AE20" i="11"/>
  <c r="M20" i="11" s="1"/>
  <c r="L20" i="11" s="1"/>
  <c r="E33" i="14"/>
  <c r="E34" i="14"/>
  <c r="N24" i="13"/>
  <c r="AC27" i="13"/>
  <c r="AA19" i="5"/>
  <c r="B20" i="8" s="1"/>
  <c r="AE18" i="11"/>
  <c r="M18" i="11" s="1"/>
  <c r="L18" i="11" s="1"/>
  <c r="AE22" i="11"/>
  <c r="M22" i="11" s="1"/>
  <c r="L22" i="11" s="1"/>
  <c r="AE23" i="11"/>
  <c r="M23" i="11" s="1"/>
  <c r="L23" i="11" s="1"/>
  <c r="W169" i="8"/>
  <c r="W165" i="8" s="1"/>
  <c r="X174" i="8"/>
  <c r="W170" i="8"/>
  <c r="AD27" i="13"/>
  <c r="F34" i="14"/>
  <c r="G10" i="13"/>
  <c r="AA29" i="5"/>
  <c r="B23" i="8" s="1"/>
  <c r="AE17" i="11"/>
  <c r="M17" i="11" s="1"/>
  <c r="L17" i="11" s="1"/>
  <c r="AE21" i="11"/>
  <c r="M21" i="11" s="1"/>
  <c r="L21" i="11" s="1"/>
  <c r="AE15" i="11"/>
  <c r="M15" i="11" s="1"/>
  <c r="L15" i="11" s="1"/>
  <c r="AE4" i="13"/>
  <c r="O27" i="13" s="1"/>
  <c r="AA16" i="5"/>
  <c r="AA17" i="5"/>
  <c r="B17" i="8" s="1"/>
  <c r="AA15" i="5"/>
  <c r="AE12" i="11"/>
  <c r="M12" i="11" s="1"/>
  <c r="L12" i="11" s="1"/>
  <c r="AE19" i="11"/>
  <c r="M19" i="11" s="1"/>
  <c r="L19" i="11" s="1"/>
  <c r="V168" i="8"/>
  <c r="W173" i="8" a="1"/>
  <c r="W173" i="8" s="1"/>
  <c r="W168" i="8" l="1"/>
  <c r="X173" i="8" a="1"/>
  <c r="X173" i="8" s="1"/>
  <c r="AA14" i="11"/>
  <c r="AC14" i="13"/>
  <c r="R14" i="13" s="1"/>
  <c r="M26" i="13" s="1"/>
  <c r="AF14" i="13"/>
  <c r="T14" i="13" s="1"/>
  <c r="AD3" i="13" s="1"/>
  <c r="AD2" i="13" s="1"/>
  <c r="D172" i="8" a="1"/>
  <c r="D172" i="8" s="1"/>
  <c r="T172" i="8" a="1"/>
  <c r="T172" i="8" s="1"/>
  <c r="X169" i="8"/>
  <c r="X165" i="8" s="1"/>
  <c r="X170" i="8"/>
  <c r="Y174" i="8"/>
  <c r="N27" i="13"/>
  <c r="E32" i="14" s="1"/>
  <c r="F32" i="14"/>
  <c r="D167" i="8" l="1"/>
  <c r="D171" i="8"/>
  <c r="D166" i="8" s="1"/>
  <c r="M25" i="13"/>
  <c r="AE3" i="13"/>
  <c r="Y173" i="8" a="1"/>
  <c r="Y173" i="8" s="1"/>
  <c r="X168" i="8"/>
  <c r="Y170" i="8"/>
  <c r="Z174" i="8"/>
  <c r="Y169" i="8"/>
  <c r="Y165" i="8" s="1"/>
  <c r="T167" i="8"/>
  <c r="U172" i="8" a="1"/>
  <c r="U172" i="8" s="1"/>
  <c r="T171" i="8"/>
  <c r="T166" i="8" s="1"/>
  <c r="AA24" i="11"/>
  <c r="Z14" i="11"/>
  <c r="Z24" i="11" s="1"/>
  <c r="AE14" i="11" s="1"/>
  <c r="M14" i="11" s="1"/>
  <c r="Z170" i="8" l="1"/>
  <c r="AA174" i="8"/>
  <c r="Z169" i="8"/>
  <c r="Z165" i="8" s="1"/>
  <c r="O26" i="13"/>
  <c r="AE2" i="13"/>
  <c r="M24" i="11"/>
  <c r="L14" i="11"/>
  <c r="L24" i="11" s="1"/>
  <c r="U167" i="8"/>
  <c r="V172" i="8" a="1"/>
  <c r="V172" i="8" s="1"/>
  <c r="U171" i="8"/>
  <c r="U166" i="8" s="1"/>
  <c r="Y168" i="8"/>
  <c r="Z173" i="8" a="1"/>
  <c r="Z173" i="8" s="1"/>
  <c r="M10" i="11" l="1"/>
  <c r="N10" i="13" s="1"/>
  <c r="L26" i="13"/>
  <c r="M25" i="11"/>
  <c r="AA169" i="8"/>
  <c r="AA165" i="8" s="1"/>
  <c r="AB174" i="8"/>
  <c r="AA170" i="8"/>
  <c r="Z168" i="8"/>
  <c r="AA173" i="8" a="1"/>
  <c r="AA173" i="8" s="1"/>
  <c r="N26" i="13"/>
  <c r="E31" i="14" s="1"/>
  <c r="F31" i="14"/>
  <c r="O25" i="13"/>
  <c r="V167" i="8"/>
  <c r="W172" i="8" a="1"/>
  <c r="W172" i="8" s="1"/>
  <c r="V171" i="8"/>
  <c r="V166" i="8" s="1"/>
  <c r="L25" i="13"/>
  <c r="D30" i="14" s="1"/>
  <c r="L10" i="11"/>
  <c r="M10" i="13" s="1"/>
  <c r="L25" i="11"/>
  <c r="AB173" i="8" l="1" a="1"/>
  <c r="AB173" i="8" s="1"/>
  <c r="AA168" i="8"/>
  <c r="F30" i="14"/>
  <c r="N25" i="13"/>
  <c r="E30" i="14" s="1"/>
  <c r="G9" i="11"/>
  <c r="X172" i="8" a="1"/>
  <c r="X172" i="8" s="1"/>
  <c r="W167" i="8"/>
  <c r="W171" i="8"/>
  <c r="W166" i="8" s="1"/>
  <c r="D31" i="14"/>
  <c r="AC26" i="13"/>
  <c r="AD26" i="13"/>
  <c r="AB170" i="8"/>
  <c r="AC174" i="8"/>
  <c r="AB169" i="8"/>
  <c r="AB165" i="8" s="1"/>
  <c r="AC170" i="8" l="1"/>
  <c r="AC169" i="8"/>
  <c r="AC165" i="8" s="1"/>
  <c r="AD174" i="8"/>
  <c r="Y172" i="8" a="1"/>
  <c r="Y172" i="8" s="1"/>
  <c r="X167" i="8"/>
  <c r="X171" i="8"/>
  <c r="X166" i="8" s="1"/>
  <c r="AC173" i="8" a="1"/>
  <c r="AC173" i="8" s="1"/>
  <c r="AB168" i="8"/>
  <c r="AE174" i="8" l="1"/>
  <c r="AD169" i="8"/>
  <c r="AD165" i="8" s="1"/>
  <c r="AD170" i="8"/>
  <c r="Z172" i="8" a="1"/>
  <c r="Z172" i="8" s="1"/>
  <c r="Y167" i="8"/>
  <c r="Y171" i="8"/>
  <c r="Y166" i="8" s="1"/>
  <c r="AD173" i="8" a="1"/>
  <c r="AD173" i="8" s="1"/>
  <c r="AC168" i="8"/>
  <c r="AD168" i="8" l="1"/>
  <c r="AE173" i="8" a="1"/>
  <c r="AE173" i="8" s="1"/>
  <c r="AE168" i="8" s="1"/>
  <c r="Z167" i="8"/>
  <c r="AA172" i="8" a="1"/>
  <c r="AA172" i="8" s="1"/>
  <c r="Z171" i="8"/>
  <c r="Z166" i="8" s="1"/>
  <c r="J10" i="8"/>
  <c r="AE169" i="8"/>
  <c r="AE165" i="8" s="1"/>
  <c r="B9" i="9"/>
  <c r="AF174" i="8"/>
  <c r="AE170" i="8"/>
  <c r="AA167" i="8" l="1"/>
  <c r="AB172" i="8" a="1"/>
  <c r="AB172" i="8" s="1"/>
  <c r="AA171" i="8"/>
  <c r="AA166" i="8" s="1"/>
  <c r="AB167" i="8" l="1"/>
  <c r="AC172" i="8" a="1"/>
  <c r="AC172" i="8" s="1"/>
  <c r="AB171" i="8"/>
  <c r="AB166" i="8" s="1"/>
  <c r="AD172" i="8" l="1" a="1"/>
  <c r="AD172" i="8" s="1"/>
  <c r="AC167" i="8"/>
  <c r="AC171" i="8"/>
  <c r="AC166" i="8" s="1"/>
  <c r="AE172" i="8" l="1" a="1"/>
  <c r="AE172" i="8" s="1"/>
  <c r="AD167" i="8"/>
  <c r="AD171" i="8"/>
  <c r="AD166" i="8" s="1"/>
  <c r="AF172" i="8" l="1"/>
  <c r="AE167" i="8"/>
  <c r="AE171" i="8"/>
  <c r="AF171" i="8" l="1"/>
  <c r="AF173" i="8" s="1"/>
  <c r="AE16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1" authorId="0" shapeId="0" xr:uid="{00000000-0006-0000-0100-000001000000}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6" authorId="0" shapeId="0" xr:uid="{00000000-0006-0000-0300-000001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J7" authorId="0" shapeId="0" xr:uid="{00000000-0006-0000-0400-000001000000}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 xr:uid="{00000000-0006-0000-0400-000002000000}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 xr:uid="{00000000-0006-0000-0400-000003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 xr:uid="{00000000-0006-0000-0400-000004000000}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5" authorId="0" shapeId="0" xr:uid="{00000000-0006-0000-0600-000001000000}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A00-000001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8" authorId="0" shapeId="0" xr:uid="{00000000-0006-0000-0B00-000001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 xr:uid="{00000000-0006-0000-0B00-000002000000}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 xr:uid="{00000000-0006-0000-0B00-000003000000}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7" authorId="0" shapeId="0" xr:uid="{00000000-0006-0000-0C00-000001000000}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25" authorId="0" shapeId="0" xr:uid="{00000000-0006-0000-0C00-000002000000}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<sst xmlns="http://schemas.openxmlformats.org/spreadsheetml/2006/main" count="1227" uniqueCount="493">
  <si>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</si>
  <si>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</si>
  <si>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</si>
  <si>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</si>
  <si>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</si>
  <si>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</si>
  <si>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</si>
  <si>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</si>
  <si>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</si>
  <si>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</si>
  <si>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</si>
  <si>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</si>
  <si>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</si>
  <si>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</si>
  <si>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</si>
  <si>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</si>
  <si>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</si>
  <si>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</si>
  <si>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</si>
  <si>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</si>
  <si>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</si>
  <si>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</si>
  <si>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</si>
  <si>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</si>
  <si>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</si>
  <si>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</si>
  <si>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</si>
  <si>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</si>
  <si>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</si>
  <si>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</si>
  <si>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</si>
  <si>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</si>
  <si>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</si>
  <si>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</si>
  <si>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</si>
  <si>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</si>
  <si>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</si>
  <si>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</si>
  <si>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</si>
  <si>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</si>
  <si>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</si>
  <si>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</si>
  <si>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</si>
  <si>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</si>
  <si>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</si>
  <si>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</si>
  <si>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</si>
  <si>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</si>
  <si>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</si>
  <si>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</si>
  <si>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</si>
  <si>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</si>
  <si>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</si>
  <si>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</si>
  <si>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</si>
  <si>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</si>
  <si>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</si>
  <si>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</si>
  <si>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</si>
  <si>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</si>
  <si>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</si>
  <si>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</si>
  <si>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</si>
  <si>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</si>
  <si>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</si>
  <si>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</si>
  <si>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</si>
  <si>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</si>
  <si>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</si>
  <si>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</si>
  <si>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</si>
  <si>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</si>
  <si>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</si>
  <si>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</si>
  <si>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</si>
  <si>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</si>
  <si>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</si>
  <si>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</si>
  <si>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</si>
  <si>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</si>
  <si>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</si>
  <si>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</si>
  <si>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</si>
  <si>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</si>
  <si>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</si>
  <si>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</si>
  <si>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</si>
  <si>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</si>
  <si>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</si>
  <si>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</si>
  <si>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</si>
  <si>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</si>
  <si>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</si>
  <si>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</si>
  <si>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</si>
  <si>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</si>
  <si>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</si>
  <si>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</si>
  <si>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</si>
  <si>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</si>
  <si>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</si>
  <si>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</si>
  <si>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</si>
  <si>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</si>
  <si>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</si>
  <si>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</si>
  <si>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</si>
  <si>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</si>
  <si>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</si>
  <si>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</si>
  <si>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</si>
  <si>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</si>
  <si>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</si>
  <si>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</si>
  <si>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</si>
  <si>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</si>
  <si>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</si>
  <si>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</si>
  <si>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</si>
  <si>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</si>
  <si>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</si>
  <si>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</si>
  <si>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</si>
  <si>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</si>
  <si>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</si>
  <si>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</si>
  <si>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</si>
  <si>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</si>
  <si>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</si>
  <si>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</si>
  <si>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</si>
  <si>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</si>
  <si>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</si>
  <si>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</si>
  <si>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</si>
  <si>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</si>
  <si>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</si>
  <si>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</si>
  <si>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</si>
  <si>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</si>
  <si>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</si>
  <si>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</si>
  <si>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</si>
  <si>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</si>
  <si>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</si>
  <si>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</si>
  <si>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</si>
  <si>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</si>
  <si>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</si>
  <si>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</si>
  <si>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</si>
  <si>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</si>
  <si>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</si>
  <si>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</si>
  <si>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</si>
  <si>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</si>
  <si>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</si>
  <si>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</si>
  <si>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</si>
  <si>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</si>
  <si>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</si>
  <si>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</si>
  <si>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</si>
  <si>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</si>
  <si>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</si>
  <si>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</si>
  <si>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</si>
  <si>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</si>
  <si>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</si>
  <si>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</si>
  <si>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</si>
  <si>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</si>
  <si>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</si>
  <si>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</si>
  <si>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</si>
  <si>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</si>
  <si>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</si>
  <si>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</si>
  <si>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</si>
  <si>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</si>
  <si>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</si>
  <si>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</si>
  <si>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</si>
  <si>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</si>
  <si>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</si>
  <si>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</si>
  <si>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</si>
  <si>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</si>
  <si>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</si>
  <si>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</si>
  <si>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</si>
  <si>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</si>
  <si>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</si>
  <si>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</si>
  <si>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</si>
  <si>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</si>
  <si>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</si>
  <si>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</si>
  <si>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</si>
  <si>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</si>
  <si>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</si>
  <si>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</si>
  <si>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</si>
  <si>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</si>
  <si>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</si>
  <si>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</si>
  <si>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</si>
  <si>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</si>
  <si>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</si>
  <si>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</si>
  <si>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</si>
  <si>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</si>
  <si>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</si>
  <si>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</si>
  <si>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</si>
  <si>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</si>
  <si>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</si>
  <si>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</si>
  <si>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</si>
  <si>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</si>
  <si>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</si>
  <si>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</si>
  <si>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</si>
  <si>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</si>
  <si>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</si>
  <si>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</si>
  <si>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</si>
  <si>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</si>
  <si>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</si>
  <si>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</si>
  <si>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</si>
  <si>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</si>
  <si>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</si>
  <si>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</si>
  <si>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</si>
  <si>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</si>
  <si>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</si>
  <si>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</si>
  <si>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</si>
  <si>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</si>
  <si>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</si>
  <si>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</si>
  <si>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</si>
  <si>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</si>
  <si>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</si>
  <si>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</si>
  <si>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</si>
  <si>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</si>
  <si>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</si>
  <si>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</si>
  <si>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</si>
  <si>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</si>
  <si>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</si>
  <si>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</si>
  <si>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</si>
  <si>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</si>
  <si>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</si>
  <si>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</si>
  <si>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</si>
  <si>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</si>
  <si>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</si>
  <si>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</si>
  <si>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</si>
  <si>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</si>
  <si>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</si>
  <si>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</si>
  <si>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</si>
  <si>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</si>
  <si>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</si>
  <si>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</si>
  <si>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</si>
  <si>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</si>
  <si>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</si>
  <si>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</si>
  <si>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</si>
  <si>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</si>
  <si>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</si>
  <si>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</si>
  <si>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</si>
  <si>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</si>
  <si>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</si>
  <si>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</si>
  <si>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</si>
  <si>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</si>
  <si>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</si>
  <si>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</si>
  <si>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</si>
  <si>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</si>
  <si>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</si>
  <si>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</si>
  <si>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</si>
  <si>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</si>
  <si>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</si>
  <si>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</si>
  <si>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</si>
  <si>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</si>
  <si>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</si>
  <si>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</si>
  <si>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</si>
  <si>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</si>
  <si>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</si>
  <si>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</si>
  <si>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</si>
  <si>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</si>
  <si>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</si>
  <si>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</si>
  <si>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</si>
  <si>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</si>
  <si>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</si>
  <si>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</si>
  <si>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</si>
  <si>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</si>
  <si>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</si>
  <si>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</si>
  <si>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</si>
  <si>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</si>
  <si>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</si>
  <si>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</si>
  <si>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</si>
  <si>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</si>
  <si>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</si>
  <si>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</si>
  <si>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</si>
  <si>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</si>
  <si>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</si>
  <si>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</si>
  <si>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</si>
  <si>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</si>
  <si>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</si>
  <si>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</si>
  <si>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</si>
  <si>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</si>
  <si>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</si>
  <si>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</si>
  <si>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</si>
  <si>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</si>
  <si>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</si>
  <si>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</si>
  <si>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</si>
  <si>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</si>
  <si>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</si>
  <si>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</si>
  <si>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</si>
  <si>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</si>
  <si>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</si>
  <si>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</si>
  <si>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</si>
  <si>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</si>
  <si>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</si>
  <si>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</si>
  <si>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</si>
  <si>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</si>
  <si>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</si>
  <si>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</si>
  <si>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</si>
  <si>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</si>
  <si>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</si>
  <si>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</si>
  <si>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</si>
  <si>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</si>
  <si>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</si>
  <si>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</si>
  <si>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</si>
  <si>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</si>
  <si>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</si>
  <si>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</si>
  <si>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</si>
  <si>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</si>
  <si>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</si>
  <si>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</si>
  <si>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</si>
  <si>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</si>
  <si>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</si>
  <si>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</si>
  <si>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</si>
  <si>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</si>
  <si>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</si>
  <si>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</si>
  <si>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</si>
  <si>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</si>
  <si>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</si>
  <si>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</si>
  <si>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</si>
  <si>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</si>
  <si>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</si>
  <si>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</si>
  <si>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</si>
  <si>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</si>
  <si>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</si>
  <si>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</si>
  <si>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</si>
  <si>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</si>
  <si>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</si>
  <si>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</si>
  <si>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</si>
  <si>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</si>
  <si>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</si>
  <si>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</si>
  <si>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</si>
  <si>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</si>
  <si>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</si>
  <si>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</si>
  <si>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</si>
  <si>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</si>
  <si>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</si>
  <si>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</si>
  <si>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</si>
  <si>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</si>
  <si>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</si>
  <si>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</si>
  <si>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</si>
  <si>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</si>
  <si>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</si>
  <si>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</si>
  <si>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</si>
  <si>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</si>
  <si>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</si>
  <si>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</si>
  <si>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</si>
  <si>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</si>
  <si>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</si>
  <si>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</si>
  <si>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</si>
  <si>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</si>
  <si>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</si>
  <si>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</si>
  <si>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</si>
  <si>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</si>
  <si>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</si>
  <si>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</si>
  <si>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</si>
  <si>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</si>
  <si>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</si>
  <si>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</si>
  <si>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</si>
  <si>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</si>
  <si>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</si>
  <si>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v3.0.6</t>
  </si>
  <si>
    <t>Arredondamento das frentes:</t>
  </si>
  <si>
    <t>Tradicional</t>
  </si>
  <si>
    <t>V3.0.6</t>
  </si>
  <si>
    <t>Nº do TransfereGOV (000000):</t>
  </si>
  <si>
    <t>Nº TransfereGOV</t>
  </si>
  <si>
    <t>Adicionado modo de arredondamento para compatibilidade com o TransfereGOV, altera na aba DADOS</t>
  </si>
  <si>
    <t>A planilha passará a ser disponibilizada com o formato .xlsm. Deve ser usado arquivo referência 1.9 ou superior, também no formato .xlsm</t>
  </si>
  <si>
    <t>Nº TRANSFEREGOV</t>
  </si>
  <si>
    <t>Nº TGOV</t>
  </si>
  <si>
    <t>EMBOÇO, PINTURA E PISO</t>
  </si>
  <si>
    <t>ILUMINAÇÃO E CHUVEIROS</t>
  </si>
  <si>
    <t>10</t>
  </si>
  <si>
    <t>2,5M X 1,5M = 3,75M²</t>
  </si>
  <si>
    <t>PLACA</t>
  </si>
  <si>
    <t>LOUÇAS</t>
  </si>
  <si>
    <t>Definir Manualmente</t>
  </si>
  <si>
    <t>5.LOUÇAS</t>
  </si>
  <si>
    <t>OGU</t>
  </si>
  <si>
    <t>DESONERADO</t>
  </si>
  <si>
    <t>RENNAN ROBERTO DUARTE DA SILVA</t>
  </si>
  <si>
    <t>RJ2019107419D MG</t>
  </si>
  <si>
    <t>JOSÉ FRANCISCO MATOS E SILVA</t>
  </si>
  <si>
    <t>PREFEITO MUNICIPAL</t>
  </si>
  <si>
    <t>EMPREITADA POR PREÇO GLOBAL</t>
  </si>
  <si>
    <t>ENGENHEIRO CIVIL</t>
  </si>
  <si>
    <t>RJ2019107419 MG</t>
  </si>
  <si>
    <t>PREFEITURA MUNICIPAL DE BOM JARDIM DE MINAS</t>
  </si>
  <si>
    <t>BOM JARDIM DE MINAS - MG</t>
  </si>
  <si>
    <t>90822</t>
  </si>
  <si>
    <t>102203</t>
  </si>
  <si>
    <t>91338</t>
  </si>
  <si>
    <t>87777</t>
  </si>
  <si>
    <t>88489</t>
  </si>
  <si>
    <t>88485</t>
  </si>
  <si>
    <t>REFORMA - COLÉGIO TABOÃO</t>
  </si>
  <si>
    <t>96116</t>
  </si>
  <si>
    <t>EMBOÇO, FORRO, LOUÇAS E PORTAS</t>
  </si>
  <si>
    <t>187,27</t>
  </si>
  <si>
    <t>22</t>
  </si>
  <si>
    <t>36,96</t>
  </si>
  <si>
    <t>6,72</t>
  </si>
  <si>
    <t>4</t>
  </si>
  <si>
    <t>90</t>
  </si>
  <si>
    <t>38</t>
  </si>
  <si>
    <t>1411 + 1104 = 2515</t>
  </si>
  <si>
    <t>PINTURA</t>
  </si>
  <si>
    <t>(SERVIÇOS PRELIMINARES)</t>
  </si>
  <si>
    <t>4.PINTURA</t>
  </si>
  <si>
    <t>3.EMBOÇO, FORRO, LOUÇAS E PORTAS</t>
  </si>
  <si>
    <t>2.(SERVIÇOS PRELIMINARES)</t>
  </si>
  <si>
    <t>86888</t>
  </si>
  <si>
    <t>103782</t>
  </si>
  <si>
    <t>100860</t>
  </si>
  <si>
    <t>MG20243409885</t>
  </si>
  <si>
    <t>97640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</si>
</sst>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7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  <font>
      <b/>
      <sz val="8"/>
      <color rgb="FF33333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6" borderId="49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16" borderId="41" xfId="0" applyFill="1" applyBorder="1" applyAlignment="1" applyProtection="1">
      <alignment shrinkToFit="1"/>
      <protection locked="0"/>
    </xf>
    <xf numFmtId="0" fontId="0" fillId="0" borderId="109" xfId="0" applyBorder="1" applyAlignment="1">
      <alignment vertical="center"/>
    </xf>
    <xf numFmtId="0" fontId="0" fillId="16" borderId="110" xfId="0" applyFill="1" applyBorder="1" applyAlignment="1" applyProtection="1">
      <alignment vertical="center"/>
      <protection locked="0"/>
    </xf>
    <xf numFmtId="43" fontId="0" fillId="0" borderId="0" xfId="0" applyNumberFormat="1"/>
    <xf numFmtId="49" fontId="66" fillId="6" borderId="20" xfId="0" applyNumberFormat="1" applyFont="1" applyFill="1" applyBorder="1" applyAlignment="1" applyProtection="1">
      <alignment vertical="center"/>
      <protection locked="0"/>
    </xf>
    <xf numFmtId="49" fontId="66" fillId="6" borderId="28" xfId="0" applyNumberFormat="1" applyFont="1" applyFill="1" applyBorder="1" applyAlignment="1" applyProtection="1">
      <alignment vertical="center"/>
      <protection locked="0"/>
    </xf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0" xfId="33" applyFont="1" applyBorder="1" applyAlignment="1">
      <alignment horizontal="left" vertical="center"/>
    </xf>
    <xf numFmtId="0" fontId="8" fillId="0" borderId="32" xfId="33" applyFont="1" applyBorder="1" applyAlignment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0" fillId="0" borderId="32" xfId="33" applyFont="1" applyBorder="1" applyAlignment="1">
      <alignment horizontal="center" vertical="center" wrapText="1"/>
    </xf>
    <xf numFmtId="4" fontId="17" fillId="0" borderId="32" xfId="33" applyNumberFormat="1" applyFont="1" applyBorder="1" applyAlignment="1">
      <alignment horizontal="center" vertical="center"/>
    </xf>
    <xf numFmtId="4" fontId="17" fillId="0" borderId="32" xfId="33" applyNumberFormat="1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39" fillId="0" borderId="0" xfId="0" applyFont="1" applyAlignment="1">
      <alignment horizontal="center" textRotation="90"/>
    </xf>
    <xf numFmtId="0" fontId="0" fillId="0" borderId="0" xfId="33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0" fontId="24" fillId="0" borderId="32" xfId="33" applyFont="1" applyBorder="1" applyAlignment="1">
      <alignment horizontal="center" vertical="center"/>
    </xf>
    <xf numFmtId="0" fontId="17" fillId="0" borderId="32" xfId="33" applyFont="1" applyBorder="1" applyAlignment="1">
      <alignment horizontal="center" vertical="center"/>
    </xf>
    <xf numFmtId="0" fontId="24" fillId="0" borderId="31" xfId="35" applyFont="1" applyBorder="1" applyAlignment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3" fillId="0" borderId="32" xfId="33" applyFont="1" applyBorder="1" applyAlignment="1">
      <alignment horizont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24" fillId="17" borderId="3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11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0" fontId="24" fillId="8" borderId="1" xfId="0" applyFont="1" applyFill="1" applyBorder="1" applyAlignment="1">
      <alignment horizontal="center" wrapText="1"/>
    </xf>
    <xf numFmtId="176" fontId="24" fillId="8" borderId="32" xfId="0" applyNumberFormat="1" applyFont="1" applyFill="1" applyBorder="1" applyAlignment="1">
      <alignment horizontal="center" shrinkToFit="1"/>
    </xf>
    <xf numFmtId="10" fontId="56" fillId="0" borderId="82" xfId="37" applyNumberFormat="1" applyFill="1" applyBorder="1" applyAlignment="1" applyProtection="1">
      <alignment horizontal="center"/>
    </xf>
    <xf numFmtId="14" fontId="0" fillId="6" borderId="37" xfId="0" applyNumberFormat="1" applyFill="1" applyBorder="1" applyAlignment="1" applyProtection="1">
      <alignment horizontal="center"/>
      <protection locked="0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24" fillId="0" borderId="32" xfId="0" applyFont="1" applyBorder="1" applyAlignment="1">
      <alignment horizontal="right" vertical="center"/>
    </xf>
    <xf numFmtId="177" fontId="56" fillId="0" borderId="30" xfId="48" applyNumberFormat="1" applyFill="1" applyBorder="1" applyAlignment="1" applyProtection="1">
      <alignment horizontal="center" shrinkToFit="1"/>
    </xf>
    <xf numFmtId="177" fontId="56" fillId="0" borderId="14" xfId="48" applyNumberFormat="1" applyFill="1" applyBorder="1" applyAlignment="1" applyProtection="1">
      <alignment horizontal="center" shrinkToFit="1"/>
    </xf>
    <xf numFmtId="10" fontId="56" fillId="0" borderId="34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0" fontId="56" fillId="0" borderId="31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0" fontId="56" fillId="0" borderId="33" xfId="37" applyNumberFormat="1" applyFill="1" applyBorder="1" applyAlignment="1" applyProtection="1">
      <alignment horizontal="center"/>
    </xf>
    <xf numFmtId="177" fontId="56" fillId="0" borderId="47" xfId="48" applyNumberFormat="1" applyFill="1" applyBorder="1" applyAlignment="1" applyProtection="1">
      <alignment horizontal="center" shrinkToFit="1"/>
    </xf>
    <xf numFmtId="14" fontId="0" fillId="6" borderId="49" xfId="0" applyNumberFormat="1" applyFill="1" applyBorder="1" applyAlignment="1" applyProtection="1">
      <alignment horizontal="center"/>
      <protection locked="0"/>
    </xf>
    <xf numFmtId="0" fontId="24" fillId="8" borderId="32" xfId="0" applyFont="1" applyFill="1" applyBorder="1" applyAlignment="1">
      <alignment horizontal="center"/>
    </xf>
    <xf numFmtId="0" fontId="0" fillId="18" borderId="40" xfId="0" applyFill="1" applyBorder="1"/>
    <xf numFmtId="0" fontId="49" fillId="0" borderId="31" xfId="34" applyFont="1" applyBorder="1" applyAlignment="1">
      <alignment horizontal="center"/>
    </xf>
    <xf numFmtId="0" fontId="60" fillId="0" borderId="112" xfId="0" applyFont="1" applyBorder="1" applyAlignment="1">
      <alignment horizontal="center" vertical="top" wrapText="1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10" fontId="23" fillId="0" borderId="14" xfId="37" applyNumberFormat="1" applyFont="1" applyFill="1" applyBorder="1" applyAlignment="1" applyProtection="1">
      <alignment horizontal="center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23" fillId="6" borderId="33" xfId="0" applyFont="1" applyFill="1" applyBorder="1" applyAlignment="1">
      <alignment horizontal="left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0" fillId="0" borderId="14" xfId="0" applyBorder="1" applyAlignment="1">
      <alignment horizontal="center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24" fillId="8" borderId="113" xfId="0" applyFont="1" applyFill="1" applyBorder="1" applyAlignment="1">
      <alignment horizontal="center" vertical="center" wrapText="1"/>
    </xf>
    <xf numFmtId="0" fontId="24" fillId="8" borderId="114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center"/>
    </xf>
    <xf numFmtId="171" fontId="24" fillId="8" borderId="115" xfId="48" applyFont="1" applyFill="1" applyBorder="1" applyAlignment="1" applyProtection="1">
      <alignment horizontal="center" vertical="center"/>
    </xf>
    <xf numFmtId="171" fontId="24" fillId="8" borderId="116" xfId="48" applyFont="1" applyFill="1" applyBorder="1" applyAlignment="1" applyProtection="1">
      <alignment horizontal="center" vertical="center"/>
    </xf>
    <xf numFmtId="0" fontId="24" fillId="8" borderId="117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 xr:uid="{00000000-0005-0000-0000-00001F000000}"/>
    <cellStyle name="Normal" xfId="0" builtinId="0"/>
    <cellStyle name="Normal 2" xfId="33" xr:uid="{00000000-0005-0000-0000-000021000000}"/>
    <cellStyle name="Normal 3" xfId="34" xr:uid="{00000000-0005-0000-0000-000022000000}"/>
    <cellStyle name="Normal_FICHA DE VERIFICAÇÃO PRELIMINAR - Plano R" xfId="35" xr:uid="{00000000-0005-0000-0000-000023000000}"/>
    <cellStyle name="Nota" xfId="36" builtinId="10" customBuiltin="1"/>
    <cellStyle name="Porcentagem" xfId="37" builtinId="5"/>
    <cellStyle name="Porcentagem 2" xfId="38" xr:uid="{00000000-0005-0000-0000-000026000000}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 xr:uid="{00000000-0005-0000-0000-00002E000000}"/>
    <cellStyle name="Total" xfId="47" builtinId="25" customBuiltin="1"/>
    <cellStyle name="Vírgula" xfId="48" builtinId="3"/>
    <cellStyle name="Vírgula 2" xfId="49" xr:uid="{00000000-0005-0000-0000-000031000000}"/>
  </cellStyles>
  <dxfs count="243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ill>
        <patternFill>
          <bgColor rgb="FFFFC000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ill>
        <patternFill patternType="solid">
          <fgColor indexed="46"/>
          <bgColor indexed="55"/>
        </patternFill>
      </fill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border>
        <top style="thin">
          <color indexed="64"/>
        </top>
      </border>
    </dxf>
    <dxf>
      <border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6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6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2087880</xdr:colOff>
      <xdr:row>2</xdr:row>
      <xdr:rowOff>259080</xdr:rowOff>
    </xdr:to>
    <xdr:pic>
      <xdr:nvPicPr>
        <xdr:cNvPr id="20321" name="Imagem 23">
          <a:extLst>
            <a:ext uri="{FF2B5EF4-FFF2-40B4-BE49-F238E27FC236}">
              <a16:creationId xmlns:a16="http://schemas.microsoft.com/office/drawing/2014/main" id="{00000000-0008-0000-0000-0000614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90500"/>
          <a:ext cx="2476500" cy="541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4</xdr:row>
          <xdr:rowOff>0</xdr:rowOff>
        </xdr:from>
        <xdr:to>
          <xdr:col>2</xdr:col>
          <xdr:colOff>1264920</xdr:colOff>
          <xdr:row>6</xdr:row>
          <xdr:rowOff>7620</xdr:rowOff>
        </xdr:to>
        <xdr:grpSp>
          <xdr:nvGrpSpPr>
            <xdr:cNvPr id="20322" name="TipoOrçamento">
              <a:extLst>
                <a:ext uri="{FF2B5EF4-FFF2-40B4-BE49-F238E27FC236}">
                  <a16:creationId xmlns:a16="http://schemas.microsoft.com/office/drawing/2014/main" id="{00000000-0008-0000-0000-0000624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94360" y="967740"/>
              <a:ext cx="1257300" cy="487680"/>
              <a:chOff x="523876" y="971559"/>
              <a:chExt cx="1257300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9"/>
                <a:ext cx="1257300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1363980</xdr:colOff>
          <xdr:row>4</xdr:row>
          <xdr:rowOff>0</xdr:rowOff>
        </xdr:from>
        <xdr:to>
          <xdr:col>3</xdr:col>
          <xdr:colOff>22860</xdr:colOff>
          <xdr:row>6</xdr:row>
          <xdr:rowOff>7620</xdr:rowOff>
        </xdr:to>
        <xdr:grpSp>
          <xdr:nvGrpSpPr>
            <xdr:cNvPr id="20323" name="Acompanhamento">
              <a:extLst>
                <a:ext uri="{FF2B5EF4-FFF2-40B4-BE49-F238E27FC236}">
                  <a16:creationId xmlns:a16="http://schemas.microsoft.com/office/drawing/2014/main" id="{00000000-0008-0000-0000-0000634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950720" y="967740"/>
              <a:ext cx="1303020" cy="487680"/>
              <a:chOff x="1790691" y="971559"/>
              <a:chExt cx="1304925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691" y="971559"/>
                <a:ext cx="1304925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50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160019</xdr:rowOff>
    </xdr:from>
    <xdr:to>
      <xdr:col>9</xdr:col>
      <xdr:colOff>1144906</xdr:colOff>
      <xdr:row>9</xdr:row>
      <xdr:rowOff>38099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160020</xdr:rowOff>
    </xdr:from>
    <xdr:to>
      <xdr:col>9</xdr:col>
      <xdr:colOff>1144905</xdr:colOff>
      <xdr:row>17</xdr:row>
      <xdr:rowOff>38100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1135380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137160</xdr:colOff>
      <xdr:row>3</xdr:row>
      <xdr:rowOff>182880</xdr:rowOff>
    </xdr:to>
    <xdr:pic>
      <xdr:nvPicPr>
        <xdr:cNvPr id="11144" name="Picture 2">
          <a:extLst>
            <a:ext uri="{FF2B5EF4-FFF2-40B4-BE49-F238E27FC236}">
              <a16:creationId xmlns:a16="http://schemas.microsoft.com/office/drawing/2014/main" id="{00000000-0008-0000-0900-0000882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185928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28575</xdr:colOff>
      <xdr:row>9</xdr:row>
      <xdr:rowOff>109185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7620</xdr:rowOff>
        </xdr:from>
        <xdr:to>
          <xdr:col>11</xdr:col>
          <xdr:colOff>213360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31751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31751</xdr:colOff>
      <xdr:row>10</xdr:row>
      <xdr:rowOff>670136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23044" name="Picture 2">
          <a:extLst>
            <a:ext uri="{FF2B5EF4-FFF2-40B4-BE49-F238E27FC236}">
              <a16:creationId xmlns:a16="http://schemas.microsoft.com/office/drawing/2014/main" id="{00000000-0008-0000-0A00-0000045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0"/>
          <a:ext cx="184404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9525</xdr:rowOff>
    </xdr:from>
    <xdr:to>
      <xdr:col>4</xdr:col>
      <xdr:colOff>198145</xdr:colOff>
      <xdr:row>10</xdr:row>
      <xdr:rowOff>1059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369570</xdr:colOff>
      <xdr:row>8</xdr:row>
      <xdr:rowOff>11430</xdr:rowOff>
    </xdr:from>
    <xdr:to>
      <xdr:col>5</xdr:col>
      <xdr:colOff>558186</xdr:colOff>
      <xdr:row>10</xdr:row>
      <xdr:rowOff>9710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691515</xdr:colOff>
      <xdr:row>8</xdr:row>
      <xdr:rowOff>9525</xdr:rowOff>
    </xdr:from>
    <xdr:to>
      <xdr:col>6</xdr:col>
      <xdr:colOff>198119</xdr:colOff>
      <xdr:row>10</xdr:row>
      <xdr:rowOff>1059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766657</xdr:colOff>
      <xdr:row>8</xdr:row>
      <xdr:rowOff>10583</xdr:rowOff>
    </xdr:from>
    <xdr:to>
      <xdr:col>9</xdr:col>
      <xdr:colOff>463768</xdr:colOff>
      <xdr:row>10</xdr:row>
      <xdr:rowOff>4233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1276350</xdr:colOff>
      <xdr:row>8</xdr:row>
      <xdr:rowOff>57150</xdr:rowOff>
    </xdr:from>
    <xdr:to>
      <xdr:col>12</xdr:col>
      <xdr:colOff>445815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681990</xdr:colOff>
      <xdr:row>10</xdr:row>
      <xdr:rowOff>104775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220980</xdr:colOff>
          <xdr:row>9</xdr:row>
          <xdr:rowOff>45720</xdr:rowOff>
        </xdr:from>
        <xdr:to>
          <xdr:col>10</xdr:col>
          <xdr:colOff>525780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30480</xdr:colOff>
          <xdr:row>6</xdr:row>
          <xdr:rowOff>121920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22860</xdr:colOff>
      <xdr:row>0</xdr:row>
      <xdr:rowOff>15240</xdr:rowOff>
    </xdr:from>
    <xdr:to>
      <xdr:col>4</xdr:col>
      <xdr:colOff>1135380</xdr:colOff>
      <xdr:row>2</xdr:row>
      <xdr:rowOff>22860</xdr:rowOff>
    </xdr:to>
    <xdr:pic>
      <xdr:nvPicPr>
        <xdr:cNvPr id="22083" name="Picture 2">
          <a:extLst>
            <a:ext uri="{FF2B5EF4-FFF2-40B4-BE49-F238E27FC236}">
              <a16:creationId xmlns:a16="http://schemas.microsoft.com/office/drawing/2014/main" id="{00000000-0008-0000-0B00-0000435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15240"/>
          <a:ext cx="184404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794385</xdr:colOff>
      <xdr:row>8</xdr:row>
      <xdr:rowOff>112395</xdr:rowOff>
    </xdr:from>
    <xdr:to>
      <xdr:col>4</xdr:col>
      <xdr:colOff>2676525</xdr:colOff>
      <xdr:row>10</xdr:row>
      <xdr:rowOff>95412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42333</xdr:rowOff>
    </xdr:from>
    <xdr:to>
      <xdr:col>16</xdr:col>
      <xdr:colOff>0</xdr:colOff>
      <xdr:row>9</xdr:row>
      <xdr:rowOff>102792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63500</xdr:colOff>
      <xdr:row>8</xdr:row>
      <xdr:rowOff>116417</xdr:rowOff>
    </xdr:from>
    <xdr:to>
      <xdr:col>4</xdr:col>
      <xdr:colOff>650241</xdr:colOff>
      <xdr:row>10</xdr:row>
      <xdr:rowOff>101600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1386840</xdr:colOff>
      <xdr:row>0</xdr:row>
      <xdr:rowOff>381000</xdr:rowOff>
    </xdr:to>
    <xdr:pic>
      <xdr:nvPicPr>
        <xdr:cNvPr id="24595" name="Picture 2">
          <a:extLst>
            <a:ext uri="{FF2B5EF4-FFF2-40B4-BE49-F238E27FC236}">
              <a16:creationId xmlns:a16="http://schemas.microsoft.com/office/drawing/2014/main" id="{00000000-0008-0000-0C00-000013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0"/>
          <a:ext cx="19126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160020</xdr:rowOff>
    </xdr:from>
    <xdr:to>
      <xdr:col>24</xdr:col>
      <xdr:colOff>169545</xdr:colOff>
      <xdr:row>10</xdr:row>
      <xdr:rowOff>49546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85725</xdr:colOff>
      <xdr:row>8</xdr:row>
      <xdr:rowOff>28575</xdr:rowOff>
    </xdr:from>
    <xdr:to>
      <xdr:col>5</xdr:col>
      <xdr:colOff>142875</xdr:colOff>
      <xdr:row>10</xdr:row>
      <xdr:rowOff>11435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240453</xdr:colOff>
      <xdr:row>8</xdr:row>
      <xdr:rowOff>31750</xdr:rowOff>
    </xdr:from>
    <xdr:to>
      <xdr:col>5</xdr:col>
      <xdr:colOff>827194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459529</xdr:colOff>
      <xdr:row>1</xdr:row>
      <xdr:rowOff>64559</xdr:rowOff>
    </xdr:from>
    <xdr:to>
      <xdr:col>5</xdr:col>
      <xdr:colOff>486201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596265</xdr:colOff>
      <xdr:row>1</xdr:row>
      <xdr:rowOff>66675</xdr:rowOff>
    </xdr:from>
    <xdr:to>
      <xdr:col>3</xdr:col>
      <xdr:colOff>1183005</xdr:colOff>
      <xdr:row>2</xdr:row>
      <xdr:rowOff>210325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1236981</xdr:colOff>
      <xdr:row>1</xdr:row>
      <xdr:rowOff>63499</xdr:rowOff>
    </xdr:from>
    <xdr:to>
      <xdr:col>4</xdr:col>
      <xdr:colOff>399026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49540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</xdr:colOff>
      <xdr:row>0</xdr:row>
      <xdr:rowOff>15240</xdr:rowOff>
    </xdr:from>
    <xdr:to>
      <xdr:col>11</xdr:col>
      <xdr:colOff>403860</xdr:colOff>
      <xdr:row>2</xdr:row>
      <xdr:rowOff>38100</xdr:rowOff>
    </xdr:to>
    <xdr:pic>
      <xdr:nvPicPr>
        <xdr:cNvPr id="4848" name="Logo1">
          <a:extLst>
            <a:ext uri="{FF2B5EF4-FFF2-40B4-BE49-F238E27FC236}">
              <a16:creationId xmlns:a16="http://schemas.microsoft.com/office/drawing/2014/main" id="{00000000-0008-0000-03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" y="15240"/>
          <a:ext cx="183642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30903</xdr:rowOff>
    </xdr:from>
    <xdr:to>
      <xdr:col>8</xdr:col>
      <xdr:colOff>138854</xdr:colOff>
      <xdr:row>3</xdr:row>
      <xdr:rowOff>8555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57150</xdr:rowOff>
    </xdr:from>
    <xdr:to>
      <xdr:col>8</xdr:col>
      <xdr:colOff>138853</xdr:colOff>
      <xdr:row>5</xdr:row>
      <xdr:rowOff>42333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60960</xdr:colOff>
      <xdr:row>0</xdr:row>
      <xdr:rowOff>15240</xdr:rowOff>
    </xdr:from>
    <xdr:to>
      <xdr:col>15</xdr:col>
      <xdr:colOff>1036320</xdr:colOff>
      <xdr:row>1</xdr:row>
      <xdr:rowOff>167640</xdr:rowOff>
    </xdr:to>
    <xdr:pic>
      <xdr:nvPicPr>
        <xdr:cNvPr id="24130" name="Picture 2">
          <a:extLst>
            <a:ext uri="{FF2B5EF4-FFF2-40B4-BE49-F238E27FC236}">
              <a16:creationId xmlns:a16="http://schemas.microsoft.com/office/drawing/2014/main" id="{00000000-0008-0000-0400-0000425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" y="15240"/>
          <a:ext cx="1844040" cy="3733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1051560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457200</xdr:colOff>
          <xdr:row>9</xdr:row>
          <xdr:rowOff>121920</xdr:rowOff>
        </xdr:from>
        <xdr:to>
          <xdr:col>19</xdr:col>
          <xdr:colOff>891540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449580</xdr:colOff>
          <xdr:row>9</xdr:row>
          <xdr:rowOff>121920</xdr:rowOff>
        </xdr:from>
        <xdr:to>
          <xdr:col>20</xdr:col>
          <xdr:colOff>876300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281940</xdr:colOff>
          <xdr:row>9</xdr:row>
          <xdr:rowOff>121920</xdr:rowOff>
        </xdr:from>
        <xdr:to>
          <xdr:col>21</xdr:col>
          <xdr:colOff>708660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358140</xdr:colOff>
          <xdr:row>9</xdr:row>
          <xdr:rowOff>121920</xdr:rowOff>
        </xdr:from>
        <xdr:to>
          <xdr:col>22</xdr:col>
          <xdr:colOff>792480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449580</xdr:colOff>
          <xdr:row>9</xdr:row>
          <xdr:rowOff>106680</xdr:rowOff>
        </xdr:from>
        <xdr:to>
          <xdr:col>23</xdr:col>
          <xdr:colOff>876300</xdr:colOff>
          <xdr:row>11</xdr:row>
          <xdr:rowOff>30480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302895</xdr:colOff>
      <xdr:row>0</xdr:row>
      <xdr:rowOff>144780</xdr:rowOff>
    </xdr:from>
    <xdr:to>
      <xdr:col>13</xdr:col>
      <xdr:colOff>285797</xdr:colOff>
      <xdr:row>2</xdr:row>
      <xdr:rowOff>38187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624896</xdr:colOff>
      <xdr:row>10</xdr:row>
      <xdr:rowOff>160060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93345</xdr:colOff>
      <xdr:row>9</xdr:row>
      <xdr:rowOff>0</xdr:rowOff>
    </xdr:from>
    <xdr:to>
      <xdr:col>17</xdr:col>
      <xdr:colOff>1560297</xdr:colOff>
      <xdr:row>10</xdr:row>
      <xdr:rowOff>160060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691515</xdr:colOff>
      <xdr:row>9</xdr:row>
      <xdr:rowOff>0</xdr:rowOff>
    </xdr:from>
    <xdr:to>
      <xdr:col>17</xdr:col>
      <xdr:colOff>9547</xdr:colOff>
      <xdr:row>10</xdr:row>
      <xdr:rowOff>160060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1644015</xdr:colOff>
      <xdr:row>9</xdr:row>
      <xdr:rowOff>0</xdr:rowOff>
    </xdr:from>
    <xdr:to>
      <xdr:col>17</xdr:col>
      <xdr:colOff>3339378</xdr:colOff>
      <xdr:row>10</xdr:row>
      <xdr:rowOff>160060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3404023</xdr:colOff>
      <xdr:row>9</xdr:row>
      <xdr:rowOff>1</xdr:rowOff>
    </xdr:from>
    <xdr:to>
      <xdr:col>18</xdr:col>
      <xdr:colOff>272154</xdr:colOff>
      <xdr:row>10</xdr:row>
      <xdr:rowOff>160061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303953</xdr:colOff>
      <xdr:row>2</xdr:row>
      <xdr:rowOff>84667</xdr:rowOff>
    </xdr:from>
    <xdr:to>
      <xdr:col>13</xdr:col>
      <xdr:colOff>285811</xdr:colOff>
      <xdr:row>4</xdr:row>
      <xdr:rowOff>69850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308186</xdr:colOff>
      <xdr:row>4</xdr:row>
      <xdr:rowOff>120650</xdr:rowOff>
    </xdr:from>
    <xdr:to>
      <xdr:col>13</xdr:col>
      <xdr:colOff>289945</xdr:colOff>
      <xdr:row>7</xdr:row>
      <xdr:rowOff>52916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15240</xdr:rowOff>
    </xdr:from>
    <xdr:to>
      <xdr:col>5</xdr:col>
      <xdr:colOff>1036320</xdr:colOff>
      <xdr:row>2</xdr:row>
      <xdr:rowOff>7620</xdr:rowOff>
    </xdr:to>
    <xdr:pic>
      <xdr:nvPicPr>
        <xdr:cNvPr id="21100" name="Picture 2">
          <a:extLst>
            <a:ext uri="{FF2B5EF4-FFF2-40B4-BE49-F238E27FC236}">
              <a16:creationId xmlns:a16="http://schemas.microsoft.com/office/drawing/2014/main" id="{00000000-0008-0000-0500-00006C5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1524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9525</xdr:rowOff>
    </xdr:from>
    <xdr:to>
      <xdr:col>3</xdr:col>
      <xdr:colOff>474303</xdr:colOff>
      <xdr:row>2</xdr:row>
      <xdr:rowOff>123825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179070</xdr:colOff>
      <xdr:row>11</xdr:row>
      <xdr:rowOff>266700</xdr:rowOff>
    </xdr:from>
    <xdr:to>
      <xdr:col>5</xdr:col>
      <xdr:colOff>2905076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2977515</xdr:colOff>
      <xdr:row>11</xdr:row>
      <xdr:rowOff>266700</xdr:rowOff>
    </xdr:from>
    <xdr:to>
      <xdr:col>6</xdr:col>
      <xdr:colOff>26724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93345</xdr:colOff>
      <xdr:row>11</xdr:row>
      <xdr:rowOff>266700</xdr:rowOff>
    </xdr:from>
    <xdr:to>
      <xdr:col>7</xdr:col>
      <xdr:colOff>908727</xdr:colOff>
      <xdr:row>11</xdr:row>
      <xdr:rowOff>581025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13547</xdr:rowOff>
    </xdr:from>
    <xdr:to>
      <xdr:col>3</xdr:col>
      <xdr:colOff>473228</xdr:colOff>
      <xdr:row>4</xdr:row>
      <xdr:rowOff>159597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718248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548640</xdr:colOff>
      <xdr:row>7</xdr:row>
      <xdr:rowOff>0</xdr:rowOff>
    </xdr:from>
    <xdr:to>
      <xdr:col>3</xdr:col>
      <xdr:colOff>2007789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2074545</xdr:colOff>
      <xdr:row>7</xdr:row>
      <xdr:rowOff>0</xdr:rowOff>
    </xdr:from>
    <xdr:to>
      <xdr:col>5</xdr:col>
      <xdr:colOff>822924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365760</xdr:colOff>
      <xdr:row>4</xdr:row>
      <xdr:rowOff>167640</xdr:rowOff>
    </xdr:to>
    <xdr:pic>
      <xdr:nvPicPr>
        <xdr:cNvPr id="19188" name="Picture 2">
          <a:extLst>
            <a:ext uri="{FF2B5EF4-FFF2-40B4-BE49-F238E27FC236}">
              <a16:creationId xmlns:a16="http://schemas.microsoft.com/office/drawing/2014/main" id="{00000000-0008-0000-0700-0000F4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" y="0"/>
          <a:ext cx="1851660" cy="3581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729615</xdr:colOff>
      <xdr:row>4</xdr:row>
      <xdr:rowOff>190500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93345</xdr:rowOff>
    </xdr:from>
    <xdr:to>
      <xdr:col>23</xdr:col>
      <xdr:colOff>2956</xdr:colOff>
      <xdr:row>10</xdr:row>
      <xdr:rowOff>76147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102870</xdr:colOff>
      <xdr:row>8</xdr:row>
      <xdr:rowOff>93345</xdr:rowOff>
    </xdr:from>
    <xdr:to>
      <xdr:col>9</xdr:col>
      <xdr:colOff>76198</xdr:colOff>
      <xdr:row>10</xdr:row>
      <xdr:rowOff>76147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93345</xdr:rowOff>
    </xdr:from>
    <xdr:to>
      <xdr:col>25</xdr:col>
      <xdr:colOff>80433</xdr:colOff>
      <xdr:row>10</xdr:row>
      <xdr:rowOff>76147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137583</xdr:colOff>
      <xdr:row>8</xdr:row>
      <xdr:rowOff>93345</xdr:rowOff>
    </xdr:from>
    <xdr:to>
      <xdr:col>27</xdr:col>
      <xdr:colOff>99483</xdr:colOff>
      <xdr:row>10</xdr:row>
      <xdr:rowOff>76147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272415</xdr:colOff>
      <xdr:row>10</xdr:row>
      <xdr:rowOff>228600</xdr:rowOff>
    </xdr:from>
    <xdr:to>
      <xdr:col>2</xdr:col>
      <xdr:colOff>417249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613410</xdr:colOff>
      <xdr:row>10</xdr:row>
      <xdr:rowOff>238125</xdr:rowOff>
    </xdr:from>
    <xdr:to>
      <xdr:col>2</xdr:col>
      <xdr:colOff>2080159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5"/>
  <dimension ref="A1:O25"/>
  <sheetViews>
    <sheetView showGridLines="0" zoomScaleNormal="100" zoomScaleSheetLayoutView="85" workbookViewId="0">
      <selection activeCell="E6" sqref="E6"/>
    </sheetView>
  </sheetViews>
  <sheetFormatPr defaultRowHeight="13.2" x14ac:dyDescent="0.25"/>
  <cols>
    <col min="1" max="1" width="2.88671875" customWidth="1"/>
    <col min="2" max="2" width="5.6640625" customWidth="1"/>
    <col min="3" max="3" width="38.5546875" customWidth="1"/>
    <col min="4" max="4" width="5.6640625" customWidth="1"/>
    <col min="5" max="5" width="38.5546875" customWidth="1"/>
    <col min="6" max="6" width="5.6640625" customWidth="1"/>
    <col min="7" max="7" width="38.5546875" customWidth="1"/>
    <col min="8" max="8" width="5.6640625" customWidth="1"/>
    <col min="9" max="9" width="2.88671875" customWidth="1"/>
    <col min="10" max="10" width="19" customWidth="1"/>
    <col min="11" max="11" width="3" customWidth="1"/>
    <col min="13" max="13" width="1.5546875" customWidth="1"/>
    <col min="14" max="14" width="38.88671875" customWidth="1"/>
  </cols>
  <sheetData>
    <row r="1" spans="1:15" ht="15" customHeight="1" x14ac:dyDescent="0.25">
      <c r="A1" s="453"/>
      <c r="B1" s="453"/>
      <c r="C1" s="453"/>
      <c r="D1" s="453"/>
      <c r="E1" s="453"/>
      <c r="F1" s="453"/>
      <c r="G1" s="453"/>
      <c r="H1" s="453"/>
      <c r="I1" s="453"/>
      <c r="J1" t="s">
        <v>0</v>
      </c>
    </row>
    <row r="2" spans="1:15" ht="22.5" customHeight="1" x14ac:dyDescent="0.25">
      <c r="A2" s="453"/>
      <c r="B2" s="455"/>
      <c r="C2" s="455"/>
      <c r="D2" s="455"/>
      <c r="E2" s="578" t="str">
        <f>CHOOSE(MATCH(Objeto,{"PM","PO"}),"PLANILHA MÚLTIPLA ","PLANILHA ORÇAMENTÁRIA ")&amp; Versao</f>
        <v>PLANILHA MÚLTIPLA v3.0.6</v>
      </c>
      <c r="F2" s="578"/>
      <c r="G2" s="578"/>
      <c r="H2" s="457"/>
      <c r="I2" s="455"/>
      <c r="J2" t="s">
        <v>437</v>
      </c>
    </row>
    <row r="3" spans="1:15" ht="22.5" customHeight="1" x14ac:dyDescent="0.25">
      <c r="A3" s="453"/>
      <c r="B3" s="455"/>
      <c r="C3" s="455"/>
      <c r="D3" s="455"/>
      <c r="E3" s="578"/>
      <c r="F3" s="578"/>
      <c r="G3" s="578"/>
      <c r="H3" s="457"/>
      <c r="I3" s="455"/>
      <c r="O3" s="462">
        <v>1</v>
      </c>
    </row>
    <row r="4" spans="1:15" ht="17.100000000000001" customHeight="1" x14ac:dyDescent="0.25">
      <c r="A4" s="453"/>
      <c r="B4" s="455"/>
      <c r="C4" s="455"/>
      <c r="D4" s="455"/>
      <c r="E4" s="455"/>
      <c r="F4" s="456"/>
      <c r="G4" s="457"/>
      <c r="H4" s="457"/>
      <c r="I4" s="455"/>
      <c r="O4" s="462">
        <v>1</v>
      </c>
    </row>
    <row r="5" spans="1:15" ht="17.100000000000001" customHeight="1" thickBot="1" x14ac:dyDescent="0.3">
      <c r="A5" s="453"/>
      <c r="B5" s="455"/>
      <c r="C5" s="455"/>
      <c r="D5" s="455"/>
      <c r="E5" s="455"/>
      <c r="F5" s="456"/>
      <c r="G5" s="457"/>
      <c r="H5" s="457"/>
      <c r="I5" s="455"/>
      <c r="J5" s="480" t="s">
        <v>407</v>
      </c>
    </row>
    <row r="6" spans="1:15" ht="21" customHeight="1" thickBot="1" x14ac:dyDescent="0.3">
      <c r="A6" s="453"/>
      <c r="B6" s="453"/>
      <c r="C6" s="453"/>
      <c r="D6" s="453"/>
      <c r="E6" s="458" t="s">
        <v>400</v>
      </c>
      <c r="F6" s="454"/>
      <c r="G6" s="458" t="s">
        <v>401</v>
      </c>
      <c r="H6" s="453"/>
      <c r="I6" s="453"/>
      <c r="J6" s="480" t="s">
        <v>1</v>
      </c>
    </row>
    <row r="7" spans="1:15" x14ac:dyDescent="0.25">
      <c r="A7" s="453"/>
      <c r="B7" s="453"/>
      <c r="C7" s="453"/>
      <c r="D7" s="453"/>
      <c r="E7" s="453"/>
      <c r="F7" s="453"/>
      <c r="G7" s="453"/>
      <c r="H7" s="453"/>
      <c r="I7" s="453"/>
      <c r="J7" s="480" t="s">
        <v>364</v>
      </c>
      <c r="K7" s="470"/>
      <c r="L7" s="471"/>
      <c r="M7" s="471"/>
      <c r="N7" s="472"/>
    </row>
    <row r="8" spans="1:15" ht="21" customHeight="1" x14ac:dyDescent="0.25">
      <c r="A8" s="455"/>
      <c r="B8" s="577" t="str">
        <f>IF($O$3&lt;&gt;2,"DOCUMENTAÇÃO DA PROPOSTA","PROPOSTA: Para visualizar/preencher esta seção, altere o TIPO DE ORÇAMENTO para 'Proposto'")</f>
        <v>DOCUMENTAÇÃO DA PROPOSTA</v>
      </c>
      <c r="C8" s="577"/>
      <c r="D8" s="577"/>
      <c r="E8" s="577"/>
      <c r="F8" s="577"/>
      <c r="G8" s="577"/>
      <c r="H8" s="577"/>
      <c r="I8" s="453"/>
      <c r="J8" s="480" t="s">
        <v>4</v>
      </c>
      <c r="K8" s="473"/>
      <c r="L8" s="474" t="s">
        <v>402</v>
      </c>
      <c r="M8" s="474"/>
      <c r="N8" s="475"/>
    </row>
    <row r="9" spans="1:15" ht="13.8" thickBot="1" x14ac:dyDescent="0.3">
      <c r="A9" s="453"/>
      <c r="B9" s="453"/>
      <c r="C9" s="453"/>
      <c r="D9" s="453"/>
      <c r="E9" s="453"/>
      <c r="F9" s="453"/>
      <c r="G9" s="453"/>
      <c r="H9" s="453"/>
      <c r="I9" s="453"/>
      <c r="K9" s="473"/>
      <c r="L9" t="s">
        <v>405</v>
      </c>
      <c r="N9" s="475"/>
    </row>
    <row r="10" spans="1:15" ht="21" customHeight="1" thickBot="1" x14ac:dyDescent="0.3">
      <c r="A10" s="453"/>
      <c r="B10" s="453"/>
      <c r="C10" s="461" t="str">
        <f>IF(TIPOORCAMENTO&lt;&gt;"Proposto","","                    BDI                    ")</f>
        <v xml:space="preserve">                    BDI                    </v>
      </c>
      <c r="D10" s="454"/>
      <c r="E10" s="461" t="str">
        <f>IF(TIPOORCAMENTO&lt;&gt;"Proposto","","             ORÇAMENTO             ")</f>
        <v xml:space="preserve">             ORÇAMENTO             </v>
      </c>
      <c r="F10" s="454"/>
      <c r="G10" s="460" t="str">
        <f>IF(TIPOORCAMENTO&lt;&gt;"Proposto","","MEMÓRIA DE CÁLCULO / PLQ")</f>
        <v>MEMÓRIA DE CÁLCULO / PLQ</v>
      </c>
      <c r="H10" s="453"/>
      <c r="I10" s="453"/>
      <c r="K10" s="473"/>
      <c r="L10" s="5"/>
      <c r="M10" s="3"/>
      <c r="N10" s="476" t="s">
        <v>2</v>
      </c>
    </row>
    <row r="11" spans="1:15" ht="13.8" thickBot="1" x14ac:dyDescent="0.3">
      <c r="A11" s="453"/>
      <c r="B11" s="453"/>
      <c r="C11" s="454"/>
      <c r="D11" s="454"/>
      <c r="E11" s="454"/>
      <c r="F11" s="454"/>
      <c r="G11" s="454"/>
      <c r="H11" s="453"/>
      <c r="I11" s="453"/>
      <c r="K11" s="473"/>
      <c r="N11" s="475"/>
    </row>
    <row r="12" spans="1:15" ht="21" customHeight="1" thickBot="1" x14ac:dyDescent="0.3">
      <c r="A12" s="453"/>
      <c r="B12" s="453"/>
      <c r="C12" s="461" t="str">
        <f>IF(TIPOORCAMENTO&lt;&gt;"Proposto","","                    QCI                    ")</f>
        <v xml:space="preserve">                    QCI                    </v>
      </c>
      <c r="D12" s="454"/>
      <c r="E12" s="459" t="str">
        <f>IF(TIPOORCAMENTO&lt;&gt;"Proposto","","CRONOGRAMA FÍSICO-FINANCEIRO")</f>
        <v>CRONOGRAMA FÍSICO-FINANCEIRO</v>
      </c>
      <c r="F12" s="454"/>
      <c r="G12" s="454"/>
      <c r="H12" s="453"/>
      <c r="I12" s="453"/>
      <c r="K12" s="473"/>
      <c r="L12" s="6"/>
      <c r="M12" s="3"/>
      <c r="N12" s="476" t="s">
        <v>3</v>
      </c>
    </row>
    <row r="13" spans="1:15" x14ac:dyDescent="0.25">
      <c r="A13" s="453"/>
      <c r="B13" s="453"/>
      <c r="C13" s="453"/>
      <c r="D13" s="453"/>
      <c r="E13" s="453"/>
      <c r="F13" s="453"/>
      <c r="G13" s="453"/>
      <c r="H13" s="453"/>
      <c r="I13" s="453"/>
      <c r="K13" s="473"/>
      <c r="N13" s="475"/>
    </row>
    <row r="14" spans="1:15" x14ac:dyDescent="0.25">
      <c r="A14" s="453"/>
      <c r="B14" s="453"/>
      <c r="C14" s="453" t="str">
        <f ca="1">IF(TIPOORCAMENTO&lt;&gt;"Proposto","","Obs: Composições e Cotações devem ser preenchidas diretamente no arquivo Referência "&amp;IF(ISBLANK(Import.DataBase),"mm-aaaa",TEXT(Import.DataBase,"mm-aaaa"))&amp;".xlsm.")</f>
        <v>Obs: Composições e Cotações devem ser preenchidas diretamente no arquivo Referência 09-2024.xlsm.</v>
      </c>
      <c r="D14" s="453"/>
      <c r="E14" s="453"/>
      <c r="F14" s="453"/>
      <c r="G14" s="453"/>
      <c r="H14" s="453"/>
      <c r="I14" s="453"/>
      <c r="K14" s="473"/>
      <c r="N14" s="475"/>
    </row>
    <row r="15" spans="1:15" x14ac:dyDescent="0.25">
      <c r="A15" s="453"/>
      <c r="B15" s="453"/>
      <c r="C15" s="453"/>
      <c r="D15" s="453"/>
      <c r="E15" s="453"/>
      <c r="F15" s="453"/>
      <c r="G15" s="453"/>
      <c r="H15" s="453"/>
      <c r="I15" s="453"/>
      <c r="K15" s="473"/>
      <c r="L15" t="s">
        <v>406</v>
      </c>
      <c r="N15" s="475"/>
    </row>
    <row r="16" spans="1:15" ht="21" customHeight="1" x14ac:dyDescent="0.25">
      <c r="A16" s="453"/>
      <c r="B16" s="577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77"/>
      <c r="D16" s="577"/>
      <c r="E16" s="577"/>
      <c r="F16" s="577"/>
      <c r="G16" s="577"/>
      <c r="H16" s="577"/>
      <c r="I16" s="453"/>
      <c r="K16" s="473"/>
      <c r="L16" s="468"/>
      <c r="M16" s="3"/>
      <c r="N16" s="476" t="s">
        <v>403</v>
      </c>
    </row>
    <row r="17" spans="1:14" ht="13.8" thickBot="1" x14ac:dyDescent="0.3">
      <c r="A17" s="453"/>
      <c r="B17" s="453"/>
      <c r="C17" s="453"/>
      <c r="D17" s="453"/>
      <c r="E17" s="453"/>
      <c r="F17" s="453"/>
      <c r="G17" s="453"/>
      <c r="H17" s="453"/>
      <c r="I17" s="453"/>
      <c r="K17" s="473"/>
      <c r="N17" s="475"/>
    </row>
    <row r="18" spans="1:14" ht="21" customHeight="1" thickBot="1" x14ac:dyDescent="0.3">
      <c r="A18" s="453"/>
      <c r="B18" s="453"/>
      <c r="C18" s="464" t="str">
        <f>IF(TIPOORCAMENTO&lt;&gt;"Licitado","","             ORÇAMENTO             ")</f>
        <v/>
      </c>
      <c r="D18" s="454"/>
      <c r="E18" s="464" t="str">
        <f>IF(TIPOORCAMENTO&lt;&gt;"Licitado","","                    QCI                    ")</f>
        <v/>
      </c>
      <c r="F18" s="454"/>
      <c r="G18" s="463" t="str">
        <f>IF(TIPOORCAMENTO&lt;&gt;"Licitado","","CRONOGRAMA FÍSICO-FINANCEIRO")</f>
        <v/>
      </c>
      <c r="H18" s="453"/>
      <c r="I18" s="453"/>
      <c r="K18" s="473"/>
      <c r="L18" s="469"/>
      <c r="M18" s="3"/>
      <c r="N18" s="476" t="s">
        <v>404</v>
      </c>
    </row>
    <row r="19" spans="1:14" x14ac:dyDescent="0.25">
      <c r="A19" s="453"/>
      <c r="B19" s="453"/>
      <c r="C19" s="453"/>
      <c r="D19" s="453"/>
      <c r="E19" s="453"/>
      <c r="F19" s="453"/>
      <c r="G19" s="453"/>
      <c r="H19" s="453"/>
      <c r="I19" s="453"/>
      <c r="K19" s="477"/>
      <c r="L19" s="478"/>
      <c r="M19" s="478"/>
      <c r="N19" s="479"/>
    </row>
    <row r="20" spans="1:14" ht="21" customHeight="1" x14ac:dyDescent="0.25">
      <c r="A20" s="455"/>
      <c r="B20" s="577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77"/>
      <c r="D20" s="577"/>
      <c r="E20" s="577"/>
      <c r="F20" s="577"/>
      <c r="G20" s="577"/>
      <c r="H20" s="577"/>
      <c r="I20" s="453"/>
    </row>
    <row r="21" spans="1:14" ht="13.8" thickBot="1" x14ac:dyDescent="0.3">
      <c r="A21" s="453"/>
      <c r="B21" s="453"/>
      <c r="C21" s="453"/>
      <c r="D21" s="453"/>
      <c r="E21" s="453"/>
      <c r="F21" s="453"/>
      <c r="G21" s="453"/>
      <c r="H21" s="453"/>
      <c r="I21" s="453"/>
    </row>
    <row r="22" spans="1:14" ht="21" customHeight="1" thickBot="1" x14ac:dyDescent="0.3">
      <c r="A22" s="453"/>
      <c r="B22" s="453"/>
      <c r="C22" s="465" t="str">
        <f>IF(OR(TIPOORCAMENTO&lt;&gt;"Licitado",ACOMPANHAMENTO&lt;&gt;"PLE"),"","PLAN. DE LEVANT. DE EVENTOS - PLE")</f>
        <v/>
      </c>
      <c r="D22" s="454"/>
      <c r="E22" s="467" t="str">
        <f>IF(TIPOORCAMENTO&lt;&gt;"Licitado","","                    RRE                    ")</f>
        <v/>
      </c>
      <c r="F22" s="454"/>
      <c r="G22" s="466" t="str">
        <f>IF(OR(TIPOORCAMENTO&lt;&gt;"Licitado",ACOMPANHAMENTO&lt;&gt;"BM"),"","  BOLETIM DE MEDIÇÃO - BM  ")</f>
        <v/>
      </c>
      <c r="H22" s="453"/>
      <c r="I22" s="453"/>
    </row>
    <row r="23" spans="1:14" ht="13.8" thickBot="1" x14ac:dyDescent="0.3">
      <c r="A23" s="453"/>
      <c r="B23" s="453"/>
      <c r="C23" s="454"/>
      <c r="D23" s="454"/>
      <c r="E23" s="454"/>
      <c r="F23" s="454"/>
      <c r="G23" s="454"/>
      <c r="H23" s="453"/>
      <c r="I23" s="453"/>
    </row>
    <row r="24" spans="1:14" ht="21" customHeight="1" thickBot="1" x14ac:dyDescent="0.3">
      <c r="A24" s="453"/>
      <c r="B24" s="453"/>
      <c r="C24" s="454"/>
      <c r="D24" s="454"/>
      <c r="E24" s="465" t="str">
        <f>IF(TIPOORCAMENTO&lt;&gt;"Licitado","","OF. DE SOLICITAÇÃO DE DESBLOQUEIO")</f>
        <v/>
      </c>
      <c r="F24" s="454"/>
      <c r="G24" s="454"/>
      <c r="H24" s="453"/>
      <c r="I24" s="453"/>
    </row>
    <row r="25" spans="1:14" x14ac:dyDescent="0.25">
      <c r="A25" s="453"/>
      <c r="B25" s="453"/>
      <c r="C25" s="453"/>
      <c r="D25" s="453"/>
      <c r="E25" s="453"/>
      <c r="F25" s="453"/>
      <c r="G25" s="453"/>
      <c r="H25" s="453"/>
      <c r="I25" s="453"/>
    </row>
  </sheetData>
  <sheetProtection algorithmName="SHA-512" hashValue="ZjipzJCUXfwYqXUF6x0NfqaPBWuvxOmEo4vRftge9kCbaxrpLe9+32CGduu1xfYyUQMng6kGpu9qAuXFc1/wbg==" saltValue="FeCEYnS0C/1FDaKUcwwHFQ==" spinCount="100000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242" priority="70" stopIfTrue="1">
      <formula>TIPOORCAMENTO="Licitado"</formula>
    </cfRule>
  </conditionalFormatting>
  <conditionalFormatting sqref="C18:G18 E22:E24">
    <cfRule type="expression" dxfId="241" priority="71" stopIfTrue="1">
      <formula>TIPOORCAMENTO&lt;&gt;"Licitado"</formula>
    </cfRule>
  </conditionalFormatting>
  <conditionalFormatting sqref="C22">
    <cfRule type="expression" dxfId="240" priority="73" stopIfTrue="1">
      <formula>OR(TIPOORCAMENTO&lt;&gt;"Licitado",ACOMPANHAMENTO&lt;&gt;"PLE")</formula>
    </cfRule>
  </conditionalFormatting>
  <conditionalFormatting sqref="G22">
    <cfRule type="expression" dxfId="239" priority="74" stopIfTrue="1">
      <formula>OR(TIPOORCAMENTO&lt;&gt;"Licitado",ACOMPANHAMENTO&lt;&gt;"BM")</formula>
    </cfRule>
  </conditionalFormatting>
  <conditionalFormatting sqref="B16:H16 B20:H20">
    <cfRule type="expression" dxfId="238" priority="599" stopIfTrue="1">
      <formula>$O$3&lt;&gt;2</formula>
    </cfRule>
  </conditionalFormatting>
  <conditionalFormatting sqref="B8:H8">
    <cfRule type="expression" dxfId="237" priority="601" stopIfTrue="1">
      <formula>$O$3&lt;&gt;1</formula>
    </cfRule>
  </conditionalFormatting>
  <hyperlinks>
    <hyperlink ref="E6" location="DADOS!E3" display="DADOS DO CONTRATO" xr:uid="{00000000-0004-0000-0000-000000000000}"/>
    <hyperlink ref="G6" location="Novo!A1" display="NOVIDADES DA VERSÃO" xr:uid="{00000000-0004-0000-0000-000001000000}"/>
    <hyperlink ref="C10" location="BDI!Q11" display="BDI!Q11" xr:uid="{00000000-0004-0000-0000-000002000000}"/>
    <hyperlink ref="E10" location="ORÇAMENTO!M13" display="ORÇAMENTO" xr:uid="{00000000-0004-0000-0000-000003000000}"/>
    <hyperlink ref="G10" location="CÁLCULO!D13" display="MEMÓRIA DE CÁLCULO / PLQ" xr:uid="{00000000-0004-0000-0000-000004000000}"/>
    <hyperlink ref="E12" location="CRONO!G12" display="CRONOGRAMA FÍSICO-FINANCEIRO" xr:uid="{00000000-0004-0000-0000-000005000000}"/>
    <hyperlink ref="C18" location="ORÇAMENTO!AM15" display="             ORÇAMENTO             " xr:uid="{00000000-0004-0000-0000-000006000000}"/>
    <hyperlink ref="E18" location="QCI!D13" display="                    QCI                    " xr:uid="{00000000-0004-0000-0000-000007000000}"/>
    <hyperlink ref="G18" location="CRONO!G12" display="CRONOGRAMA FÍSICO-FINANCEIRO" xr:uid="{00000000-0004-0000-0000-000008000000}"/>
    <hyperlink ref="C22" location="PLE!J8" display="PLAN. DE LEVANT. DE EVENTOS - PLE" xr:uid="{00000000-0004-0000-0000-000009000000}"/>
    <hyperlink ref="E22" location="RRE!E13" display="                    RRE                    " xr:uid="{00000000-0004-0000-0000-00000A000000}"/>
    <hyperlink ref="G22" location="BM!D13" display="BM!D13" xr:uid="{00000000-0004-0000-0000-00000B000000}"/>
    <hyperlink ref="E24" location="Ofício!C6" display="OF. DE SOLICITAÇÃO DE DESBLOQUEIO" xr:uid="{00000000-0004-0000-0000-00000C000000}"/>
    <hyperlink ref="C12" location="QCI!D13" display="QCI!D13" xr:uid="{00000000-0004-0000-0000-00000D000000}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&amp;LPMv3.0.6&amp;R&amp;P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1363980</xdr:colOff>
                    <xdr:row>4</xdr:row>
                    <xdr:rowOff>0</xdr:rowOff>
                  </from>
                  <to>
                    <xdr:col>3</xdr:col>
                    <xdr:colOff>22860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1493520</xdr:colOff>
                    <xdr:row>4</xdr:row>
                    <xdr:rowOff>160020</xdr:rowOff>
                  </from>
                  <to>
                    <xdr:col>2</xdr:col>
                    <xdr:colOff>2476500</xdr:colOff>
                    <xdr:row>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7620</xdr:colOff>
                    <xdr:row>4</xdr:row>
                    <xdr:rowOff>0</xdr:rowOff>
                  </from>
                  <to>
                    <xdr:col>2</xdr:col>
                    <xdr:colOff>1264920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129540</xdr:colOff>
                    <xdr:row>4</xdr:row>
                    <xdr:rowOff>160020</xdr:rowOff>
                  </from>
                  <to>
                    <xdr:col>2</xdr:col>
                    <xdr:colOff>1112520</xdr:colOff>
                    <xdr:row>5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1"/>
  <dimension ref="A1:AG80"/>
  <sheetViews>
    <sheetView showGridLines="0" zoomScale="90" zoomScaleNormal="90" zoomScaleSheetLayoutView="100" workbookViewId="0">
      <pane xSplit="4" ySplit="13" topLeftCell="E14" activePane="bottomRight" state="frozen"/>
      <selection pane="topRight" activeCell="E1" sqref="E1"/>
      <selection pane="bottomLeft" activeCell="A13" sqref="A13"/>
      <selection pane="bottomRight"/>
    </sheetView>
  </sheetViews>
  <sheetFormatPr defaultRowHeight="13.2" x14ac:dyDescent="0.25"/>
  <cols>
    <col min="1" max="1" width="3.88671875" customWidth="1"/>
    <col min="2" max="2" width="8.109375" customWidth="1"/>
    <col min="3" max="3" width="17" customWidth="1"/>
    <col min="4" max="4" width="19.88671875" customWidth="1"/>
    <col min="5" max="5" width="1.44140625" customWidth="1"/>
    <col min="6" max="7" width="0" hidden="1" customWidth="1"/>
    <col min="8" max="32" width="5.6640625" customWidth="1"/>
    <col min="33" max="33" width="0.109375" customWidth="1"/>
  </cols>
  <sheetData>
    <row r="1" spans="1:33" hidden="1" x14ac:dyDescent="0.25">
      <c r="A1" s="7" t="e">
        <f ca="1">IF(AUTOEVENTO="Manual",IF(OFFSET(EVENTOS!$F$14,PLE!$B1,0)&gt;0,"F",""),IF(PLE!B1&lt;=MAX(CÁLCULO!$M$15:$M$32),"F",""))</f>
        <v>#REF!</v>
      </c>
      <c r="B1" s="286" t="e">
        <f ca="1">OFFSET(B1,-1,0)+1</f>
        <v>#REF!</v>
      </c>
      <c r="C1" s="650" t="e">
        <f ca="1">IF(AUTOEVENTO="Manual",IF($B1&lt;&gt;1,OFFSET(EVENTOS!$D$14,$B1,0),0),IF(B1&lt;=MAX(CÁLCULO!$M$15:$M$32),VLOOKUP($B1,CÁLCULO!$M$15:$N$32,2,FALSE),0))</f>
        <v>#REF!</v>
      </c>
      <c r="D1" s="650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5">
      <c r="A2" s="7"/>
      <c r="B2" s="7"/>
      <c r="C2" s="13"/>
      <c r="D2" s="13"/>
      <c r="F2" s="525"/>
    </row>
    <row r="3" spans="1:33" ht="15.6" x14ac:dyDescent="0.3">
      <c r="H3" s="228" t="s">
        <v>293</v>
      </c>
      <c r="AD3" s="605" t="s">
        <v>140</v>
      </c>
      <c r="AE3" s="605"/>
      <c r="AF3" s="605"/>
    </row>
    <row r="4" spans="1:33" ht="15.6" x14ac:dyDescent="0.25">
      <c r="B4" s="82"/>
      <c r="C4" s="82"/>
      <c r="H4" s="83" t="str">
        <f>import.recurso</f>
        <v>OGU</v>
      </c>
      <c r="AD4" s="606" t="s">
        <v>143</v>
      </c>
      <c r="AE4" s="606"/>
      <c r="AF4" s="606"/>
    </row>
    <row r="6" spans="1:33" x14ac:dyDescent="0.25">
      <c r="B6" s="230" t="s">
        <v>146</v>
      </c>
      <c r="C6" s="303"/>
      <c r="D6" s="232" t="s">
        <v>442</v>
      </c>
      <c r="E6" s="4"/>
      <c r="H6" s="233" t="s">
        <v>272</v>
      </c>
      <c r="I6" s="204"/>
      <c r="J6" s="204"/>
      <c r="K6" s="204"/>
      <c r="L6" s="203"/>
      <c r="M6" s="203"/>
      <c r="N6" s="304"/>
      <c r="O6" s="230" t="s">
        <v>273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63" t="str">
        <f>IF(TIPOORCAMENTO="Licitado","Nº CTEF","")</f>
        <v/>
      </c>
      <c r="AF6" s="663"/>
    </row>
    <row r="7" spans="1:33" x14ac:dyDescent="0.25">
      <c r="B7" s="638">
        <f>Import.CR</f>
        <v>0</v>
      </c>
      <c r="C7" s="638"/>
      <c r="D7" s="236">
        <f>Import.TransfereGOV</f>
        <v>0</v>
      </c>
      <c r="E7" s="42"/>
      <c r="H7" s="637" t="str">
        <f>Import.Proponente</f>
        <v>PREFEITURA MUNICIPAL DE BOM JARDIM DE MINAS</v>
      </c>
      <c r="I7" s="637"/>
      <c r="J7" s="637"/>
      <c r="K7" s="637"/>
      <c r="L7" s="637"/>
      <c r="M7" s="637"/>
      <c r="N7" s="637"/>
      <c r="O7" s="638" t="str">
        <f>Import.Apelido</f>
        <v>REFORMA - COLÉGIO TABOÃO</v>
      </c>
      <c r="P7" s="638"/>
      <c r="Q7" s="638"/>
      <c r="R7" s="638"/>
      <c r="S7" s="638"/>
      <c r="T7" s="638"/>
      <c r="U7" s="638"/>
      <c r="V7" s="638">
        <f>IF(TIPOORCAMENTO="Licitado",Import.empresa,Import.DescLote)</f>
        <v>0</v>
      </c>
      <c r="W7" s="638"/>
      <c r="X7" s="638"/>
      <c r="Y7" s="638"/>
      <c r="Z7" s="638"/>
      <c r="AA7" s="638"/>
      <c r="AB7" s="638"/>
      <c r="AC7" s="638"/>
      <c r="AD7" s="638"/>
      <c r="AE7" s="667" t="str">
        <f>IF(TIPOORCAMENTO="Licitado",Import.CTEF,"")</f>
        <v/>
      </c>
      <c r="AF7" s="667"/>
      <c r="AG7" s="305"/>
    </row>
    <row r="9" spans="1:33" ht="15.6" x14ac:dyDescent="0.3">
      <c r="A9" s="452">
        <v>0</v>
      </c>
      <c r="B9" s="306"/>
      <c r="C9" s="306"/>
      <c r="I9" s="307" t="s">
        <v>294</v>
      </c>
      <c r="J9" s="665">
        <v>1</v>
      </c>
      <c r="K9" s="665"/>
      <c r="M9" s="307" t="s">
        <v>283</v>
      </c>
      <c r="N9" s="666" t="str">
        <f ca="1">TEXT(IF(PLE.Medicao=1,Import.DataInicioObra,OFFSET($H$68,0,1+(PLE.Medicao-$I$69)*2-2)+1),"dd/mm/aaaa")&amp;" a "&amp;TEXT(OFFSET($H$68,0,1+(PLE.Medicao-$I$69)*2),"dd/mm/aaaa")</f>
        <v>00/01/1900 a 00/01/1900</v>
      </c>
      <c r="O9" s="666"/>
      <c r="P9" s="666"/>
      <c r="Q9" s="666"/>
      <c r="R9" s="666"/>
      <c r="S9" s="666"/>
      <c r="T9" s="666"/>
      <c r="U9" s="308"/>
      <c r="X9" s="307" t="s">
        <v>295</v>
      </c>
      <c r="Y9" s="668">
        <f ca="1">OFFSET($I$69,1+8*(ROUNDUP(($J$9-0)/((COLUMN($AG$14)-COLUMN($G$14)-1)/25*12),0)-1),ROUNDDOWN((($J$9-0)-OFFSET($I$69,8*(ROUNDUP(($J$9-0)/((COLUMN($AG$14)-COLUMN($G$14)-1)/25*12),0)-1),0))*(2+1/12),0))</f>
        <v>0</v>
      </c>
      <c r="Z9" s="668"/>
      <c r="AD9" s="307" t="s">
        <v>296</v>
      </c>
      <c r="AE9" s="668">
        <f ca="1">OFFSET($I$69,3+8*(ROUNDUP(($J$9-0)/((COLUMN($AG$14)-COLUMN($G$14)-1)/25*12),0)-1),ROUNDDOWN((($J$9-0)-OFFSET($I$69,8*(ROUNDUP(($J$9-0)/((COLUMN($AG$14)-COLUMN($G$14)-1)/25*12),0)-1),0))*(2+1/12),0))</f>
        <v>0</v>
      </c>
      <c r="AF9" s="668"/>
    </row>
    <row r="11" spans="1:33" ht="65.25" customHeight="1" x14ac:dyDescent="0.25">
      <c r="A11" s="290" t="s">
        <v>290</v>
      </c>
      <c r="C11" s="664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64"/>
      <c r="F11" s="292" t="str">
        <f ca="1">IF(F$12&gt;CÁLCULO.NúmeroDeFrentes,"",OFFSET(CÁLCULO!$P$12,0,F$12))</f>
        <v>PLACA</v>
      </c>
      <c r="H11" s="292" t="str">
        <f ca="1">IF(H$12&gt;CÁLCULO.NúmeroDeFrentes,"",OFFSET(CÁLCULO!$P$12,0,H$12))</f>
        <v>PLACA</v>
      </c>
      <c r="I11" s="292" t="str">
        <f ca="1">IF(I$12&gt;CÁLCULO.NúmeroDeFrentes,"",OFFSET(CÁLCULO!$P$12,0,I$12))</f>
        <v>EMBOÇO, PINTURA E PISO</v>
      </c>
      <c r="J11" s="292" t="str">
        <f ca="1">IF(J$12&gt;CÁLCULO.NúmeroDeFrentes,"",OFFSET(CÁLCULO!$P$12,0,J$12))</f>
        <v>ILUMINAÇÃO E CHUVEIROS</v>
      </c>
      <c r="K11" s="292" t="str">
        <f ca="1">IF(K$12&gt;CÁLCULO.NúmeroDeFrentes,"",OFFSET(CÁLCULO!$P$12,0,K$12))</f>
        <v>LOUÇAS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5">
      <c r="A12" s="107" t="s">
        <v>217</v>
      </c>
      <c r="B12" s="645" t="s">
        <v>266</v>
      </c>
      <c r="C12" s="645" t="s">
        <v>291</v>
      </c>
      <c r="D12" s="645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5">
      <c r="B13" s="645"/>
      <c r="C13" s="645"/>
      <c r="D13" s="645"/>
      <c r="F13" s="295"/>
      <c r="H13" s="295"/>
      <c r="I13" s="294"/>
      <c r="J13" s="294"/>
      <c r="K13" s="294"/>
      <c r="L13" s="294"/>
      <c r="M13" s="294"/>
      <c r="N13" s="294" t="s">
        <v>297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5">
      <c r="A14" s="7" t="s">
        <v>246</v>
      </c>
    </row>
    <row r="15" spans="1:33" x14ac:dyDescent="0.25">
      <c r="A15" s="7" t="str">
        <f ca="1">IF(AND(AUTOEVENTO="Manual",OFFSET(EVENTOS!$F$14,1,0)&gt;0),"F","")</f>
        <v/>
      </c>
      <c r="B15" s="297">
        <v>1</v>
      </c>
      <c r="C15" s="662" t="s">
        <v>269</v>
      </c>
      <c r="D15" s="662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5">
      <c r="A16" s="7" t="str">
        <f ca="1">IF(AUTOEVENTO="Manual",IF(OFFSET(EVENTOS!$F$14,PLE!$B16,0)&gt;0,"F",""),IF(PLE!B16&lt;=MAX(CÁLCULO!$M$15:$M$32),"F",""))</f>
        <v>F</v>
      </c>
      <c r="B16" s="286">
        <f t="shared" ref="B16:B64" ca="1" si="1">OFFSET(B16,-1,0)+1</f>
        <v>2</v>
      </c>
      <c r="C16" s="650" t="str">
        <f ca="1">IF(AUTOEVENTO="Manual",IF($B16&lt;&gt;1,OFFSET(EVENTOS!$D$14,$B16,0),0),IF(B16&lt;=MAX(CÁLCULO!$M$15:$M$32),VLOOKUP($B16,CÁLCULO!$M$15:$N$32,2,FALSE),0))</f>
        <v>(SERVIÇOS PRELIMINARES)</v>
      </c>
      <c r="D16" s="650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5">
      <c r="A17" s="7" t="str">
        <f ca="1">IF(AUTOEVENTO="Manual",IF(OFFSET(EVENTOS!$F$14,PLE!$B17,0)&gt;0,"F",""),IF(PLE!B17&lt;=MAX(CÁLCULO!$M$15:$M$32),"F",""))</f>
        <v>F</v>
      </c>
      <c r="B17" s="286">
        <f t="shared" ca="1" si="1"/>
        <v>3</v>
      </c>
      <c r="C17" s="650" t="str">
        <f ca="1">IF(AUTOEVENTO="Manual",IF($B17&lt;&gt;1,OFFSET(EVENTOS!$D$14,$B17,0),0),IF(B17&lt;=MAX(CÁLCULO!$M$15:$M$32),VLOOKUP($B17,CÁLCULO!$M$15:$N$32,2,FALSE),0))</f>
        <v>EMBOÇO, FORRO, LOUÇAS E PORTAS</v>
      </c>
      <c r="D17" s="650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5">
      <c r="A18" s="7" t="str">
        <f ca="1">IF(AUTOEVENTO="Manual",IF(OFFSET(EVENTOS!$F$14,PLE!$B18,0)&gt;0,"F",""),IF(PLE!B18&lt;=MAX(CÁLCULO!$M$15:$M$32),"F",""))</f>
        <v>F</v>
      </c>
      <c r="B18" s="286">
        <f t="shared" ca="1" si="1"/>
        <v>4</v>
      </c>
      <c r="C18" s="650" t="str">
        <f ca="1">IF(AUTOEVENTO="Manual",IF($B18&lt;&gt;1,OFFSET(EVENTOS!$D$14,$B18,0),0),IF(B18&lt;=MAX(CÁLCULO!$M$15:$M$32),VLOOKUP($B18,CÁLCULO!$M$15:$N$32,2,FALSE),0))</f>
        <v>PINTURA</v>
      </c>
      <c r="D18" s="650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x14ac:dyDescent="0.25">
      <c r="A19" s="7" t="str">
        <f ca="1">IF(AUTOEVENTO="Manual",IF(OFFSET(EVENTOS!$F$14,PLE!$B19,0)&gt;0,"F",""),IF(PLE!B19&lt;=MAX(CÁLCULO!$M$15:$M$32),"F",""))</f>
        <v/>
      </c>
      <c r="B19" s="286">
        <f t="shared" ca="1" si="1"/>
        <v>5</v>
      </c>
      <c r="C19" s="650">
        <f ca="1">IF(AUTOEVENTO="Manual",IF($B19&lt;&gt;1,OFFSET(EVENTOS!$D$14,$B19,0),0),IF(B19&lt;=MAX(CÁLCULO!$M$15:$M$32),VLOOKUP($B19,CÁLCULO!$M$15:$N$32,2,FALSE),0))</f>
        <v>0</v>
      </c>
      <c r="D19" s="650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x14ac:dyDescent="0.25">
      <c r="A20" s="7" t="str">
        <f ca="1">IF(AUTOEVENTO="Manual",IF(OFFSET(EVENTOS!$F$14,PLE!$B20,0)&gt;0,"F",""),IF(PLE!B20&lt;=MAX(CÁLCULO!$M$15:$M$32),"F",""))</f>
        <v/>
      </c>
      <c r="B20" s="286">
        <f t="shared" ca="1" si="1"/>
        <v>6</v>
      </c>
      <c r="C20" s="650">
        <f ca="1">IF(AUTOEVENTO="Manual",IF($B20&lt;&gt;1,OFFSET(EVENTOS!$D$14,$B20,0),0),IF(B20&lt;=MAX(CÁLCULO!$M$15:$M$32),VLOOKUP($B20,CÁLCULO!$M$15:$N$32,2,FALSE),0))</f>
        <v>0</v>
      </c>
      <c r="D20" s="650"/>
      <c r="F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</row>
    <row r="21" spans="1:32" x14ac:dyDescent="0.25">
      <c r="A21" s="7" t="str">
        <f ca="1">IF(AUTOEVENTO="Manual",IF(OFFSET(EVENTOS!$F$14,PLE!$B21,0)&gt;0,"F",""),IF(PLE!B21&lt;=MAX(CÁLCULO!$M$15:$M$32),"F",""))</f>
        <v/>
      </c>
      <c r="B21" s="286">
        <f t="shared" ca="1" si="1"/>
        <v>7</v>
      </c>
      <c r="C21" s="650">
        <f ca="1">IF(AUTOEVENTO="Manual",IF($B21&lt;&gt;1,OFFSET(EVENTOS!$D$14,$B21,0),0),IF(B21&lt;=MAX(CÁLCULO!$M$15:$M$32),VLOOKUP($B21,CÁLCULO!$M$15:$N$32,2,FALSE),0))</f>
        <v>0</v>
      </c>
      <c r="D21" s="650"/>
      <c r="F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</row>
    <row r="22" spans="1:32" x14ac:dyDescent="0.25">
      <c r="A22" s="7" t="str">
        <f ca="1">IF(AUTOEVENTO="Manual",IF(OFFSET(EVENTOS!$F$14,PLE!$B22,0)&gt;0,"F",""),IF(PLE!B22&lt;=MAX(CÁLCULO!$M$15:$M$32),"F",""))</f>
        <v/>
      </c>
      <c r="B22" s="286">
        <f t="shared" ca="1" si="1"/>
        <v>8</v>
      </c>
      <c r="C22" s="650">
        <f ca="1">IF(AUTOEVENTO="Manual",IF($B22&lt;&gt;1,OFFSET(EVENTOS!$D$14,$B22,0),0),IF(B22&lt;=MAX(CÁLCULO!$M$15:$M$32),VLOOKUP($B22,CÁLCULO!$M$15:$N$32,2,FALSE),0))</f>
        <v>0</v>
      </c>
      <c r="D22" s="650"/>
      <c r="F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</row>
    <row r="23" spans="1:32" x14ac:dyDescent="0.25">
      <c r="A23" s="7" t="str">
        <f ca="1">IF(AUTOEVENTO="Manual",IF(OFFSET(EVENTOS!$F$14,PLE!$B23,0)&gt;0,"F",""),IF(PLE!B23&lt;=MAX(CÁLCULO!$M$15:$M$32),"F",""))</f>
        <v/>
      </c>
      <c r="B23" s="286">
        <f t="shared" ca="1" si="1"/>
        <v>9</v>
      </c>
      <c r="C23" s="650">
        <f ca="1">IF(AUTOEVENTO="Manual",IF($B23&lt;&gt;1,OFFSET(EVENTOS!$D$14,$B23,0),0),IF(B23&lt;=MAX(CÁLCULO!$M$15:$M$32),VLOOKUP($B23,CÁLCULO!$M$15:$N$32,2,FALSE),0))</f>
        <v>0</v>
      </c>
      <c r="D23" s="650"/>
      <c r="F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</row>
    <row r="24" spans="1:32" x14ac:dyDescent="0.25">
      <c r="A24" s="7" t="str">
        <f ca="1">IF(AUTOEVENTO="Manual",IF(OFFSET(EVENTOS!$F$14,PLE!$B24,0)&gt;0,"F",""),IF(PLE!B24&lt;=MAX(CÁLCULO!$M$15:$M$32),"F",""))</f>
        <v/>
      </c>
      <c r="B24" s="286">
        <f t="shared" ca="1" si="1"/>
        <v>10</v>
      </c>
      <c r="C24" s="650">
        <f ca="1">IF(AUTOEVENTO="Manual",IF($B24&lt;&gt;1,OFFSET(EVENTOS!$D$14,$B24,0),0),IF(B24&lt;=MAX(CÁLCULO!$M$15:$M$32),VLOOKUP($B24,CÁLCULO!$M$15:$N$32,2,FALSE),0))</f>
        <v>0</v>
      </c>
      <c r="D24" s="650"/>
      <c r="F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</row>
    <row r="25" spans="1:32" x14ac:dyDescent="0.25">
      <c r="A25" s="7" t="str">
        <f ca="1">IF(AUTOEVENTO="Manual",IF(OFFSET(EVENTOS!$F$14,PLE!$B25,0)&gt;0,"F",""),IF(PLE!B25&lt;=MAX(CÁLCULO!$M$15:$M$32),"F",""))</f>
        <v/>
      </c>
      <c r="B25" s="286">
        <f t="shared" ca="1" si="1"/>
        <v>11</v>
      </c>
      <c r="C25" s="650">
        <f ca="1">IF(AUTOEVENTO="Manual",IF($B25&lt;&gt;1,OFFSET(EVENTOS!$D$14,$B25,0),0),IF(B25&lt;=MAX(CÁLCULO!$M$15:$M$32),VLOOKUP($B25,CÁLCULO!$M$15:$N$32,2,FALSE),0))</f>
        <v>0</v>
      </c>
      <c r="D25" s="650"/>
      <c r="F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288"/>
      <c r="AB25" s="288"/>
      <c r="AC25" s="288"/>
      <c r="AD25" s="288"/>
      <c r="AE25" s="288"/>
      <c r="AF25" s="288"/>
    </row>
    <row r="26" spans="1:32" x14ac:dyDescent="0.25">
      <c r="A26" s="7" t="str">
        <f ca="1">IF(AUTOEVENTO="Manual",IF(OFFSET(EVENTOS!$F$14,PLE!$B26,0)&gt;0,"F",""),IF(PLE!B26&lt;=MAX(CÁLCULO!$M$15:$M$32),"F",""))</f>
        <v/>
      </c>
      <c r="B26" s="286">
        <f t="shared" ca="1" si="1"/>
        <v>12</v>
      </c>
      <c r="C26" s="650">
        <f ca="1">IF(AUTOEVENTO="Manual",IF($B26&lt;&gt;1,OFFSET(EVENTOS!$D$14,$B26,0),0),IF(B26&lt;=MAX(CÁLCULO!$M$15:$M$32),VLOOKUP($B26,CÁLCULO!$M$15:$N$32,2,FALSE),0))</f>
        <v>0</v>
      </c>
      <c r="D26" s="650"/>
      <c r="F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</row>
    <row r="27" spans="1:32" x14ac:dyDescent="0.25">
      <c r="A27" s="7" t="str">
        <f ca="1">IF(AUTOEVENTO="Manual",IF(OFFSET(EVENTOS!$F$14,PLE!$B27,0)&gt;0,"F",""),IF(PLE!B27&lt;=MAX(CÁLCULO!$M$15:$M$32),"F",""))</f>
        <v/>
      </c>
      <c r="B27" s="286">
        <f t="shared" ca="1" si="1"/>
        <v>13</v>
      </c>
      <c r="C27" s="650">
        <f ca="1">IF(AUTOEVENTO="Manual",IF($B27&lt;&gt;1,OFFSET(EVENTOS!$D$14,$B27,0),0),IF(B27&lt;=MAX(CÁLCULO!$M$15:$M$32),VLOOKUP($B27,CÁLCULO!$M$15:$N$32,2,FALSE),0))</f>
        <v>0</v>
      </c>
      <c r="D27" s="650"/>
      <c r="F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</row>
    <row r="28" spans="1:32" x14ac:dyDescent="0.25">
      <c r="A28" s="7" t="str">
        <f ca="1">IF(AUTOEVENTO="Manual",IF(OFFSET(EVENTOS!$F$14,PLE!$B28,0)&gt;0,"F",""),IF(PLE!B28&lt;=MAX(CÁLCULO!$M$15:$M$32),"F",""))</f>
        <v/>
      </c>
      <c r="B28" s="286">
        <f t="shared" ca="1" si="1"/>
        <v>14</v>
      </c>
      <c r="C28" s="650">
        <f ca="1">IF(AUTOEVENTO="Manual",IF($B28&lt;&gt;1,OFFSET(EVENTOS!$D$14,$B28,0),0),IF(B28&lt;=MAX(CÁLCULO!$M$15:$M$32),VLOOKUP($B28,CÁLCULO!$M$15:$N$32,2,FALSE),0))</f>
        <v>0</v>
      </c>
      <c r="D28" s="650"/>
      <c r="F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</row>
    <row r="29" spans="1:32" x14ac:dyDescent="0.25">
      <c r="A29" s="7" t="str">
        <f ca="1">IF(AUTOEVENTO="Manual",IF(OFFSET(EVENTOS!$F$14,PLE!$B29,0)&gt;0,"F",""),IF(PLE!B29&lt;=MAX(CÁLCULO!$M$15:$M$32),"F",""))</f>
        <v/>
      </c>
      <c r="B29" s="286">
        <f t="shared" ca="1" si="1"/>
        <v>15</v>
      </c>
      <c r="C29" s="650">
        <f ca="1">IF(AUTOEVENTO="Manual",IF($B29&lt;&gt;1,OFFSET(EVENTOS!$D$14,$B29,0),0),IF(B29&lt;=MAX(CÁLCULO!$M$15:$M$32),VLOOKUP($B29,CÁLCULO!$M$15:$N$32,2,FALSE),0))</f>
        <v>0</v>
      </c>
      <c r="D29" s="650"/>
      <c r="F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</row>
    <row r="30" spans="1:32" x14ac:dyDescent="0.25">
      <c r="A30" s="7" t="str">
        <f ca="1">IF(AUTOEVENTO="Manual",IF(OFFSET(EVENTOS!$F$14,PLE!$B30,0)&gt;0,"F",""),IF(PLE!B30&lt;=MAX(CÁLCULO!$M$15:$M$32),"F",""))</f>
        <v/>
      </c>
      <c r="B30" s="286">
        <f t="shared" ca="1" si="1"/>
        <v>16</v>
      </c>
      <c r="C30" s="650">
        <f ca="1">IF(AUTOEVENTO="Manual",IF($B30&lt;&gt;1,OFFSET(EVENTOS!$D$14,$B30,0),0),IF(B30&lt;=MAX(CÁLCULO!$M$15:$M$32),VLOOKUP($B30,CÁLCULO!$M$15:$N$32,2,FALSE),0))</f>
        <v>0</v>
      </c>
      <c r="D30" s="650"/>
      <c r="F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</row>
    <row r="31" spans="1:32" x14ac:dyDescent="0.25">
      <c r="A31" s="7" t="str">
        <f ca="1">IF(AUTOEVENTO="Manual",IF(OFFSET(EVENTOS!$F$14,PLE!$B31,0)&gt;0,"F",""),IF(PLE!B31&lt;=MAX(CÁLCULO!$M$15:$M$32),"F",""))</f>
        <v/>
      </c>
      <c r="B31" s="286">
        <f t="shared" ca="1" si="1"/>
        <v>17</v>
      </c>
      <c r="C31" s="650">
        <f ca="1">IF(AUTOEVENTO="Manual",IF($B31&lt;&gt;1,OFFSET(EVENTOS!$D$14,$B31,0),0),IF(B31&lt;=MAX(CÁLCULO!$M$15:$M$32),VLOOKUP($B31,CÁLCULO!$M$15:$N$32,2,FALSE),0))</f>
        <v>0</v>
      </c>
      <c r="D31" s="650"/>
      <c r="F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</row>
    <row r="32" spans="1:32" x14ac:dyDescent="0.25">
      <c r="A32" s="7" t="str">
        <f ca="1">IF(AUTOEVENTO="Manual",IF(OFFSET(EVENTOS!$F$14,PLE!$B32,0)&gt;0,"F",""),IF(PLE!B32&lt;=MAX(CÁLCULO!$M$15:$M$32),"F",""))</f>
        <v/>
      </c>
      <c r="B32" s="286">
        <f t="shared" ca="1" si="1"/>
        <v>18</v>
      </c>
      <c r="C32" s="650">
        <f ca="1">IF(AUTOEVENTO="Manual",IF($B32&lt;&gt;1,OFFSET(EVENTOS!$D$14,$B32,0),0),IF(B32&lt;=MAX(CÁLCULO!$M$15:$M$32),VLOOKUP($B32,CÁLCULO!$M$15:$N$32,2,FALSE),0))</f>
        <v>0</v>
      </c>
      <c r="D32" s="650"/>
      <c r="F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</row>
    <row r="33" spans="1:32" x14ac:dyDescent="0.25">
      <c r="A33" s="7" t="str">
        <f ca="1">IF(AUTOEVENTO="Manual",IF(OFFSET(EVENTOS!$F$14,PLE!$B33,0)&gt;0,"F",""),IF(PLE!B33&lt;=MAX(CÁLCULO!$M$15:$M$32),"F",""))</f>
        <v/>
      </c>
      <c r="B33" s="286">
        <f t="shared" ca="1" si="1"/>
        <v>19</v>
      </c>
      <c r="C33" s="650">
        <f ca="1">IF(AUTOEVENTO="Manual",IF($B33&lt;&gt;1,OFFSET(EVENTOS!$D$14,$B33,0),0),IF(B33&lt;=MAX(CÁLCULO!$M$15:$M$32),VLOOKUP($B33,CÁLCULO!$M$15:$N$32,2,FALSE),0))</f>
        <v>0</v>
      </c>
      <c r="D33" s="650"/>
      <c r="F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</row>
    <row r="34" spans="1:32" x14ac:dyDescent="0.25">
      <c r="A34" s="7" t="str">
        <f ca="1">IF(AUTOEVENTO="Manual",IF(OFFSET(EVENTOS!$F$14,PLE!$B34,0)&gt;0,"F",""),IF(PLE!B34&lt;=MAX(CÁLCULO!$M$15:$M$32),"F",""))</f>
        <v/>
      </c>
      <c r="B34" s="286">
        <f t="shared" ca="1" si="1"/>
        <v>20</v>
      </c>
      <c r="C34" s="650">
        <f ca="1">IF(AUTOEVENTO="Manual",IF($B34&lt;&gt;1,OFFSET(EVENTOS!$D$14,$B34,0),0),IF(B34&lt;=MAX(CÁLCULO!$M$15:$M$32),VLOOKUP($B34,CÁLCULO!$M$15:$N$32,2,FALSE),0))</f>
        <v>0</v>
      </c>
      <c r="D34" s="650"/>
      <c r="F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</row>
    <row r="35" spans="1:32" x14ac:dyDescent="0.25">
      <c r="A35" s="7" t="str">
        <f ca="1">IF(AUTOEVENTO="Manual",IF(OFFSET(EVENTOS!$F$14,PLE!$B35,0)&gt;0,"F",""),IF(PLE!B35&lt;=MAX(CÁLCULO!$M$15:$M$32),"F",""))</f>
        <v/>
      </c>
      <c r="B35" s="286">
        <f t="shared" ca="1" si="1"/>
        <v>21</v>
      </c>
      <c r="C35" s="650">
        <f ca="1">IF(AUTOEVENTO="Manual",IF($B35&lt;&gt;1,OFFSET(EVENTOS!$D$14,$B35,0),0),IF(B35&lt;=MAX(CÁLCULO!$M$15:$M$32),VLOOKUP($B35,CÁLCULO!$M$15:$N$32,2,FALSE),0))</f>
        <v>0</v>
      </c>
      <c r="D35" s="650"/>
      <c r="F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</row>
    <row r="36" spans="1:32" x14ac:dyDescent="0.25">
      <c r="A36" s="7" t="str">
        <f ca="1">IF(AUTOEVENTO="Manual",IF(OFFSET(EVENTOS!$F$14,PLE!$B36,0)&gt;0,"F",""),IF(PLE!B36&lt;=MAX(CÁLCULO!$M$15:$M$32),"F",""))</f>
        <v/>
      </c>
      <c r="B36" s="286">
        <f t="shared" ca="1" si="1"/>
        <v>22</v>
      </c>
      <c r="C36" s="650">
        <f ca="1">IF(AUTOEVENTO="Manual",IF($B36&lt;&gt;1,OFFSET(EVENTOS!$D$14,$B36,0),0),IF(B36&lt;=MAX(CÁLCULO!$M$15:$M$32),VLOOKUP($B36,CÁLCULO!$M$15:$N$32,2,FALSE),0))</f>
        <v>0</v>
      </c>
      <c r="D36" s="650"/>
      <c r="F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</row>
    <row r="37" spans="1:32" x14ac:dyDescent="0.25">
      <c r="A37" s="7" t="str">
        <f ca="1">IF(AUTOEVENTO="Manual",IF(OFFSET(EVENTOS!$F$14,PLE!$B37,0)&gt;0,"F",""),IF(PLE!B37&lt;=MAX(CÁLCULO!$M$15:$M$32),"F",""))</f>
        <v/>
      </c>
      <c r="B37" s="286">
        <f t="shared" ca="1" si="1"/>
        <v>23</v>
      </c>
      <c r="C37" s="650">
        <f ca="1">IF(AUTOEVENTO="Manual",IF($B37&lt;&gt;1,OFFSET(EVENTOS!$D$14,$B37,0),0),IF(B37&lt;=MAX(CÁLCULO!$M$15:$M$32),VLOOKUP($B37,CÁLCULO!$M$15:$N$32,2,FALSE),0))</f>
        <v>0</v>
      </c>
      <c r="D37" s="650"/>
      <c r="F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</row>
    <row r="38" spans="1:32" x14ac:dyDescent="0.25">
      <c r="A38" s="7" t="str">
        <f ca="1">IF(AUTOEVENTO="Manual",IF(OFFSET(EVENTOS!$F$14,PLE!$B38,0)&gt;0,"F",""),IF(PLE!B38&lt;=MAX(CÁLCULO!$M$15:$M$32),"F",""))</f>
        <v/>
      </c>
      <c r="B38" s="286">
        <f t="shared" ca="1" si="1"/>
        <v>24</v>
      </c>
      <c r="C38" s="650">
        <f ca="1">IF(AUTOEVENTO="Manual",IF($B38&lt;&gt;1,OFFSET(EVENTOS!$D$14,$B38,0),0),IF(B38&lt;=MAX(CÁLCULO!$M$15:$M$32),VLOOKUP($B38,CÁLCULO!$M$15:$N$32,2,FALSE),0))</f>
        <v>0</v>
      </c>
      <c r="D38" s="650"/>
      <c r="F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</row>
    <row r="39" spans="1:32" x14ac:dyDescent="0.25">
      <c r="A39" s="7" t="str">
        <f ca="1">IF(AUTOEVENTO="Manual",IF(OFFSET(EVENTOS!$F$14,PLE!$B39,0)&gt;0,"F",""),IF(PLE!B39&lt;=MAX(CÁLCULO!$M$15:$M$32),"F",""))</f>
        <v/>
      </c>
      <c r="B39" s="286">
        <f t="shared" ca="1" si="1"/>
        <v>25</v>
      </c>
      <c r="C39" s="650">
        <f ca="1">IF(AUTOEVENTO="Manual",IF($B39&lt;&gt;1,OFFSET(EVENTOS!$D$14,$B39,0),0),IF(B39&lt;=MAX(CÁLCULO!$M$15:$M$32),VLOOKUP($B39,CÁLCULO!$M$15:$N$32,2,FALSE),0))</f>
        <v>0</v>
      </c>
      <c r="D39" s="650"/>
      <c r="F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</row>
    <row r="40" spans="1:32" x14ac:dyDescent="0.25">
      <c r="A40" s="7" t="str">
        <f ca="1">IF(AUTOEVENTO="Manual",IF(OFFSET(EVENTOS!$F$14,PLE!$B40,0)&gt;0,"F",""),IF(PLE!B40&lt;=MAX(CÁLCULO!$M$15:$M$32),"F",""))</f>
        <v/>
      </c>
      <c r="B40" s="286">
        <f t="shared" ca="1" si="1"/>
        <v>26</v>
      </c>
      <c r="C40" s="650">
        <f ca="1">IF(AUTOEVENTO="Manual",IF($B40&lt;&gt;1,OFFSET(EVENTOS!$D$14,$B40,0),0),IF(B40&lt;=MAX(CÁLCULO!$M$15:$M$32),VLOOKUP($B40,CÁLCULO!$M$15:$N$32,2,FALSE),0))</f>
        <v>0</v>
      </c>
      <c r="D40" s="650"/>
      <c r="F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</row>
    <row r="41" spans="1:32" x14ac:dyDescent="0.25">
      <c r="A41" s="7" t="str">
        <f ca="1">IF(AUTOEVENTO="Manual",IF(OFFSET(EVENTOS!$F$14,PLE!$B41,0)&gt;0,"F",""),IF(PLE!B41&lt;=MAX(CÁLCULO!$M$15:$M$32),"F",""))</f>
        <v/>
      </c>
      <c r="B41" s="286">
        <f t="shared" ca="1" si="1"/>
        <v>27</v>
      </c>
      <c r="C41" s="650">
        <f ca="1">IF(AUTOEVENTO="Manual",IF($B41&lt;&gt;1,OFFSET(EVENTOS!$D$14,$B41,0),0),IF(B41&lt;=MAX(CÁLCULO!$M$15:$M$32),VLOOKUP($B41,CÁLCULO!$M$15:$N$32,2,FALSE),0))</f>
        <v>0</v>
      </c>
      <c r="D41" s="650"/>
      <c r="F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</row>
    <row r="42" spans="1:32" x14ac:dyDescent="0.25">
      <c r="A42" s="7" t="str">
        <f ca="1">IF(AUTOEVENTO="Manual",IF(OFFSET(EVENTOS!$F$14,PLE!$B42,0)&gt;0,"F",""),IF(PLE!B42&lt;=MAX(CÁLCULO!$M$15:$M$32),"F",""))</f>
        <v/>
      </c>
      <c r="B42" s="286">
        <f t="shared" ca="1" si="1"/>
        <v>28</v>
      </c>
      <c r="C42" s="650">
        <f ca="1">IF(AUTOEVENTO="Manual",IF($B42&lt;&gt;1,OFFSET(EVENTOS!$D$14,$B42,0),0),IF(B42&lt;=MAX(CÁLCULO!$M$15:$M$32),VLOOKUP($B42,CÁLCULO!$M$15:$N$32,2,FALSE),0))</f>
        <v>0</v>
      </c>
      <c r="D42" s="650"/>
      <c r="F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</row>
    <row r="43" spans="1:32" x14ac:dyDescent="0.25">
      <c r="A43" s="7" t="str">
        <f ca="1">IF(AUTOEVENTO="Manual",IF(OFFSET(EVENTOS!$F$14,PLE!$B43,0)&gt;0,"F",""),IF(PLE!B43&lt;=MAX(CÁLCULO!$M$15:$M$32),"F",""))</f>
        <v/>
      </c>
      <c r="B43" s="286">
        <f t="shared" ca="1" si="1"/>
        <v>29</v>
      </c>
      <c r="C43" s="650">
        <f ca="1">IF(AUTOEVENTO="Manual",IF($B43&lt;&gt;1,OFFSET(EVENTOS!$D$14,$B43,0),0),IF(B43&lt;=MAX(CÁLCULO!$M$15:$M$32),VLOOKUP($B43,CÁLCULO!$M$15:$N$32,2,FALSE),0))</f>
        <v>0</v>
      </c>
      <c r="D43" s="650"/>
      <c r="F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</row>
    <row r="44" spans="1:32" x14ac:dyDescent="0.25">
      <c r="A44" s="7" t="str">
        <f ca="1">IF(AUTOEVENTO="Manual",IF(OFFSET(EVENTOS!$F$14,PLE!$B44,0)&gt;0,"F",""),IF(PLE!B44&lt;=MAX(CÁLCULO!$M$15:$M$32),"F",""))</f>
        <v/>
      </c>
      <c r="B44" s="286">
        <f t="shared" ca="1" si="1"/>
        <v>30</v>
      </c>
      <c r="C44" s="650">
        <f ca="1">IF(AUTOEVENTO="Manual",IF($B44&lt;&gt;1,OFFSET(EVENTOS!$D$14,$B44,0),0),IF(B44&lt;=MAX(CÁLCULO!$M$15:$M$32),VLOOKUP($B44,CÁLCULO!$M$15:$N$32,2,FALSE),0))</f>
        <v>0</v>
      </c>
      <c r="D44" s="650"/>
      <c r="F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</row>
    <row r="45" spans="1:32" x14ac:dyDescent="0.25">
      <c r="A45" s="7" t="str">
        <f ca="1">IF(AUTOEVENTO="Manual",IF(OFFSET(EVENTOS!$F$14,PLE!$B45,0)&gt;0,"F",""),IF(PLE!B45&lt;=MAX(CÁLCULO!$M$15:$M$32),"F",""))</f>
        <v/>
      </c>
      <c r="B45" s="286">
        <f t="shared" ca="1" si="1"/>
        <v>31</v>
      </c>
      <c r="C45" s="650">
        <f ca="1">IF(AUTOEVENTO="Manual",IF($B45&lt;&gt;1,OFFSET(EVENTOS!$D$14,$B45,0),0),IF(B45&lt;=MAX(CÁLCULO!$M$15:$M$32),VLOOKUP($B45,CÁLCULO!$M$15:$N$32,2,FALSE),0))</f>
        <v>0</v>
      </c>
      <c r="D45" s="650"/>
      <c r="F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</row>
    <row r="46" spans="1:32" x14ac:dyDescent="0.25">
      <c r="A46" s="7" t="str">
        <f ca="1">IF(AUTOEVENTO="Manual",IF(OFFSET(EVENTOS!$F$14,PLE!$B46,0)&gt;0,"F",""),IF(PLE!B46&lt;=MAX(CÁLCULO!$M$15:$M$32),"F",""))</f>
        <v/>
      </c>
      <c r="B46" s="286">
        <f t="shared" ca="1" si="1"/>
        <v>32</v>
      </c>
      <c r="C46" s="650">
        <f ca="1">IF(AUTOEVENTO="Manual",IF($B46&lt;&gt;1,OFFSET(EVENTOS!$D$14,$B46,0),0),IF(B46&lt;=MAX(CÁLCULO!$M$15:$M$32),VLOOKUP($B46,CÁLCULO!$M$15:$N$32,2,FALSE),0))</f>
        <v>0</v>
      </c>
      <c r="D46" s="650"/>
      <c r="F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</row>
    <row r="47" spans="1:32" x14ac:dyDescent="0.25">
      <c r="A47" s="7" t="str">
        <f ca="1">IF(AUTOEVENTO="Manual",IF(OFFSET(EVENTOS!$F$14,PLE!$B47,0)&gt;0,"F",""),IF(PLE!B47&lt;=MAX(CÁLCULO!$M$15:$M$32),"F",""))</f>
        <v/>
      </c>
      <c r="B47" s="286">
        <f t="shared" ca="1" si="1"/>
        <v>33</v>
      </c>
      <c r="C47" s="650">
        <f ca="1">IF(AUTOEVENTO="Manual",IF($B47&lt;&gt;1,OFFSET(EVENTOS!$D$14,$B47,0),0),IF(B47&lt;=MAX(CÁLCULO!$M$15:$M$32),VLOOKUP($B47,CÁLCULO!$M$15:$N$32,2,FALSE),0))</f>
        <v>0</v>
      </c>
      <c r="D47" s="650"/>
      <c r="F47" s="288"/>
      <c r="H47" s="288"/>
      <c r="I47" s="288"/>
      <c r="J47" s="288"/>
      <c r="K47" s="288"/>
      <c r="L47" s="288"/>
      <c r="M47" s="288"/>
      <c r="N47" s="288"/>
      <c r="O47" s="288"/>
      <c r="P47" s="288"/>
      <c r="Q47" s="288"/>
      <c r="R47" s="288"/>
      <c r="S47" s="288"/>
      <c r="T47" s="288"/>
      <c r="U47" s="288"/>
      <c r="V47" s="288"/>
      <c r="W47" s="288"/>
      <c r="X47" s="288"/>
      <c r="Y47" s="288"/>
      <c r="Z47" s="288"/>
      <c r="AA47" s="288"/>
      <c r="AB47" s="288"/>
      <c r="AC47" s="288"/>
      <c r="AD47" s="288"/>
      <c r="AE47" s="288"/>
      <c r="AF47" s="288"/>
    </row>
    <row r="48" spans="1:32" x14ac:dyDescent="0.25">
      <c r="A48" s="7" t="str">
        <f ca="1">IF(AUTOEVENTO="Manual",IF(OFFSET(EVENTOS!$F$14,PLE!$B48,0)&gt;0,"F",""),IF(PLE!B48&lt;=MAX(CÁLCULO!$M$15:$M$32),"F",""))</f>
        <v/>
      </c>
      <c r="B48" s="286">
        <f t="shared" ca="1" si="1"/>
        <v>34</v>
      </c>
      <c r="C48" s="650">
        <f ca="1">IF(AUTOEVENTO="Manual",IF($B48&lt;&gt;1,OFFSET(EVENTOS!$D$14,$B48,0),0),IF(B48&lt;=MAX(CÁLCULO!$M$15:$M$32),VLOOKUP($B48,CÁLCULO!$M$15:$N$32,2,FALSE),0))</f>
        <v>0</v>
      </c>
      <c r="D48" s="650"/>
      <c r="F48" s="288"/>
      <c r="H48" s="288"/>
      <c r="I48" s="288"/>
      <c r="J48" s="288"/>
      <c r="K48" s="288"/>
      <c r="L48" s="288"/>
      <c r="M48" s="288"/>
      <c r="N48" s="288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  <c r="AF48" s="288"/>
    </row>
    <row r="49" spans="1:32" x14ac:dyDescent="0.25">
      <c r="A49" s="7" t="str">
        <f ca="1">IF(AUTOEVENTO="Manual",IF(OFFSET(EVENTOS!$F$14,PLE!$B49,0)&gt;0,"F",""),IF(PLE!B49&lt;=MAX(CÁLCULO!$M$15:$M$32),"F",""))</f>
        <v/>
      </c>
      <c r="B49" s="286">
        <f t="shared" ca="1" si="1"/>
        <v>35</v>
      </c>
      <c r="C49" s="650">
        <f ca="1">IF(AUTOEVENTO="Manual",IF($B49&lt;&gt;1,OFFSET(EVENTOS!$D$14,$B49,0),0),IF(B49&lt;=MAX(CÁLCULO!$M$15:$M$32),VLOOKUP($B49,CÁLCULO!$M$15:$N$32,2,FALSE),0))</f>
        <v>0</v>
      </c>
      <c r="D49" s="650"/>
      <c r="F49" s="288"/>
      <c r="H49" s="288"/>
      <c r="I49" s="288"/>
      <c r="J49" s="288"/>
      <c r="K49" s="288"/>
      <c r="L49" s="288"/>
      <c r="M49" s="288"/>
      <c r="N49" s="288"/>
      <c r="O49" s="288"/>
      <c r="P49" s="288"/>
      <c r="Q49" s="288"/>
      <c r="R49" s="288"/>
      <c r="S49" s="288"/>
      <c r="T49" s="288"/>
      <c r="U49" s="288"/>
      <c r="V49" s="288"/>
      <c r="W49" s="288"/>
      <c r="X49" s="288"/>
      <c r="Y49" s="288"/>
      <c r="Z49" s="288"/>
      <c r="AA49" s="288"/>
      <c r="AB49" s="288"/>
      <c r="AC49" s="288"/>
      <c r="AD49" s="288"/>
      <c r="AE49" s="288"/>
      <c r="AF49" s="288"/>
    </row>
    <row r="50" spans="1:32" x14ac:dyDescent="0.25">
      <c r="A50" s="7" t="str">
        <f ca="1">IF(AUTOEVENTO="Manual",IF(OFFSET(EVENTOS!$F$14,PLE!$B50,0)&gt;0,"F",""),IF(PLE!B50&lt;=MAX(CÁLCULO!$M$15:$M$32),"F",""))</f>
        <v/>
      </c>
      <c r="B50" s="286">
        <f t="shared" ca="1" si="1"/>
        <v>36</v>
      </c>
      <c r="C50" s="650">
        <f ca="1">IF(AUTOEVENTO="Manual",IF($B50&lt;&gt;1,OFFSET(EVENTOS!$D$14,$B50,0),0),IF(B50&lt;=MAX(CÁLCULO!$M$15:$M$32),VLOOKUP($B50,CÁLCULO!$M$15:$N$32,2,FALSE),0))</f>
        <v>0</v>
      </c>
      <c r="D50" s="650"/>
      <c r="F50" s="288"/>
      <c r="H50" s="288"/>
      <c r="I50" s="288"/>
      <c r="J50" s="288"/>
      <c r="K50" s="288"/>
      <c r="L50" s="288"/>
      <c r="M50" s="288"/>
      <c r="N50" s="288"/>
      <c r="O50" s="288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  <c r="AF50" s="288"/>
    </row>
    <row r="51" spans="1:32" x14ac:dyDescent="0.25">
      <c r="A51" s="7" t="str">
        <f ca="1">IF(AUTOEVENTO="Manual",IF(OFFSET(EVENTOS!$F$14,PLE!$B51,0)&gt;0,"F",""),IF(PLE!B51&lt;=MAX(CÁLCULO!$M$15:$M$32),"F",""))</f>
        <v/>
      </c>
      <c r="B51" s="286">
        <f t="shared" ca="1" si="1"/>
        <v>37</v>
      </c>
      <c r="C51" s="650">
        <f ca="1">IF(AUTOEVENTO="Manual",IF($B51&lt;&gt;1,OFFSET(EVENTOS!$D$14,$B51,0),0),IF(B51&lt;=MAX(CÁLCULO!$M$15:$M$32),VLOOKUP($B51,CÁLCULO!$M$15:$N$32,2,FALSE),0))</f>
        <v>0</v>
      </c>
      <c r="D51" s="650"/>
      <c r="F51" s="288"/>
      <c r="H51" s="288"/>
      <c r="I51" s="288"/>
      <c r="J51" s="288"/>
      <c r="K51" s="288"/>
      <c r="L51" s="288"/>
      <c r="M51" s="288"/>
      <c r="N51" s="288"/>
      <c r="O51" s="288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288"/>
      <c r="AB51" s="288"/>
      <c r="AC51" s="288"/>
      <c r="AD51" s="288"/>
      <c r="AE51" s="288"/>
      <c r="AF51" s="288"/>
    </row>
    <row r="52" spans="1:32" x14ac:dyDescent="0.25">
      <c r="A52" s="7" t="str">
        <f ca="1">IF(AUTOEVENTO="Manual",IF(OFFSET(EVENTOS!$F$14,PLE!$B52,0)&gt;0,"F",""),IF(PLE!B52&lt;=MAX(CÁLCULO!$M$15:$M$32),"F",""))</f>
        <v/>
      </c>
      <c r="B52" s="286">
        <f t="shared" ca="1" si="1"/>
        <v>38</v>
      </c>
      <c r="C52" s="650">
        <f ca="1">IF(AUTOEVENTO="Manual",IF($B52&lt;&gt;1,OFFSET(EVENTOS!$D$14,$B52,0),0),IF(B52&lt;=MAX(CÁLCULO!$M$15:$M$32),VLOOKUP($B52,CÁLCULO!$M$15:$N$32,2,FALSE),0))</f>
        <v>0</v>
      </c>
      <c r="D52" s="650"/>
      <c r="F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</row>
    <row r="53" spans="1:32" x14ac:dyDescent="0.25">
      <c r="A53" s="7" t="str">
        <f ca="1">IF(AUTOEVENTO="Manual",IF(OFFSET(EVENTOS!$F$14,PLE!$B53,0)&gt;0,"F",""),IF(PLE!B53&lt;=MAX(CÁLCULO!$M$15:$M$32),"F",""))</f>
        <v/>
      </c>
      <c r="B53" s="286">
        <f t="shared" ca="1" si="1"/>
        <v>39</v>
      </c>
      <c r="C53" s="650">
        <f ca="1">IF(AUTOEVENTO="Manual",IF($B53&lt;&gt;1,OFFSET(EVENTOS!$D$14,$B53,0),0),IF(B53&lt;=MAX(CÁLCULO!$M$15:$M$32),VLOOKUP($B53,CÁLCULO!$M$15:$N$32,2,FALSE),0))</f>
        <v>0</v>
      </c>
      <c r="D53" s="650"/>
      <c r="F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/>
      <c r="AB53" s="288"/>
      <c r="AC53" s="288"/>
      <c r="AD53" s="288"/>
      <c r="AE53" s="288"/>
      <c r="AF53" s="288"/>
    </row>
    <row r="54" spans="1:32" x14ac:dyDescent="0.25">
      <c r="A54" s="7" t="str">
        <f ca="1">IF(AUTOEVENTO="Manual",IF(OFFSET(EVENTOS!$F$14,PLE!$B54,0)&gt;0,"F",""),IF(PLE!B54&lt;=MAX(CÁLCULO!$M$15:$M$32),"F",""))</f>
        <v/>
      </c>
      <c r="B54" s="286">
        <f t="shared" ca="1" si="1"/>
        <v>40</v>
      </c>
      <c r="C54" s="650">
        <f ca="1">IF(AUTOEVENTO="Manual",IF($B54&lt;&gt;1,OFFSET(EVENTOS!$D$14,$B54,0),0),IF(B54&lt;=MAX(CÁLCULO!$M$15:$M$32),VLOOKUP($B54,CÁLCULO!$M$15:$N$32,2,FALSE),0))</f>
        <v>0</v>
      </c>
      <c r="D54" s="650"/>
      <c r="F54" s="288"/>
      <c r="H54" s="288"/>
      <c r="I54" s="288"/>
      <c r="J54" s="288"/>
      <c r="K54" s="288"/>
      <c r="L54" s="288"/>
      <c r="M54" s="288"/>
      <c r="N54" s="288"/>
      <c r="O54" s="288"/>
      <c r="P54" s="288"/>
      <c r="Q54" s="288"/>
      <c r="R54" s="288"/>
      <c r="S54" s="288"/>
      <c r="T54" s="288"/>
      <c r="U54" s="288"/>
      <c r="V54" s="288"/>
      <c r="W54" s="288"/>
      <c r="X54" s="288"/>
      <c r="Y54" s="288"/>
      <c r="Z54" s="288"/>
      <c r="AA54" s="288"/>
      <c r="AB54" s="288"/>
      <c r="AC54" s="288"/>
      <c r="AD54" s="288"/>
      <c r="AE54" s="288"/>
      <c r="AF54" s="288"/>
    </row>
    <row r="55" spans="1:32" x14ac:dyDescent="0.25">
      <c r="A55" s="7" t="str">
        <f ca="1">IF(AUTOEVENTO="Manual",IF(OFFSET(EVENTOS!$F$14,PLE!$B55,0)&gt;0,"F",""),IF(PLE!B55&lt;=MAX(CÁLCULO!$M$15:$M$32),"F",""))</f>
        <v/>
      </c>
      <c r="B55" s="286">
        <f t="shared" ca="1" si="1"/>
        <v>41</v>
      </c>
      <c r="C55" s="650">
        <f ca="1">IF(AUTOEVENTO="Manual",IF($B55&lt;&gt;1,OFFSET(EVENTOS!$D$14,$B55,0),0),IF(B55&lt;=MAX(CÁLCULO!$M$15:$M$32),VLOOKUP($B55,CÁLCULO!$M$15:$N$32,2,FALSE),0))</f>
        <v>0</v>
      </c>
      <c r="D55" s="650"/>
      <c r="F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</row>
    <row r="56" spans="1:32" x14ac:dyDescent="0.25">
      <c r="A56" s="7" t="str">
        <f ca="1">IF(AUTOEVENTO="Manual",IF(OFFSET(EVENTOS!$F$14,PLE!$B56,0)&gt;0,"F",""),IF(PLE!B56&lt;=MAX(CÁLCULO!$M$15:$M$32),"F",""))</f>
        <v/>
      </c>
      <c r="B56" s="286">
        <f t="shared" ca="1" si="1"/>
        <v>42</v>
      </c>
      <c r="C56" s="650">
        <f ca="1">IF(AUTOEVENTO="Manual",IF($B56&lt;&gt;1,OFFSET(EVENTOS!$D$14,$B56,0),0),IF(B56&lt;=MAX(CÁLCULO!$M$15:$M$32),VLOOKUP($B56,CÁLCULO!$M$15:$N$32,2,FALSE),0))</f>
        <v>0</v>
      </c>
      <c r="D56" s="650"/>
      <c r="F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</row>
    <row r="57" spans="1:32" x14ac:dyDescent="0.25">
      <c r="A57" s="7" t="str">
        <f ca="1">IF(AUTOEVENTO="Manual",IF(OFFSET(EVENTOS!$F$14,PLE!$B57,0)&gt;0,"F",""),IF(PLE!B57&lt;=MAX(CÁLCULO!$M$15:$M$32),"F",""))</f>
        <v/>
      </c>
      <c r="B57" s="286">
        <f t="shared" ca="1" si="1"/>
        <v>43</v>
      </c>
      <c r="C57" s="650">
        <f ca="1">IF(AUTOEVENTO="Manual",IF($B57&lt;&gt;1,OFFSET(EVENTOS!$D$14,$B57,0),0),IF(B57&lt;=MAX(CÁLCULO!$M$15:$M$32),VLOOKUP($B57,CÁLCULO!$M$15:$N$32,2,FALSE),0))</f>
        <v>0</v>
      </c>
      <c r="D57" s="650"/>
      <c r="F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288"/>
      <c r="AB57" s="288"/>
      <c r="AC57" s="288"/>
      <c r="AD57" s="288"/>
      <c r="AE57" s="288"/>
      <c r="AF57" s="288"/>
    </row>
    <row r="58" spans="1:32" x14ac:dyDescent="0.25">
      <c r="A58" s="7" t="str">
        <f ca="1">IF(AUTOEVENTO="Manual",IF(OFFSET(EVENTOS!$F$14,PLE!$B58,0)&gt;0,"F",""),IF(PLE!B58&lt;=MAX(CÁLCULO!$M$15:$M$32),"F",""))</f>
        <v/>
      </c>
      <c r="B58" s="286">
        <f t="shared" ca="1" si="1"/>
        <v>44</v>
      </c>
      <c r="C58" s="650">
        <f ca="1">IF(AUTOEVENTO="Manual",IF($B58&lt;&gt;1,OFFSET(EVENTOS!$D$14,$B58,0),0),IF(B58&lt;=MAX(CÁLCULO!$M$15:$M$32),VLOOKUP($B58,CÁLCULO!$M$15:$N$32,2,FALSE),0))</f>
        <v>0</v>
      </c>
      <c r="D58" s="650"/>
      <c r="F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88"/>
      <c r="AA58" s="288"/>
      <c r="AB58" s="288"/>
      <c r="AC58" s="288"/>
      <c r="AD58" s="288"/>
      <c r="AE58" s="288"/>
      <c r="AF58" s="288"/>
    </row>
    <row r="59" spans="1:32" x14ac:dyDescent="0.25">
      <c r="A59" s="7" t="str">
        <f ca="1">IF(AUTOEVENTO="Manual",IF(OFFSET(EVENTOS!$F$14,PLE!$B59,0)&gt;0,"F",""),IF(PLE!B59&lt;=MAX(CÁLCULO!$M$15:$M$32),"F",""))</f>
        <v/>
      </c>
      <c r="B59" s="286">
        <f t="shared" ca="1" si="1"/>
        <v>45</v>
      </c>
      <c r="C59" s="650">
        <f ca="1">IF(AUTOEVENTO="Manual",IF($B59&lt;&gt;1,OFFSET(EVENTOS!$D$14,$B59,0),0),IF(B59&lt;=MAX(CÁLCULO!$M$15:$M$32),VLOOKUP($B59,CÁLCULO!$M$15:$N$32,2,FALSE),0))</f>
        <v>0</v>
      </c>
      <c r="D59" s="650"/>
      <c r="F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</row>
    <row r="60" spans="1:32" x14ac:dyDescent="0.25">
      <c r="A60" s="7" t="str">
        <f ca="1">IF(AUTOEVENTO="Manual",IF(OFFSET(EVENTOS!$F$14,PLE!$B60,0)&gt;0,"F",""),IF(PLE!B60&lt;=MAX(CÁLCULO!$M$15:$M$32),"F",""))</f>
        <v/>
      </c>
      <c r="B60" s="286">
        <f t="shared" ca="1" si="1"/>
        <v>46</v>
      </c>
      <c r="C60" s="650">
        <f ca="1">IF(AUTOEVENTO="Manual",IF($B60&lt;&gt;1,OFFSET(EVENTOS!$D$14,$B60,0),0),IF(B60&lt;=MAX(CÁLCULO!$M$15:$M$32),VLOOKUP($B60,CÁLCULO!$M$15:$N$32,2,FALSE),0))</f>
        <v>0</v>
      </c>
      <c r="D60" s="650"/>
      <c r="F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</row>
    <row r="61" spans="1:32" x14ac:dyDescent="0.25">
      <c r="A61" s="7" t="str">
        <f ca="1">IF(AUTOEVENTO="Manual",IF(OFFSET(EVENTOS!$F$14,PLE!$B61,0)&gt;0,"F",""),IF(PLE!B61&lt;=MAX(CÁLCULO!$M$15:$M$32),"F",""))</f>
        <v/>
      </c>
      <c r="B61" s="286">
        <f t="shared" ca="1" si="1"/>
        <v>47</v>
      </c>
      <c r="C61" s="650">
        <f ca="1">IF(AUTOEVENTO="Manual",IF($B61&lt;&gt;1,OFFSET(EVENTOS!$D$14,$B61,0),0),IF(B61&lt;=MAX(CÁLCULO!$M$15:$M$32),VLOOKUP($B61,CÁLCULO!$M$15:$N$32,2,FALSE),0))</f>
        <v>0</v>
      </c>
      <c r="D61" s="650"/>
      <c r="F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288"/>
      <c r="AB61" s="288"/>
      <c r="AC61" s="288"/>
      <c r="AD61" s="288"/>
      <c r="AE61" s="288"/>
      <c r="AF61" s="288"/>
    </row>
    <row r="62" spans="1:32" x14ac:dyDescent="0.25">
      <c r="A62" s="7" t="str">
        <f ca="1">IF(AUTOEVENTO="Manual",IF(OFFSET(EVENTOS!$F$14,PLE!$B62,0)&gt;0,"F",""),IF(PLE!B62&lt;=MAX(CÁLCULO!$M$15:$M$32),"F",""))</f>
        <v/>
      </c>
      <c r="B62" s="286">
        <f t="shared" ca="1" si="1"/>
        <v>48</v>
      </c>
      <c r="C62" s="650">
        <f ca="1">IF(AUTOEVENTO="Manual",IF($B62&lt;&gt;1,OFFSET(EVENTOS!$D$14,$B62,0),0),IF(B62&lt;=MAX(CÁLCULO!$M$15:$M$32),VLOOKUP($B62,CÁLCULO!$M$15:$N$32,2,FALSE),0))</f>
        <v>0</v>
      </c>
      <c r="D62" s="650"/>
      <c r="F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8"/>
      <c r="Z62" s="288"/>
      <c r="AA62" s="288"/>
      <c r="AB62" s="288"/>
      <c r="AC62" s="288"/>
      <c r="AD62" s="288"/>
      <c r="AE62" s="288"/>
      <c r="AF62" s="288"/>
    </row>
    <row r="63" spans="1:32" x14ac:dyDescent="0.25">
      <c r="A63" s="7" t="str">
        <f ca="1">IF(AUTOEVENTO="Manual",IF(OFFSET(EVENTOS!$F$14,PLE!$B63,0)&gt;0,"F",""),IF(PLE!B63&lt;=MAX(CÁLCULO!$M$15:$M$32),"F",""))</f>
        <v/>
      </c>
      <c r="B63" s="286">
        <f t="shared" ca="1" si="1"/>
        <v>49</v>
      </c>
      <c r="C63" s="650">
        <f ca="1">IF(AUTOEVENTO="Manual",IF($B63&lt;&gt;1,OFFSET(EVENTOS!$D$14,$B63,0),0),IF(B63&lt;=MAX(CÁLCULO!$M$15:$M$32),VLOOKUP($B63,CÁLCULO!$M$15:$N$32,2,FALSE),0))</f>
        <v>0</v>
      </c>
      <c r="D63" s="650"/>
      <c r="F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288"/>
      <c r="AE63" s="288"/>
      <c r="AF63" s="288"/>
    </row>
    <row r="64" spans="1:32" x14ac:dyDescent="0.25">
      <c r="A64" s="7" t="str">
        <f ca="1">IF(AUTOEVENTO="Manual",IF(OFFSET(EVENTOS!$F$14,PLE!$B64,0)&gt;0,"F",""),IF(PLE!B64&lt;=MAX(CÁLCULO!$M$15:$M$32),"F",""))</f>
        <v/>
      </c>
      <c r="B64" s="286">
        <f t="shared" ca="1" si="1"/>
        <v>50</v>
      </c>
      <c r="C64" s="650">
        <f ca="1">IF(AUTOEVENTO="Manual",IF($B64&lt;&gt;1,OFFSET(EVENTOS!$D$14,$B64,0),0),IF(B64&lt;=MAX(CÁLCULO!$M$15:$M$32),VLOOKUP($B64,CÁLCULO!$M$15:$N$32,2,FALSE),0))</f>
        <v>0</v>
      </c>
      <c r="D64" s="650"/>
      <c r="F64" s="288"/>
      <c r="H64" s="288"/>
      <c r="I64" s="288"/>
      <c r="J64" s="288"/>
      <c r="K64" s="288"/>
      <c r="L64" s="288"/>
      <c r="M64" s="288"/>
      <c r="N64" s="288"/>
      <c r="O64" s="288"/>
      <c r="P64" s="288"/>
      <c r="Q64" s="288"/>
      <c r="R64" s="288"/>
      <c r="S64" s="288"/>
      <c r="T64" s="288"/>
      <c r="U64" s="288"/>
      <c r="V64" s="288"/>
      <c r="W64" s="288"/>
      <c r="X64" s="288"/>
      <c r="Y64" s="288"/>
      <c r="Z64" s="288"/>
      <c r="AA64" s="288"/>
      <c r="AB64" s="288"/>
      <c r="AC64" s="288"/>
      <c r="AD64" s="288"/>
      <c r="AE64" s="288"/>
      <c r="AF64" s="288"/>
    </row>
    <row r="65" spans="1:32" ht="4.5" customHeight="1" x14ac:dyDescent="0.25">
      <c r="A65" s="7" t="s">
        <v>246</v>
      </c>
      <c r="B65" s="483"/>
      <c r="C65" s="484"/>
      <c r="D65" s="485"/>
      <c r="F65" s="137"/>
      <c r="H65" s="483"/>
      <c r="I65" s="484"/>
      <c r="J65" s="484"/>
      <c r="K65" s="484"/>
      <c r="L65" s="484"/>
      <c r="M65" s="484"/>
      <c r="N65" s="484"/>
      <c r="O65" s="484"/>
      <c r="P65" s="484"/>
      <c r="Q65" s="484"/>
      <c r="R65" s="484"/>
      <c r="S65" s="484"/>
      <c r="T65" s="484"/>
      <c r="U65" s="484"/>
      <c r="V65" s="484"/>
      <c r="W65" s="484"/>
      <c r="X65" s="484"/>
      <c r="Y65" s="484"/>
      <c r="Z65" s="484"/>
      <c r="AA65" s="484"/>
      <c r="AB65" s="484"/>
      <c r="AC65" s="484"/>
      <c r="AD65" s="484"/>
      <c r="AE65" s="484"/>
      <c r="AF65" s="485"/>
    </row>
    <row r="66" spans="1:32" x14ac:dyDescent="0.25">
      <c r="A66" s="7" t="s">
        <v>246</v>
      </c>
    </row>
    <row r="67" spans="1:32" x14ac:dyDescent="0.25">
      <c r="A67" s="7" t="s">
        <v>246</v>
      </c>
      <c r="I67" s="661" t="s">
        <v>298</v>
      </c>
      <c r="J67" s="661"/>
      <c r="K67" s="661"/>
      <c r="L67" s="661"/>
      <c r="M67" s="661"/>
      <c r="N67" s="661"/>
      <c r="O67" s="661"/>
      <c r="P67" s="661"/>
      <c r="Q67" s="661"/>
      <c r="R67" s="661"/>
      <c r="S67" s="661"/>
      <c r="T67" s="661"/>
      <c r="U67" s="661"/>
      <c r="V67" s="661"/>
      <c r="W67" s="661"/>
      <c r="X67" s="661"/>
      <c r="Y67" s="661"/>
      <c r="Z67" s="661"/>
      <c r="AA67" s="661"/>
      <c r="AB67" s="661"/>
      <c r="AC67" s="661"/>
      <c r="AD67" s="661"/>
      <c r="AE67" s="661"/>
      <c r="AF67" s="661"/>
    </row>
    <row r="68" spans="1:32" x14ac:dyDescent="0.25">
      <c r="A68" s="7" t="s">
        <v>246</v>
      </c>
      <c r="I68" s="648"/>
      <c r="J68" s="649"/>
      <c r="K68" s="649"/>
      <c r="L68" s="649"/>
      <c r="M68" s="649"/>
      <c r="N68" s="649"/>
      <c r="O68" s="649"/>
      <c r="P68" s="649"/>
      <c r="Q68" s="649"/>
      <c r="R68" s="649"/>
      <c r="S68" s="649"/>
      <c r="T68" s="649"/>
      <c r="U68" s="649"/>
      <c r="V68" s="649"/>
      <c r="W68" s="649"/>
      <c r="X68" s="649"/>
      <c r="Y68" s="649"/>
      <c r="Z68" s="649"/>
      <c r="AA68" s="649"/>
      <c r="AB68" s="649"/>
      <c r="AC68" s="649"/>
      <c r="AD68" s="649"/>
      <c r="AE68" s="649"/>
      <c r="AF68" s="660"/>
    </row>
    <row r="69" spans="1:32" x14ac:dyDescent="0.25">
      <c r="A69" s="7" t="s">
        <v>246</v>
      </c>
      <c r="D69" s="309" t="s">
        <v>299</v>
      </c>
      <c r="I69" s="646">
        <f>IF(PLE.Medicao&lt;=12,1,TRUNC((PLE.Medicao - 2)/11,0) * 11 + 1)</f>
        <v>1</v>
      </c>
      <c r="J69" s="646"/>
      <c r="K69" s="646">
        <f>I69+1</f>
        <v>2</v>
      </c>
      <c r="L69" s="646"/>
      <c r="M69" s="646">
        <f>K69+1</f>
        <v>3</v>
      </c>
      <c r="N69" s="646"/>
      <c r="O69" s="646">
        <f>M69+1</f>
        <v>4</v>
      </c>
      <c r="P69" s="646"/>
      <c r="Q69" s="646">
        <f>O69+1</f>
        <v>5</v>
      </c>
      <c r="R69" s="646"/>
      <c r="S69" s="646">
        <f>Q69+1</f>
        <v>6</v>
      </c>
      <c r="T69" s="646"/>
      <c r="U69" s="646">
        <f>S69+1</f>
        <v>7</v>
      </c>
      <c r="V69" s="646"/>
      <c r="W69" s="646">
        <f>U69+1</f>
        <v>8</v>
      </c>
      <c r="X69" s="646"/>
      <c r="Y69" s="646">
        <f>W69+1</f>
        <v>9</v>
      </c>
      <c r="Z69" s="646"/>
      <c r="AA69" s="646">
        <f>Y69+1</f>
        <v>10</v>
      </c>
      <c r="AB69" s="646"/>
      <c r="AC69" s="646">
        <f>AA69+1</f>
        <v>11</v>
      </c>
      <c r="AD69" s="646"/>
      <c r="AE69" s="646">
        <f>AC69+1</f>
        <v>12</v>
      </c>
      <c r="AF69" s="646"/>
    </row>
    <row r="70" spans="1:32" x14ac:dyDescent="0.25">
      <c r="A70" s="7" t="s">
        <v>246</v>
      </c>
      <c r="D70" s="651" t="s">
        <v>283</v>
      </c>
      <c r="H70" s="310" t="s">
        <v>300</v>
      </c>
      <c r="I70" s="647">
        <f ca="1">ROUND(I71,2)/ORÇAMENTO!$X$15</f>
        <v>0</v>
      </c>
      <c r="J70" s="647"/>
      <c r="K70" s="654">
        <f ca="1">ROUND(K71,2)/ORÇAMENTO!$X$15</f>
        <v>0</v>
      </c>
      <c r="L70" s="654"/>
      <c r="M70" s="655">
        <f ca="1">ROUND(M71,2)/ORÇAMENTO!$X$15</f>
        <v>0</v>
      </c>
      <c r="N70" s="655"/>
      <c r="O70" s="654">
        <f ca="1">ROUND(O71,2)/ORÇAMENTO!$X$15</f>
        <v>0</v>
      </c>
      <c r="P70" s="654"/>
      <c r="Q70" s="655">
        <f ca="1">ROUND(Q71,2)/ORÇAMENTO!$X$15</f>
        <v>0</v>
      </c>
      <c r="R70" s="655"/>
      <c r="S70" s="654">
        <f ca="1">ROUND(S71,2)/ORÇAMENTO!$X$15</f>
        <v>0</v>
      </c>
      <c r="T70" s="654"/>
      <c r="U70" s="655">
        <f ca="1">ROUND(U71,2)/ORÇAMENTO!$X$15</f>
        <v>0</v>
      </c>
      <c r="V70" s="655"/>
      <c r="W70" s="654">
        <f ca="1">ROUND(W71,2)/ORÇAMENTO!$X$15</f>
        <v>0</v>
      </c>
      <c r="X70" s="654"/>
      <c r="Y70" s="655">
        <f ca="1">ROUND(Y71,2)/ORÇAMENTO!$X$15</f>
        <v>0</v>
      </c>
      <c r="Z70" s="655"/>
      <c r="AA70" s="654">
        <f ca="1">ROUND(AA71,2)/ORÇAMENTO!$X$15</f>
        <v>0</v>
      </c>
      <c r="AB70" s="654"/>
      <c r="AC70" s="655">
        <f ca="1">ROUND(AC71,2)/ORÇAMENTO!$X$15</f>
        <v>0</v>
      </c>
      <c r="AD70" s="655"/>
      <c r="AE70" s="654">
        <f ca="1">ROUND(AE71,2)/ORÇAMENTO!$X$15</f>
        <v>0</v>
      </c>
      <c r="AF70" s="654"/>
    </row>
    <row r="71" spans="1:32" x14ac:dyDescent="0.25">
      <c r="A71" s="7" t="s">
        <v>246</v>
      </c>
      <c r="D71" s="651"/>
      <c r="H71" s="12" t="s">
        <v>301</v>
      </c>
      <c r="I71" s="653">
        <f ca="1">IF(I69=1,I73,ROUND(I73,2)-ROUND(SUMIF(CÁLCULO!$AX$15:$BH$32,"&lt;="&amp;PLE!I69-1,CÁLCULO!$AB$15:$AL$32)*(1+CÁLCULO.TotalAdmLocal/(ORÇAMENTO!$X$15-CÁLCULO.TotalAdmLocal)),2))</f>
        <v>0</v>
      </c>
      <c r="J71" s="653"/>
      <c r="K71" s="653">
        <f ca="1">ROUND(K73,2)-ROUND(I73,2)</f>
        <v>0</v>
      </c>
      <c r="L71" s="653"/>
      <c r="M71" s="652">
        <f ca="1">ROUND(M73,2)-ROUND(K73,2)</f>
        <v>0</v>
      </c>
      <c r="N71" s="652"/>
      <c r="O71" s="653">
        <f ca="1">ROUND(O73,2)-ROUND(M73,2)</f>
        <v>0</v>
      </c>
      <c r="P71" s="653"/>
      <c r="Q71" s="652">
        <f ca="1">ROUND(Q73,2)-ROUND(O73,2)</f>
        <v>0</v>
      </c>
      <c r="R71" s="652"/>
      <c r="S71" s="653">
        <f ca="1">ROUND(S73,2)-ROUND(Q73,2)</f>
        <v>0</v>
      </c>
      <c r="T71" s="653"/>
      <c r="U71" s="652">
        <f ca="1">ROUND(U73,2)-ROUND(S73,2)</f>
        <v>0</v>
      </c>
      <c r="V71" s="652"/>
      <c r="W71" s="653">
        <f ca="1">ROUND(W73,2)-ROUND(U73,2)</f>
        <v>0</v>
      </c>
      <c r="X71" s="653"/>
      <c r="Y71" s="652">
        <f ca="1">ROUND(Y73,2)-ROUND(W73,2)</f>
        <v>0</v>
      </c>
      <c r="Z71" s="652"/>
      <c r="AA71" s="653">
        <f ca="1">ROUND(AA73,2)-ROUND(Y73,2)</f>
        <v>0</v>
      </c>
      <c r="AB71" s="653"/>
      <c r="AC71" s="652">
        <f ca="1">ROUND(AC73,2)-ROUND(AA73,2)</f>
        <v>0</v>
      </c>
      <c r="AD71" s="652"/>
      <c r="AE71" s="653">
        <f ca="1">ROUND(AE73,2)-ROUND(AC73,2)</f>
        <v>0</v>
      </c>
      <c r="AF71" s="653"/>
    </row>
    <row r="72" spans="1:32" x14ac:dyDescent="0.25">
      <c r="A72" s="7" t="s">
        <v>246</v>
      </c>
      <c r="D72" s="651" t="s">
        <v>287</v>
      </c>
      <c r="H72" s="310" t="s">
        <v>300</v>
      </c>
      <c r="I72" s="658">
        <f ca="1">ROUND(I73,2)/ORÇAMENTO!$X$15</f>
        <v>0</v>
      </c>
      <c r="J72" s="658"/>
      <c r="K72" s="656">
        <f ca="1">ROUND(K73,2)/ORÇAMENTO!$X$15</f>
        <v>0</v>
      </c>
      <c r="L72" s="656"/>
      <c r="M72" s="657">
        <f ca="1">ROUND(M73,2)/ORÇAMENTO!$X$15</f>
        <v>0</v>
      </c>
      <c r="N72" s="657"/>
      <c r="O72" s="656">
        <f ca="1">ROUND(O73,2)/ORÇAMENTO!$X$15</f>
        <v>0</v>
      </c>
      <c r="P72" s="656"/>
      <c r="Q72" s="657">
        <f ca="1">ROUND(Q73,2)/ORÇAMENTO!$X$15</f>
        <v>0</v>
      </c>
      <c r="R72" s="657"/>
      <c r="S72" s="656">
        <f ca="1">ROUND(S73,2)/ORÇAMENTO!$X$15</f>
        <v>0</v>
      </c>
      <c r="T72" s="656"/>
      <c r="U72" s="657">
        <f ca="1">ROUND(U73,2)/ORÇAMENTO!$X$15</f>
        <v>0</v>
      </c>
      <c r="V72" s="657"/>
      <c r="W72" s="656">
        <f ca="1">ROUND(W73,2)/ORÇAMENTO!$X$15</f>
        <v>0</v>
      </c>
      <c r="X72" s="656"/>
      <c r="Y72" s="657">
        <f ca="1">ROUND(Y73,2)/ORÇAMENTO!$X$15</f>
        <v>0</v>
      </c>
      <c r="Z72" s="657"/>
      <c r="AA72" s="656">
        <f ca="1">ROUND(AA73,2)/ORÇAMENTO!$X$15</f>
        <v>0</v>
      </c>
      <c r="AB72" s="656"/>
      <c r="AC72" s="657">
        <f ca="1">ROUND(AC73,2)/ORÇAMENTO!$X$15</f>
        <v>0</v>
      </c>
      <c r="AD72" s="657"/>
      <c r="AE72" s="656">
        <f ca="1">ROUND(AE73,2)/ORÇAMENTO!$X$15</f>
        <v>0</v>
      </c>
      <c r="AF72" s="656"/>
    </row>
    <row r="73" spans="1:32" x14ac:dyDescent="0.25">
      <c r="A73" s="7" t="s">
        <v>246</v>
      </c>
      <c r="D73" s="651"/>
      <c r="H73" s="12" t="s">
        <v>301</v>
      </c>
      <c r="I73" s="659">
        <f ca="1">SUMIF(CÁLCULO!$AX$15:$BH$32,"&lt;="&amp;PLE!I69,CÁLCULO!$AB$15:$AL$32)*(1+CÁLCULO.TotalAdmLocal/(ORÇAMENTO!$X$15-CÁLCULO.TotalAdmLocal))</f>
        <v>0</v>
      </c>
      <c r="J73" s="659"/>
      <c r="K73" s="653">
        <f ca="1">SUMIF(CÁLCULO!$AX$15:$BH$32,"&lt;="&amp;PLE!K69,CÁLCULO!$AB$15:$AL$32)*(1+CÁLCULO.TotalAdmLocal/(ORÇAMENTO!$X$15-CÁLCULO.TotalAdmLocal))</f>
        <v>0</v>
      </c>
      <c r="L73" s="653"/>
      <c r="M73" s="652">
        <f ca="1">SUMIF(CÁLCULO!$AX$15:$BH$32,"&lt;="&amp;PLE!M69,CÁLCULO!$AB$15:$AL$32)*(1+CÁLCULO.TotalAdmLocal/(ORÇAMENTO!$X$15-CÁLCULO.TotalAdmLocal))</f>
        <v>0</v>
      </c>
      <c r="N73" s="652"/>
      <c r="O73" s="653">
        <f ca="1">SUMIF(CÁLCULO!$AX$15:$BH$32,"&lt;="&amp;PLE!O69,CÁLCULO!$AB$15:$AL$32)*(1+CÁLCULO.TotalAdmLocal/(ORÇAMENTO!$X$15-CÁLCULO.TotalAdmLocal))</f>
        <v>0</v>
      </c>
      <c r="P73" s="653"/>
      <c r="Q73" s="652">
        <f ca="1">SUMIF(CÁLCULO!$AX$15:$BH$32,"&lt;="&amp;PLE!Q69,CÁLCULO!$AB$15:$AL$32)*(1+CÁLCULO.TotalAdmLocal/(ORÇAMENTO!$X$15-CÁLCULO.TotalAdmLocal))</f>
        <v>0</v>
      </c>
      <c r="R73" s="652"/>
      <c r="S73" s="653">
        <f ca="1">SUMIF(CÁLCULO!$AX$15:$BH$32,"&lt;="&amp;PLE!S69,CÁLCULO!$AB$15:$AL$32)*(1+CÁLCULO.TotalAdmLocal/(ORÇAMENTO!$X$15-CÁLCULO.TotalAdmLocal))</f>
        <v>0</v>
      </c>
      <c r="T73" s="653"/>
      <c r="U73" s="652">
        <f ca="1">SUMIF(CÁLCULO!$AX$15:$BH$32,"&lt;="&amp;PLE!U69,CÁLCULO!$AB$15:$AL$32)*(1+CÁLCULO.TotalAdmLocal/(ORÇAMENTO!$X$15-CÁLCULO.TotalAdmLocal))</f>
        <v>0</v>
      </c>
      <c r="V73" s="652"/>
      <c r="W73" s="653">
        <f ca="1">SUMIF(CÁLCULO!$AX$15:$BH$32,"&lt;="&amp;PLE!W69,CÁLCULO!$AB$15:$AL$32)*(1+CÁLCULO.TotalAdmLocal/(ORÇAMENTO!$X$15-CÁLCULO.TotalAdmLocal))</f>
        <v>0</v>
      </c>
      <c r="X73" s="653"/>
      <c r="Y73" s="652">
        <f ca="1">SUMIF(CÁLCULO!$AX$15:$BH$32,"&lt;="&amp;PLE!Y69,CÁLCULO!$AB$15:$AL$32)*(1+CÁLCULO.TotalAdmLocal/(ORÇAMENTO!$X$15-CÁLCULO.TotalAdmLocal))</f>
        <v>0</v>
      </c>
      <c r="Z73" s="652"/>
      <c r="AA73" s="653">
        <f ca="1">SUMIF(CÁLCULO!$AX$15:$BH$32,"&lt;="&amp;PLE!AA69,CÁLCULO!$AB$15:$AL$32)*(1+CÁLCULO.TotalAdmLocal/(ORÇAMENTO!$X$15-CÁLCULO.TotalAdmLocal))</f>
        <v>0</v>
      </c>
      <c r="AB73" s="653"/>
      <c r="AC73" s="652">
        <f ca="1">SUMIF(CÁLCULO!$AX$15:$BH$32,"&lt;="&amp;PLE!AC69,CÁLCULO!$AB$15:$AL$32)*(1+CÁLCULO.TotalAdmLocal/(ORÇAMENTO!$X$15-CÁLCULO.TotalAdmLocal))</f>
        <v>0</v>
      </c>
      <c r="AD73" s="652"/>
      <c r="AE73" s="653">
        <f ca="1">SUMIF(CÁLCULO!$AX$15:$BH$32,"&lt;="&amp;PLE!AE69,CÁLCULO!$AB$15:$AL$32)*(1+CÁLCULO.TotalAdmLocal/(ORÇAMENTO!$X$15-CÁLCULO.TotalAdmLocal))</f>
        <v>0</v>
      </c>
      <c r="AF73" s="653"/>
    </row>
    <row r="74" spans="1:32" ht="20.25" customHeight="1" x14ac:dyDescent="0.25">
      <c r="A74" s="7" t="s">
        <v>246</v>
      </c>
    </row>
    <row r="75" spans="1:32" ht="13.8" x14ac:dyDescent="0.25">
      <c r="A75" s="7" t="s">
        <v>246</v>
      </c>
      <c r="B75" s="623" t="str">
        <f>Import.Município</f>
        <v>BOM JARDIM DE MINAS - MG</v>
      </c>
      <c r="C75" s="623"/>
      <c r="D75" s="623"/>
      <c r="U75" s="144"/>
      <c r="V75" s="144"/>
      <c r="W75" s="144"/>
      <c r="X75" s="144"/>
      <c r="Y75" s="193"/>
      <c r="Z75" s="193"/>
      <c r="AA75" s="193"/>
      <c r="AB75" s="193"/>
      <c r="AC75" s="193"/>
      <c r="AD75" s="193"/>
    </row>
    <row r="76" spans="1:32" x14ac:dyDescent="0.25">
      <c r="A76" s="7" t="s">
        <v>246</v>
      </c>
      <c r="B76" s="10" t="s">
        <v>188</v>
      </c>
      <c r="U76" s="194" t="s">
        <v>302</v>
      </c>
    </row>
    <row r="77" spans="1:32" x14ac:dyDescent="0.25">
      <c r="A77" s="7" t="s">
        <v>246</v>
      </c>
      <c r="I77" s="79"/>
      <c r="U77" s="77" t="s">
        <v>108</v>
      </c>
      <c r="W77" s="311" t="str">
        <f t="array" ref="W77:W80">Import.RespFiscalização</f>
        <v>RENNAN ROBERTO DUARTE DA SILVA</v>
      </c>
    </row>
    <row r="78" spans="1:32" x14ac:dyDescent="0.25">
      <c r="A78" s="7" t="s">
        <v>246</v>
      </c>
      <c r="B78" s="618">
        <f ca="1">DADOS!$F$48</f>
        <v>45580</v>
      </c>
      <c r="C78" s="618"/>
      <c r="D78" s="618"/>
      <c r="I78" s="79"/>
      <c r="U78" s="77" t="s">
        <v>127</v>
      </c>
      <c r="W78" s="311" t="str">
        <v>ENGENHEIRO CIVIL</v>
      </c>
    </row>
    <row r="79" spans="1:32" x14ac:dyDescent="0.25">
      <c r="A79" s="7" t="s">
        <v>246</v>
      </c>
      <c r="B79" s="145" t="s">
        <v>189</v>
      </c>
      <c r="C79" s="1"/>
      <c r="D79" s="1"/>
      <c r="I79" s="79"/>
      <c r="U79" s="77" t="s">
        <v>109</v>
      </c>
      <c r="W79" s="311" t="str">
        <v>RJ2019107419 MG</v>
      </c>
    </row>
    <row r="80" spans="1:32" x14ac:dyDescent="0.25">
      <c r="U80" s="77" t="s">
        <v>110</v>
      </c>
      <c r="W80" s="13" t="str">
        <v>MG20243409885</v>
      </c>
    </row>
  </sheetData>
  <sheetProtection algorithmName="SHA-512" hashValue="+AhcW0MRNa7aACeXBSxtQ+zvCTd3cVaUDFEvJv9OiaD4uqtDRzi/TCxQWAyJTisZKBq6OUJ0X+L853bBEsb5aw==" saltValue="k61BN55TWt6v7HSzNdzYtg==" spinCount="100000" sheet="1" objects="1" scenarios="1" autoFilter="0"/>
  <autoFilter ref="A13:A79" xr:uid="{00000000-0009-0000-0000-000009000000}"/>
  <mergeCells count="143">
    <mergeCell ref="C26:D26"/>
    <mergeCell ref="C27:D27"/>
    <mergeCell ref="C28:D28"/>
    <mergeCell ref="C29:D29"/>
    <mergeCell ref="C35:D35"/>
    <mergeCell ref="C49:D49"/>
    <mergeCell ref="C44:D44"/>
    <mergeCell ref="C45:D45"/>
    <mergeCell ref="C46:D46"/>
    <mergeCell ref="C47:D47"/>
    <mergeCell ref="C48:D48"/>
    <mergeCell ref="C38:D38"/>
    <mergeCell ref="C40:D40"/>
    <mergeCell ref="C43:D43"/>
    <mergeCell ref="C1:D1"/>
    <mergeCell ref="AD3:AF3"/>
    <mergeCell ref="AD4:AF4"/>
    <mergeCell ref="AE6:AF6"/>
    <mergeCell ref="H7:N7"/>
    <mergeCell ref="O7:U7"/>
    <mergeCell ref="C11:D11"/>
    <mergeCell ref="C12:D13"/>
    <mergeCell ref="J9:K9"/>
    <mergeCell ref="N9:T9"/>
    <mergeCell ref="B7:C7"/>
    <mergeCell ref="AE7:AF7"/>
    <mergeCell ref="V7:AD7"/>
    <mergeCell ref="Y9:Z9"/>
    <mergeCell ref="AE9:AF9"/>
    <mergeCell ref="C24:D24"/>
    <mergeCell ref="C34:D34"/>
    <mergeCell ref="I67:AF67"/>
    <mergeCell ref="B12:B13"/>
    <mergeCell ref="O68:P68"/>
    <mergeCell ref="C15:D15"/>
    <mergeCell ref="C39:D39"/>
    <mergeCell ref="C41:D41"/>
    <mergeCell ref="C42:D42"/>
    <mergeCell ref="C16:D16"/>
    <mergeCell ref="C17:D17"/>
    <mergeCell ref="C20:D20"/>
    <mergeCell ref="C18:D18"/>
    <mergeCell ref="C19:D19"/>
    <mergeCell ref="C21:D21"/>
    <mergeCell ref="C22:D22"/>
    <mergeCell ref="C23:D23"/>
    <mergeCell ref="C36:D36"/>
    <mergeCell ref="C37:D37"/>
    <mergeCell ref="C52:D52"/>
    <mergeCell ref="C53:D53"/>
    <mergeCell ref="C54:D54"/>
    <mergeCell ref="C55:D55"/>
    <mergeCell ref="C25:D25"/>
    <mergeCell ref="AC70:AD70"/>
    <mergeCell ref="AE70:AF70"/>
    <mergeCell ref="AA68:AB68"/>
    <mergeCell ref="Y68:Z68"/>
    <mergeCell ref="AE69:AF69"/>
    <mergeCell ref="AC69:AD69"/>
    <mergeCell ref="AA69:AB69"/>
    <mergeCell ref="U69:V69"/>
    <mergeCell ref="Q69:R69"/>
    <mergeCell ref="S69:T69"/>
    <mergeCell ref="U68:V68"/>
    <mergeCell ref="AE68:AF68"/>
    <mergeCell ref="AC68:AD68"/>
    <mergeCell ref="W68:X68"/>
    <mergeCell ref="Y69:Z69"/>
    <mergeCell ref="Q68:R68"/>
    <mergeCell ref="S68:T68"/>
    <mergeCell ref="K73:L73"/>
    <mergeCell ref="K72:L72"/>
    <mergeCell ref="I72:J72"/>
    <mergeCell ref="K71:L71"/>
    <mergeCell ref="I71:J71"/>
    <mergeCell ref="O73:P73"/>
    <mergeCell ref="S72:T72"/>
    <mergeCell ref="B78:D78"/>
    <mergeCell ref="B75:D75"/>
    <mergeCell ref="D72:D73"/>
    <mergeCell ref="M72:N72"/>
    <mergeCell ref="M73:N73"/>
    <mergeCell ref="I73:J73"/>
    <mergeCell ref="O72:P72"/>
    <mergeCell ref="AE71:AF71"/>
    <mergeCell ref="AE73:AF73"/>
    <mergeCell ref="Q73:R73"/>
    <mergeCell ref="Y73:Z73"/>
    <mergeCell ref="AA73:AB73"/>
    <mergeCell ref="O71:P71"/>
    <mergeCell ref="Q71:R71"/>
    <mergeCell ref="AE72:AF72"/>
    <mergeCell ref="Q72:R72"/>
    <mergeCell ref="W71:X71"/>
    <mergeCell ref="S73:T73"/>
    <mergeCell ref="Y71:Z71"/>
    <mergeCell ref="U71:V71"/>
    <mergeCell ref="W73:X73"/>
    <mergeCell ref="W72:X72"/>
    <mergeCell ref="U72:V72"/>
    <mergeCell ref="Y72:Z72"/>
    <mergeCell ref="U73:V73"/>
    <mergeCell ref="AC73:AD73"/>
    <mergeCell ref="AC71:AD71"/>
    <mergeCell ref="AC72:AD72"/>
    <mergeCell ref="AA72:AB72"/>
    <mergeCell ref="K69:L69"/>
    <mergeCell ref="M69:N69"/>
    <mergeCell ref="O69:P69"/>
    <mergeCell ref="W69:X69"/>
    <mergeCell ref="M71:N71"/>
    <mergeCell ref="AA71:AB71"/>
    <mergeCell ref="S71:T71"/>
    <mergeCell ref="O70:P70"/>
    <mergeCell ref="K68:L68"/>
    <mergeCell ref="K70:L70"/>
    <mergeCell ref="AA70:AB70"/>
    <mergeCell ref="M70:N70"/>
    <mergeCell ref="Y70:Z70"/>
    <mergeCell ref="W70:X70"/>
    <mergeCell ref="U70:V70"/>
    <mergeCell ref="Q70:R70"/>
    <mergeCell ref="S70:T70"/>
    <mergeCell ref="M68:N68"/>
    <mergeCell ref="I69:J69"/>
    <mergeCell ref="I70:J70"/>
    <mergeCell ref="I68:J68"/>
    <mergeCell ref="C31:D31"/>
    <mergeCell ref="C32:D32"/>
    <mergeCell ref="C30:D30"/>
    <mergeCell ref="C33:D33"/>
    <mergeCell ref="C50:D50"/>
    <mergeCell ref="C51:D51"/>
    <mergeCell ref="D70:D71"/>
    <mergeCell ref="C62:D62"/>
    <mergeCell ref="C63:D63"/>
    <mergeCell ref="C64:D64"/>
    <mergeCell ref="C56:D56"/>
    <mergeCell ref="C57:D57"/>
    <mergeCell ref="C58:D58"/>
    <mergeCell ref="C59:D59"/>
    <mergeCell ref="C60:D60"/>
    <mergeCell ref="C61:D61"/>
  </mergeCells>
  <phoneticPr fontId="38" type="noConversion"/>
  <conditionalFormatting sqref="F1:F2">
    <cfRule type="expression" dxfId="69" priority="439" stopIfTrue="1">
      <formula>IF(OR(ACOMPANHAMENTO="BM",F$12&gt;CÁLCULO.NúmeroDeFrentes),TRUE,PLE.ValorDoEvento=0)</formula>
    </cfRule>
    <cfRule type="cellIs" dxfId="68" priority="440" stopIfTrue="1" operator="equal">
      <formula>$J$9</formula>
    </cfRule>
  </conditionalFormatting>
  <conditionalFormatting sqref="I70:AF70">
    <cfRule type="expression" dxfId="67" priority="441" stopIfTrue="1">
      <formula>I69=$J$9</formula>
    </cfRule>
  </conditionalFormatting>
  <conditionalFormatting sqref="I71:AF71">
    <cfRule type="expression" dxfId="66" priority="442" stopIfTrue="1">
      <formula>I69=$J$9</formula>
    </cfRule>
  </conditionalFormatting>
  <conditionalFormatting sqref="I72:AF72">
    <cfRule type="expression" dxfId="65" priority="443" stopIfTrue="1">
      <formula>I69=$J$9</formula>
    </cfRule>
  </conditionalFormatting>
  <conditionalFormatting sqref="I73:AF73">
    <cfRule type="expression" dxfId="64" priority="444" stopIfTrue="1">
      <formula>I69=$J$9</formula>
    </cfRule>
  </conditionalFormatting>
  <conditionalFormatting sqref="I69:J69">
    <cfRule type="cellIs" dxfId="63" priority="438" stopIfTrue="1" operator="notEqual">
      <formula>1</formula>
    </cfRule>
  </conditionalFormatting>
  <conditionalFormatting sqref="H1:AF1">
    <cfRule type="expression" dxfId="62" priority="456" stopIfTrue="1">
      <formula>IF(OR(ACOMPANHAMENTO="BM",TIPOORCAMENTO="Proposto",H$12&gt;CÁLCULO.NúmeroDeFrentes),TRUE,PLE.ValorDoEvento=0)</formula>
    </cfRule>
    <cfRule type="cellIs" dxfId="61" priority="457" stopIfTrue="1" operator="equal">
      <formula>$J$9</formula>
    </cfRule>
  </conditionalFormatting>
  <conditionalFormatting sqref="AE6:AE7">
    <cfRule type="expression" dxfId="60" priority="445" stopIfTrue="1">
      <formula>TIPOORCAMENTO&lt;&gt;"Licitado"</formula>
    </cfRule>
  </conditionalFormatting>
  <conditionalFormatting sqref="N9:T9">
    <cfRule type="expression" dxfId="59" priority="446" stopIfTrue="1">
      <formula>COLUMN(N9)&gt;COLUMN($AF$12)</formula>
    </cfRule>
    <cfRule type="expression" dxfId="58" priority="447" stopIfTrue="1">
      <formula>$N$9="DIGITE A DATA DA MEDIÇÃO"</formula>
    </cfRule>
  </conditionalFormatting>
  <conditionalFormatting sqref="I9:M9 U9:AF9">
    <cfRule type="expression" dxfId="57" priority="448" stopIfTrue="1">
      <formula>COLUMN(I9)&gt;COLUMN($AF$12)</formula>
    </cfRule>
  </conditionalFormatting>
  <conditionalFormatting sqref="F16:F24">
    <cfRule type="expression" dxfId="56" priority="21" stopIfTrue="1">
      <formula>IF(OR(ACOMPANHAMENTO="BM",F$12&gt;CÁLCULO.NúmeroDeFrentes),TRUE,PLE.ValorDoEvento=0)</formula>
    </cfRule>
    <cfRule type="cellIs" dxfId="55" priority="22" stopIfTrue="1" operator="equal">
      <formula>$J$9</formula>
    </cfRule>
  </conditionalFormatting>
  <conditionalFormatting sqref="H16:AF24">
    <cfRule type="expression" dxfId="54" priority="23" stopIfTrue="1">
      <formula>IF(OR(ACOMPANHAMENTO="BM",TIPOORCAMENTO="Proposto",H$12&gt;CÁLCULO.NúmeroDeFrentes),TRUE,PLE.ValorDoEvento=0)</formula>
    </cfRule>
    <cfRule type="cellIs" dxfId="53" priority="24" stopIfTrue="1" operator="equal">
      <formula>$J$9</formula>
    </cfRule>
  </conditionalFormatting>
  <conditionalFormatting sqref="F25:F33">
    <cfRule type="expression" dxfId="52" priority="17" stopIfTrue="1">
      <formula>IF(OR(ACOMPANHAMENTO="BM",F$12&gt;CÁLCULO.NúmeroDeFrentes),TRUE,PLE.ValorDoEvento=0)</formula>
    </cfRule>
    <cfRule type="cellIs" dxfId="51" priority="18" stopIfTrue="1" operator="equal">
      <formula>$J$9</formula>
    </cfRule>
  </conditionalFormatting>
  <conditionalFormatting sqref="H25:AF33">
    <cfRule type="expression" dxfId="50" priority="19" stopIfTrue="1">
      <formula>IF(OR(ACOMPANHAMENTO="BM",TIPOORCAMENTO="Proposto",H$12&gt;CÁLCULO.NúmeroDeFrentes),TRUE,PLE.ValorDoEvento=0)</formula>
    </cfRule>
    <cfRule type="cellIs" dxfId="49" priority="20" stopIfTrue="1" operator="equal">
      <formula>$J$9</formula>
    </cfRule>
  </conditionalFormatting>
  <conditionalFormatting sqref="F34:F42">
    <cfRule type="expression" dxfId="48" priority="13" stopIfTrue="1">
      <formula>IF(OR(ACOMPANHAMENTO="BM",F$12&gt;CÁLCULO.NúmeroDeFrentes),TRUE,PLE.ValorDoEvento=0)</formula>
    </cfRule>
    <cfRule type="cellIs" dxfId="47" priority="14" stopIfTrue="1" operator="equal">
      <formula>$J$9</formula>
    </cfRule>
  </conditionalFormatting>
  <conditionalFormatting sqref="H34:AF42">
    <cfRule type="expression" dxfId="46" priority="15" stopIfTrue="1">
      <formula>IF(OR(ACOMPANHAMENTO="BM",TIPOORCAMENTO="Proposto",H$12&gt;CÁLCULO.NúmeroDeFrentes),TRUE,PLE.ValorDoEvento=0)</formula>
    </cfRule>
    <cfRule type="cellIs" dxfId="45" priority="16" stopIfTrue="1" operator="equal">
      <formula>$J$9</formula>
    </cfRule>
  </conditionalFormatting>
  <conditionalFormatting sqref="F43:F51">
    <cfRule type="expression" dxfId="44" priority="9" stopIfTrue="1">
      <formula>IF(OR(ACOMPANHAMENTO="BM",F$12&gt;CÁLCULO.NúmeroDeFrentes),TRUE,PLE.ValorDoEvento=0)</formula>
    </cfRule>
    <cfRule type="cellIs" dxfId="43" priority="10" stopIfTrue="1" operator="equal">
      <formula>$J$9</formula>
    </cfRule>
  </conditionalFormatting>
  <conditionalFormatting sqref="H43:AF51">
    <cfRule type="expression" dxfId="42" priority="11" stopIfTrue="1">
      <formula>IF(OR(ACOMPANHAMENTO="BM",TIPOORCAMENTO="Proposto",H$12&gt;CÁLCULO.NúmeroDeFrentes),TRUE,PLE.ValorDoEvento=0)</formula>
    </cfRule>
    <cfRule type="cellIs" dxfId="41" priority="12" stopIfTrue="1" operator="equal">
      <formula>$J$9</formula>
    </cfRule>
  </conditionalFormatting>
  <conditionalFormatting sqref="F52:F60">
    <cfRule type="expression" dxfId="40" priority="5" stopIfTrue="1">
      <formula>IF(OR(ACOMPANHAMENTO="BM",F$12&gt;CÁLCULO.NúmeroDeFrentes),TRUE,PLE.ValorDoEvento=0)</formula>
    </cfRule>
    <cfRule type="cellIs" dxfId="39" priority="6" stopIfTrue="1" operator="equal">
      <formula>$J$9</formula>
    </cfRule>
  </conditionalFormatting>
  <conditionalFormatting sqref="H52:AF60">
    <cfRule type="expression" dxfId="38" priority="7" stopIfTrue="1">
      <formula>IF(OR(ACOMPANHAMENTO="BM",TIPOORCAMENTO="Proposto",H$12&gt;CÁLCULO.NúmeroDeFrentes),TRUE,PLE.ValorDoEvento=0)</formula>
    </cfRule>
    <cfRule type="cellIs" dxfId="37" priority="8" stopIfTrue="1" operator="equal">
      <formula>$J$9</formula>
    </cfRule>
  </conditionalFormatting>
  <conditionalFormatting sqref="F61:F64">
    <cfRule type="expression" dxfId="36" priority="1" stopIfTrue="1">
      <formula>IF(OR(ACOMPANHAMENTO="BM",F$12&gt;CÁLCULO.NúmeroDeFrentes),TRUE,PLE.ValorDoEvento=0)</formula>
    </cfRule>
    <cfRule type="cellIs" dxfId="35" priority="2" stopIfTrue="1" operator="equal">
      <formula>$J$9</formula>
    </cfRule>
  </conditionalFormatting>
  <conditionalFormatting sqref="H61:AF64">
    <cfRule type="expression" dxfId="34" priority="3" stopIfTrue="1">
      <formula>IF(OR(ACOMPANHAMENTO="BM",TIPOORCAMENTO="Proposto",H$12&gt;CÁLCULO.NúmeroDeFrentes),TRUE,PLE.ValorDoEvento=0)</formula>
    </cfRule>
    <cfRule type="cellIs" dxfId="33" priority="4" stopIfTrue="1" operator="equal">
      <formula>$J$9</formula>
    </cfRule>
  </conditionalFormatting>
  <dataValidations count="3">
    <dataValidation type="whole" operator="greaterThan" allowBlank="1" showErrorMessage="1" sqref="F1:F4 I3:AC4 J9:K9 F16:F64" xr:uid="{00000000-0002-0000-0900-000000000000}">
      <formula1>0</formula1>
      <formula2>0</formula2>
    </dataValidation>
    <dataValidation allowBlank="1" showInputMessage="1" showErrorMessage="1" prompt="Digite a data de medição abaixo dos eventos." sqref="N9:T9" xr:uid="{00000000-0002-0000-0900-000001000000}">
      <formula1>0</formula1>
      <formula2>0</formula2>
    </dataValidation>
    <dataValidation type="whole" operator="equal" allowBlank="1" showErrorMessage="1" errorTitle="Errp de entrada" error="Preencha somente com o número da medição atual." sqref="H1:AF1 H16:AF64" xr:uid="{00000000-0002-0000-0900-000002000000}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&amp;LPMv3.0.6&amp;R&amp;P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7620</xdr:rowOff>
                  </from>
                  <to>
                    <xdr:col>11</xdr:col>
                    <xdr:colOff>213360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7" filterMode="1">
    <pageSetUpPr fitToPage="1"/>
  </sheetPr>
  <dimension ref="A1:AE37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/>
    </sheetView>
  </sheetViews>
  <sheetFormatPr defaultRowHeight="13.2" x14ac:dyDescent="0.25"/>
  <cols>
    <col min="1" max="1" width="15.88671875" hidden="1" customWidth="1"/>
    <col min="2" max="2" width="10.44140625" hidden="1" customWidth="1"/>
    <col min="3" max="3" width="3.6640625" customWidth="1"/>
    <col min="4" max="4" width="6.6640625" customWidth="1"/>
    <col min="5" max="5" width="18.6640625" customWidth="1"/>
    <col min="6" max="6" width="28.6640625" customWidth="1"/>
    <col min="7" max="7" width="35.6640625" customWidth="1"/>
    <col min="8" max="8" width="15.6640625" customWidth="1"/>
    <col min="9" max="9" width="12.6640625" customWidth="1"/>
    <col min="10" max="10" width="7.6640625" customWidth="1"/>
    <col min="11" max="15" width="16.6640625" customWidth="1"/>
    <col min="16" max="17" width="5.6640625" customWidth="1"/>
    <col min="18" max="18" width="35.6640625" customWidth="1"/>
    <col min="19" max="19" width="1.6640625" customWidth="1"/>
    <col min="20" max="21" width="16.6640625" customWidth="1"/>
    <col min="22" max="22" width="13.6640625" customWidth="1"/>
    <col min="23" max="24" width="16.6640625" customWidth="1"/>
    <col min="25" max="25" width="1.6640625" customWidth="1"/>
    <col min="26" max="28" width="9.109375" hidden="1" customWidth="1"/>
    <col min="29" max="29" width="3.6640625" hidden="1" customWidth="1"/>
    <col min="30" max="30" width="13.44140625" hidden="1" customWidth="1"/>
    <col min="31" max="31" width="9.109375" hidden="1" customWidth="1"/>
  </cols>
  <sheetData>
    <row r="1" spans="1:31" ht="30" customHeight="1" x14ac:dyDescent="0.25">
      <c r="F1" s="312" t="s">
        <v>303</v>
      </c>
      <c r="I1" s="8"/>
      <c r="J1" s="8"/>
    </row>
    <row r="2" spans="1:31" x14ac:dyDescent="0.25">
      <c r="Z2" t="s">
        <v>304</v>
      </c>
      <c r="AA2" s="89" t="s">
        <v>305</v>
      </c>
      <c r="AB2" s="77"/>
    </row>
    <row r="3" spans="1:31" x14ac:dyDescent="0.25">
      <c r="D3" s="601" t="s">
        <v>146</v>
      </c>
      <c r="E3" s="601"/>
      <c r="F3" s="88" t="s">
        <v>442</v>
      </c>
      <c r="G3" s="601" t="s">
        <v>147</v>
      </c>
      <c r="H3" s="601"/>
      <c r="I3" s="601"/>
      <c r="J3" s="674" t="s">
        <v>306</v>
      </c>
      <c r="K3" s="674"/>
      <c r="L3" s="674"/>
      <c r="M3" s="675" t="s">
        <v>307</v>
      </c>
      <c r="N3" s="675"/>
      <c r="O3" s="675"/>
      <c r="Z3" s="103">
        <f ca="1">MAX(Z7:AB7)</f>
        <v>4.4244026891189572E-3</v>
      </c>
      <c r="AA3" s="313">
        <f ca="1">IF(OR($O$24=ORÇAMENTO.SumINVMANUAL+QCI.SumINVMANUAL,$O$24=0),0,MIN(MAX(0,($Z$3*$O$24-ORÇAMENTO.SumCPMANUAL-QCI.SumCPMANUAL)/($O$24-ORÇAMENTO.SumINVMANUAL-QCI.SumINVMANUAL)),1))</f>
        <v>4.4244026891189572E-3</v>
      </c>
      <c r="AB3" s="93"/>
    </row>
    <row r="4" spans="1:31" x14ac:dyDescent="0.25">
      <c r="D4" s="604">
        <f>Import.CR</f>
        <v>0</v>
      </c>
      <c r="E4" s="604"/>
      <c r="F4" s="56">
        <f>Import.TransfereGOV</f>
        <v>0</v>
      </c>
      <c r="G4" s="604" t="str">
        <f>Import.Proponente</f>
        <v>PREFEITURA MUNICIPAL DE BOM JARDIM DE MINAS</v>
      </c>
      <c r="H4" s="604"/>
      <c r="I4" s="604"/>
      <c r="J4" s="676" t="str">
        <f>Import.Município</f>
        <v>BOM JARDIM DE MINAS - MG</v>
      </c>
      <c r="K4" s="676"/>
      <c r="L4" s="676"/>
      <c r="M4" s="675"/>
      <c r="N4" s="675"/>
      <c r="O4" s="675"/>
      <c r="R4" s="130"/>
      <c r="Z4" s="93"/>
      <c r="AA4" s="93"/>
      <c r="AB4" s="93"/>
    </row>
    <row r="5" spans="1:31" ht="5.0999999999999996" customHeight="1" x14ac:dyDescent="0.25">
      <c r="M5" s="305"/>
      <c r="O5" s="4"/>
    </row>
    <row r="6" spans="1:31" x14ac:dyDescent="0.25">
      <c r="D6" s="601" t="s">
        <v>202</v>
      </c>
      <c r="E6" s="601"/>
      <c r="F6" s="601"/>
      <c r="G6" s="601"/>
      <c r="H6" s="601"/>
      <c r="I6" s="601"/>
      <c r="J6" s="601"/>
      <c r="K6" s="601"/>
      <c r="L6" s="314" t="s">
        <v>210</v>
      </c>
      <c r="M6" s="88" t="str">
        <f>IF(import.recurso="FGTS","FINANCIAMENTO","REPASSE")</f>
        <v>REPASSE</v>
      </c>
      <c r="N6" s="88" t="s">
        <v>308</v>
      </c>
      <c r="O6" s="88" t="s">
        <v>309</v>
      </c>
      <c r="Z6" t="s">
        <v>310</v>
      </c>
      <c r="AA6" t="s">
        <v>311</v>
      </c>
      <c r="AB6" t="s">
        <v>312</v>
      </c>
    </row>
    <row r="7" spans="1:31" ht="12.75" customHeight="1" x14ac:dyDescent="0.25">
      <c r="C7" s="594" t="s">
        <v>209</v>
      </c>
      <c r="D7" s="604" t="str">
        <f>Import.Apelido</f>
        <v>REFORMA - COLÉGIO TABOÃO</v>
      </c>
      <c r="E7" s="604"/>
      <c r="F7" s="604"/>
      <c r="G7" s="604"/>
      <c r="H7" s="604"/>
      <c r="I7" s="604"/>
      <c r="J7" s="604"/>
      <c r="K7" s="604"/>
      <c r="L7" s="315" t="str">
        <f>import.recurso</f>
        <v>OGU</v>
      </c>
      <c r="M7" s="316">
        <f>Import.Repasse</f>
        <v>99449.49</v>
      </c>
      <c r="N7" s="316">
        <f>Import.Contrapartida</f>
        <v>0</v>
      </c>
      <c r="O7" s="316">
        <f>M7+N7</f>
        <v>99449.49</v>
      </c>
      <c r="Z7" s="103">
        <f>ROUND(Import.CPMinPerc,4)</f>
        <v>0</v>
      </c>
      <c r="AA7" s="103">
        <f ca="1">IF($O$24=0,0,Import.CPMinAbsoluta/$O$24)</f>
        <v>0</v>
      </c>
      <c r="AB7" s="103">
        <f ca="1">IF($O$24=0,0,($O$24-$AB$24-Import.Repasse)/($O$24))</f>
        <v>4.4244026891189572E-3</v>
      </c>
    </row>
    <row r="8" spans="1:31" x14ac:dyDescent="0.25">
      <c r="C8" s="594"/>
      <c r="D8" s="93"/>
      <c r="E8" s="93"/>
      <c r="F8" s="317"/>
      <c r="G8" s="93"/>
      <c r="H8" s="93"/>
      <c r="I8" s="93"/>
      <c r="J8" s="93"/>
      <c r="K8" s="93"/>
      <c r="L8" s="93"/>
      <c r="M8" s="93"/>
      <c r="N8" s="93"/>
      <c r="O8" s="93"/>
    </row>
    <row r="9" spans="1:31" ht="12.75" customHeight="1" x14ac:dyDescent="0.25">
      <c r="C9" s="594"/>
      <c r="G9" s="672" t="str">
        <f ca="1">CHOOSE(1+LOG(1+2*(AND($O$24&gt;0,$M$25&gt;Import.CPMaxPerc,Import.CPMaxPerc&gt;0))+4*(OR(AND($O$24&gt;0,$M$25&lt;QCI!$Z$7),$M$24&lt;ROUND(Import.CPMinAbsoluta,2)))+8*(OR($L$10&lt;0,$M$10&lt;0))+16*(COUNTIF($L$13:$L$24,"&lt;0")&gt;0)+32*(OFFSET($A$24,-1,0)&lt;OFFSET(ORÇAMENTO!$E$32,-1,0)),2),"","ERRO: CONTRAPARTIDA MAIOR QUE A MÁXIMA","ERRO: CONTRAPARTIDA MENOR QUE A MÍNIMA","ERRO: SALDO NEGATIVO","ERRO: VALORES DE REPASSE NEGATIVOS","ERRO: NÚMERO DE LINHAS DO QCI INSUFICIENTE. CLIQUE NO BOTÃO ADICIONAR LINHAS")</f>
        <v>ERRO: SALDO NEGATIVO</v>
      </c>
      <c r="H9" s="672"/>
      <c r="I9" s="672"/>
      <c r="J9" s="672"/>
      <c r="K9" s="673" t="s">
        <v>313</v>
      </c>
      <c r="L9" s="318" t="str">
        <f>$L$13</f>
        <v>Repasse (R$)</v>
      </c>
      <c r="M9" s="318" t="s">
        <v>238</v>
      </c>
      <c r="AD9" s="670"/>
      <c r="AE9" s="670"/>
    </row>
    <row r="10" spans="1:31" ht="12.75" customHeight="1" x14ac:dyDescent="0.25">
      <c r="A10" s="669" t="s">
        <v>314</v>
      </c>
      <c r="C10" s="594"/>
      <c r="G10" s="672"/>
      <c r="H10" s="672"/>
      <c r="I10" s="672"/>
      <c r="J10" s="672"/>
      <c r="K10" s="673"/>
      <c r="L10" s="319">
        <f ca="1">Import.Repasse-L24</f>
        <v>0</v>
      </c>
      <c r="M10" s="320">
        <f ca="1">Import.Contrapartida-M24</f>
        <v>-441.96</v>
      </c>
      <c r="Z10" s="614" t="s">
        <v>216</v>
      </c>
      <c r="AA10" s="614"/>
      <c r="AB10" s="614"/>
      <c r="AD10" s="670" t="s">
        <v>315</v>
      </c>
      <c r="AE10" s="670"/>
    </row>
    <row r="11" spans="1:31" ht="20.100000000000001" customHeight="1" x14ac:dyDescent="0.25">
      <c r="A11" s="669"/>
      <c r="C11" s="594"/>
      <c r="Z11" s="111" t="s">
        <v>316</v>
      </c>
      <c r="AA11" s="111" t="s">
        <v>238</v>
      </c>
      <c r="AB11" s="112" t="s">
        <v>239</v>
      </c>
    </row>
    <row r="12" spans="1:31" hidden="1" x14ac:dyDescent="0.25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IF(NOT(ISBLANK(QCI.DescManual)),IF(QCI.Divisao="Calculado","Manual","SemiAuto"),IF(ISERROR(MATCH($A12,ORÇAMENTO!$E$15:$E$32,0)),"Branco","Automático"))</f>
        <v>Branco</v>
      </c>
      <c r="C12" t="str">
        <f ca="1">IF(O12&gt;0,"F","")</f>
        <v/>
      </c>
      <c r="D12" s="321">
        <f>ROW()-ROW($D$13)</f>
        <v>-1</v>
      </c>
      <c r="E12" s="119"/>
      <c r="F12" s="119"/>
      <c r="G12" s="171" t="str">
        <f ca="1">IF(OR($B12="Manual",$B12="SemiAuto"),QCI.DescManual,IF($B12="Automático",INDEX(ORÇAMENTO!$R$15:$R$32,MATCH($A12,ORÇAMENTO!$E$15:$E$32,0)),""))</f>
        <v/>
      </c>
      <c r="H12" s="119"/>
      <c r="I12" s="556"/>
      <c r="J12" s="322" t="str">
        <f ca="1">IF(AND(ISBLANK(E12),ISBLANK(F12)),"",VLOOKUP($F12,OFFSET(DADOS!$A$2,1,MATCH(QCI!$E12,DADOS!$2:$2,0)-1,100,50),2,FALSE))</f>
        <v/>
      </c>
      <c r="K12" s="555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IF($B12="Branco",0,IF(OR($B12="Manual",$B12="SemiAuto"),QCI.InvManual,INDEX(ORÇAMENTO!X$15:X$32,MATCH($A12,ORÇAMENTO!$E$15:$E$32,0))))</f>
        <v>0</v>
      </c>
      <c r="P12" s="531"/>
      <c r="R12" s="557"/>
      <c r="T12" s="558"/>
      <c r="U12" s="328"/>
      <c r="V12" s="559" t="s">
        <v>317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IF($B12="Branco",0,IF($B12="Manual",QCI.CPManual,IF($B12="SemiAuto",ROUND(QCI!$AA$3*QCI.InvManual,2),INDEX(ORÇAMENTO!$AA$15:$AA$32,MATCH($A12,ORÇAMENTO!$E$15:$E$32,0)))))</f>
        <v>0</v>
      </c>
      <c r="AB12">
        <f ca="1">IF($B12="Branco",0,IF($B12="Manual",QCI.OutrosManual,IF($B12="SemiAuto",0,INDEX(ORÇAMENTO!$AB$15:$AB$32,MATCH($A12,ORÇAMENTO!$E$15:$E$32,0)))))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IF(AND($AD12,$O12&gt;0,COUNTIF(OFFSET($AD12,1,0):$AD$24,TRUE)=0),CHOOSE(1+LOG(1+2*(QCI!$Z$3=QCI!$Z$7)+4*(QCI!$Z$3=QCI!$AA$7)+8*(QCI!$Z$3=QCI!$AB$7),2),0,$AA$24-ROUND(Import.CPMinPerc*$O$24,2),$AA$24-Import.CPMinAbsoluta,Import.Repasse-$Z$24),0)</f>
        <v>0</v>
      </c>
    </row>
    <row r="13" spans="1:31" ht="25.5" customHeight="1" x14ac:dyDescent="0.25">
      <c r="A13" s="86">
        <v>0</v>
      </c>
      <c r="B13" s="332" t="s">
        <v>318</v>
      </c>
      <c r="C13" s="107" t="s">
        <v>217</v>
      </c>
      <c r="D13" s="108" t="s">
        <v>195</v>
      </c>
      <c r="E13" s="108" t="s">
        <v>319</v>
      </c>
      <c r="F13" s="108" t="s">
        <v>320</v>
      </c>
      <c r="G13" s="108" t="s">
        <v>321</v>
      </c>
      <c r="H13" s="108" t="s">
        <v>161</v>
      </c>
      <c r="I13" s="108" t="s">
        <v>203</v>
      </c>
      <c r="J13" s="108" t="s">
        <v>322</v>
      </c>
      <c r="K13" s="108" t="s">
        <v>323</v>
      </c>
      <c r="L13" s="333" t="str">
        <f>IF(import.recurso="FGTS","Financiamento (R$)","Repasse (R$)")</f>
        <v>Repasse (R$)</v>
      </c>
      <c r="M13" s="334" t="s">
        <v>324</v>
      </c>
      <c r="N13" s="335" t="s">
        <v>239</v>
      </c>
      <c r="O13" s="108" t="s">
        <v>325</v>
      </c>
      <c r="R13" s="336" t="s">
        <v>321</v>
      </c>
      <c r="T13" s="336" t="s">
        <v>323</v>
      </c>
      <c r="U13" s="167" t="s">
        <v>325</v>
      </c>
      <c r="V13" s="337" t="s">
        <v>326</v>
      </c>
      <c r="W13" s="166" t="s">
        <v>324</v>
      </c>
      <c r="X13" s="168" t="s">
        <v>239</v>
      </c>
    </row>
    <row r="14" spans="1:31" x14ac:dyDescent="0.25">
      <c r="A14">
        <f t="shared" ref="A14:A23" ca="1" si="0">IF(NOT(ISBLANK(QCI.DescManual)),OFFSET(A14,-1,0),D14)</f>
        <v>1</v>
      </c>
      <c r="B14" t="str">
        <f ca="1">IF(NOT(ISBLANK(QCI.DescManual)),IF(QCI.Divisao="Calculado","Manual","SemiAuto"),IF(ISERROR(MATCH($A14,ORÇAMENTO!$E$15:$E$32,0)),"Branco","Automático"))</f>
        <v>Automático</v>
      </c>
      <c r="C14" t="str">
        <f t="shared" ref="C14:C22" ca="1" si="1">IF(O14&gt;0,"F","")</f>
        <v>F</v>
      </c>
      <c r="D14" s="321">
        <f t="shared" ref="D14:D22" si="2">ROW()-ROW($D$13)</f>
        <v>1</v>
      </c>
      <c r="E14" s="119"/>
      <c r="F14" s="119"/>
      <c r="G14" s="171" t="str">
        <f ca="1">IF(OR($B14="Manual",$B14="SemiAuto"),QCI.DescManual,IF($B14="Automático",INDEX(ORÇAMENTO!$R$15:$R$32,MATCH($A14,ORÇAMENTO!$E$15:$E$32,0)),""))</f>
        <v>REFORMA - COLÉGIO TABOÃO</v>
      </c>
      <c r="H14" s="119"/>
      <c r="I14" s="556"/>
      <c r="J14" s="322" t="str">
        <f ca="1">IF(AND(ISBLANK(E14),ISBLANK(F14)),"",VLOOKUP($F14,OFFSET(DADOS!$A$2,1,MATCH(QCI!$E14,DADOS!$2:$2,0)-1,100,50),2,FALSE))</f>
        <v/>
      </c>
      <c r="K14" s="555" t="str">
        <f ca="1">IF(OR($B14="Manual",$B14="SemiAuto"),QCI.LoteManual,IF($B14="Automático",IF(TIPOORCAMENTO="Licitado",Import.CTEF,"LOTE 1"),""))</f>
        <v>LOTE 1</v>
      </c>
      <c r="L14" s="323">
        <f t="shared" ref="L14:L22" ca="1" si="3">ROUND($O14,2)-ROUND($M14,2)-ROUND($N14,2)</f>
        <v>99449.489999999991</v>
      </c>
      <c r="M14" s="324">
        <f t="shared" ref="M14:M22" ca="1" si="4">ROUND($AA14,2)-ROUND($AE14,2)</f>
        <v>441.96</v>
      </c>
      <c r="N14" s="325">
        <f t="shared" ref="N14:N22" ca="1" si="5">ROUND($AB14,2)</f>
        <v>0</v>
      </c>
      <c r="O14" s="326">
        <f ca="1">IF($B14="Branco",0,IF(OR($B14="Manual",$B14="SemiAuto"),QCI.InvManual,INDEX(ORÇAMENTO!X$15:X$32,MATCH($A14,ORÇAMENTO!$E$15:$E$32,0))))</f>
        <v>99891.45</v>
      </c>
      <c r="P14" s="531"/>
      <c r="R14" s="557"/>
      <c r="T14" s="558"/>
      <c r="U14" s="328"/>
      <c r="V14" s="559" t="s">
        <v>317</v>
      </c>
      <c r="W14" s="329">
        <f t="shared" ref="W14:W22" ca="1" si="6">$O14</f>
        <v>99891.45</v>
      </c>
      <c r="X14" s="330">
        <v>0</v>
      </c>
      <c r="Z14">
        <f t="shared" ref="Z14:Z22" ca="1" si="7">$O14-$AA14-$AB14</f>
        <v>99449.49</v>
      </c>
      <c r="AA14">
        <f ca="1">IF($B14="Branco",0,IF($B14="Manual",QCI.CPManual,IF($B14="SemiAuto",ROUND(QCI!$AA$3*QCI.InvManual,2),INDEX(ORÇAMENTO!$AA$15:$AA$32,MATCH($A14,ORÇAMENTO!$E$15:$E$32,0)))))</f>
        <v>441.95999999999191</v>
      </c>
      <c r="AB14">
        <f ca="1">IF($B14="Branco",0,IF($B14="Manual",QCI.OutrosManual,IF($B14="SemiAuto",0,INDEX(ORÇAMENTO!$AB$15:$AB$32,MATCH($A14,ORÇAMENTO!$E$15:$E$32,0)))))</f>
        <v>0</v>
      </c>
      <c r="AD14" s="331" t="b">
        <f ca="1">AND($AA$3&gt;0,$AA$3&lt;1,$O14&gt;0,OR($B14="Automático",$B14="SemiAuto"),OR(QCI!$Z$3=QCI!$Z$7,QCI!$Z$3=QCI!$AA$7,QCI!$Z$3=QCI!$AB$7))</f>
        <v>1</v>
      </c>
      <c r="AE14" s="331">
        <f ca="1">IF(AND($AD14,$O14&gt;0,COUNTIF(OFFSET($AD14,1,0):$AD$24,TRUE)=0),CHOOSE(1+LOG(1+2*(QCI!$Z$3=QCI!$Z$7)+4*(QCI!$Z$3=QCI!$AA$7)+8*(QCI!$Z$3=QCI!$AB$7),2),0,$AA$24-ROUND(Import.CPMinPerc*$O$24,2),$AA$24-Import.CPMinAbsoluta,Import.Repasse-$Z$24),0)</f>
        <v>0</v>
      </c>
    </row>
    <row r="15" spans="1:31" hidden="1" x14ac:dyDescent="0.25">
      <c r="A15">
        <f t="shared" ca="1" si="0"/>
        <v>2</v>
      </c>
      <c r="B15" t="str">
        <f ca="1">IF(NOT(ISBLANK(QCI.DescManual)),IF(QCI.Divisao="Calculado","Manual","SemiAuto"),IF(ISERROR(MATCH($A15,ORÇAMENTO!$E$15:$E$32,0)),"Branco","Automático"))</f>
        <v>Branco</v>
      </c>
      <c r="C15" t="str">
        <f t="shared" ca="1" si="1"/>
        <v/>
      </c>
      <c r="D15" s="321">
        <f t="shared" si="2"/>
        <v>2</v>
      </c>
      <c r="E15" s="119"/>
      <c r="F15" s="119"/>
      <c r="G15" s="171" t="str">
        <f ca="1">IF(OR($B15="Manual",$B15="SemiAuto"),QCI.DescManual,IF($B15="Automático",INDEX(ORÇAMENTO!$R$15:$R$32,MATCH($A15,ORÇAMENTO!$E$15:$E$32,0)),""))</f>
        <v/>
      </c>
      <c r="H15" s="119"/>
      <c r="I15" s="556"/>
      <c r="J15" s="322" t="str">
        <f ca="1">IF(AND(ISBLANK(E15),ISBLANK(F15)),"",VLOOKUP($F15,OFFSET(DADOS!$A$2,1,MATCH(QCI!$E15,DADOS!$2:$2,0)-1,100,50),2,FALSE))</f>
        <v/>
      </c>
      <c r="K15" s="555" t="str">
        <f ca="1">IF(OR($B15="Manual",$B15="SemiAuto"),QCI.LoteManual,IF($B15="Automático",IF(TIPOORCAMENTO="Licitado",Import.CTEF,"LOTE 1"),""))</f>
        <v/>
      </c>
      <c r="L15" s="323">
        <f t="shared" ca="1" si="3"/>
        <v>0</v>
      </c>
      <c r="M15" s="324">
        <f t="shared" ca="1" si="4"/>
        <v>0</v>
      </c>
      <c r="N15" s="325">
        <f t="shared" ca="1" si="5"/>
        <v>0</v>
      </c>
      <c r="O15" s="326">
        <f ca="1">IF($B15="Branco",0,IF(OR($B15="Manual",$B15="SemiAuto"),QCI.InvManual,INDEX(ORÇAMENTO!X$15:X$32,MATCH($A15,ORÇAMENTO!$E$15:$E$32,0))))</f>
        <v>0</v>
      </c>
      <c r="P15" s="531"/>
      <c r="R15" s="557"/>
      <c r="T15" s="558"/>
      <c r="U15" s="328"/>
      <c r="V15" s="559" t="s">
        <v>317</v>
      </c>
      <c r="W15" s="329">
        <f t="shared" ca="1" si="6"/>
        <v>0</v>
      </c>
      <c r="X15" s="330">
        <v>0</v>
      </c>
      <c r="Z15">
        <f t="shared" ca="1" si="7"/>
        <v>0</v>
      </c>
      <c r="AA15">
        <f ca="1">IF($B15="Branco",0,IF($B15="Manual",QCI.CPManual,IF($B15="SemiAuto",ROUND(QCI!$AA$3*QCI.InvManual,2),INDEX(ORÇAMENTO!$AA$15:$AA$32,MATCH($A15,ORÇAMENTO!$E$15:$E$32,0)))))</f>
        <v>0</v>
      </c>
      <c r="AB15">
        <f ca="1">IF($B15="Branco",0,IF($B15="Manual",QCI.OutrosManual,IF($B15="SemiAuto",0,INDEX(ORÇAMENTO!$AB$15:$AB$32,MATCH($A15,ORÇAMENTO!$E$15:$E$32,0)))))</f>
        <v>0</v>
      </c>
      <c r="AD15" s="331" t="b">
        <f ca="1">AND($AA$3&gt;0,$AA$3&lt;1,$O15&gt;0,OR($B15="Automático",$B15="SemiAuto"),OR(QCI!$Z$3=QCI!$Z$7,QCI!$Z$3=QCI!$AA$7,QCI!$Z$3=QCI!$AB$7))</f>
        <v>0</v>
      </c>
      <c r="AE15" s="331">
        <f ca="1">IF(AND($AD15,$O15&gt;0,COUNTIF(OFFSET($AD15,1,0):$AD$24,TRUE)=0),CHOOSE(1+LOG(1+2*(QCI!$Z$3=QCI!$Z$7)+4*(QCI!$Z$3=QCI!$AA$7)+8*(QCI!$Z$3=QCI!$AB$7),2),0,$AA$24-ROUND(Import.CPMinPerc*$O$24,2),$AA$24-Import.CPMinAbsoluta,Import.Repasse-$Z$24),0)</f>
        <v>0</v>
      </c>
    </row>
    <row r="16" spans="1:31" hidden="1" x14ac:dyDescent="0.25">
      <c r="A16">
        <f t="shared" ca="1" si="0"/>
        <v>3</v>
      </c>
      <c r="B16" t="str">
        <f ca="1">IF(NOT(ISBLANK(QCI.DescManual)),IF(QCI.Divisao="Calculado","Manual","SemiAuto"),IF(ISERROR(MATCH($A16,ORÇAMENTO!$E$15:$E$32,0)),"Branco","Automático"))</f>
        <v>Branco</v>
      </c>
      <c r="C16" t="str">
        <f t="shared" ca="1" si="1"/>
        <v/>
      </c>
      <c r="D16" s="321">
        <f t="shared" si="2"/>
        <v>3</v>
      </c>
      <c r="E16" s="119"/>
      <c r="F16" s="119"/>
      <c r="G16" s="171" t="str">
        <f ca="1">IF(OR($B16="Manual",$B16="SemiAuto"),QCI.DescManual,IF($B16="Automático",INDEX(ORÇAMENTO!$R$15:$R$32,MATCH($A16,ORÇAMENTO!$E$15:$E$32,0)),""))</f>
        <v/>
      </c>
      <c r="H16" s="119"/>
      <c r="I16" s="556"/>
      <c r="J16" s="322" t="str">
        <f ca="1">IF(AND(ISBLANK(E16),ISBLANK(F16)),"",VLOOKUP($F16,OFFSET(DADOS!$A$2,1,MATCH(QCI!$E16,DADOS!$2:$2,0)-1,100,50),2,FALSE))</f>
        <v/>
      </c>
      <c r="K16" s="555" t="str">
        <f ca="1">IF(OR($B16="Manual",$B16="SemiAuto"),QCI.LoteManual,IF($B16="Automático",IF(TIPOORCAMENTO="Licitado",Import.CTEF,"LOTE 1"),""))</f>
        <v/>
      </c>
      <c r="L16" s="323">
        <f t="shared" ca="1" si="3"/>
        <v>0</v>
      </c>
      <c r="M16" s="324">
        <f t="shared" ca="1" si="4"/>
        <v>0</v>
      </c>
      <c r="N16" s="325">
        <f t="shared" ca="1" si="5"/>
        <v>0</v>
      </c>
      <c r="O16" s="326">
        <f ca="1">IF($B16="Branco",0,IF(OR($B16="Manual",$B16="SemiAuto"),QCI.InvManual,INDEX(ORÇAMENTO!X$15:X$32,MATCH($A16,ORÇAMENTO!$E$15:$E$32,0))))</f>
        <v>0</v>
      </c>
      <c r="P16" s="531"/>
      <c r="R16" s="557"/>
      <c r="T16" s="558"/>
      <c r="U16" s="328"/>
      <c r="V16" s="559" t="s">
        <v>317</v>
      </c>
      <c r="W16" s="329">
        <f t="shared" ca="1" si="6"/>
        <v>0</v>
      </c>
      <c r="X16" s="330">
        <v>0</v>
      </c>
      <c r="Z16">
        <f t="shared" ca="1" si="7"/>
        <v>0</v>
      </c>
      <c r="AA16">
        <f ca="1">IF($B16="Branco",0,IF($B16="Manual",QCI.CPManual,IF($B16="SemiAuto",ROUND(QCI!$AA$3*QCI.InvManual,2),INDEX(ORÇAMENTO!$AA$15:$AA$32,MATCH($A16,ORÇAMENTO!$E$15:$E$32,0)))))</f>
        <v>0</v>
      </c>
      <c r="AB16">
        <f ca="1">IF($B16="Branco",0,IF($B16="Manual",QCI.OutrosManual,IF($B16="SemiAuto",0,INDEX(ORÇAMENTO!$AB$15:$AB$32,MATCH($A16,ORÇAMENTO!$E$15:$E$32,0)))))</f>
        <v>0</v>
      </c>
      <c r="AD16" s="331" t="b">
        <f ca="1">AND($AA$3&gt;0,$AA$3&lt;1,$O16&gt;0,OR($B16="Automático",$B16="SemiAuto"),OR(QCI!$Z$3=QCI!$Z$7,QCI!$Z$3=QCI!$AA$7,QCI!$Z$3=QCI!$AB$7))</f>
        <v>0</v>
      </c>
      <c r="AE16" s="331">
        <f ca="1">IF(AND($AD16,$O16&gt;0,COUNTIF(OFFSET($AD16,1,0):$AD$24,TRUE)=0),CHOOSE(1+LOG(1+2*(QCI!$Z$3=QCI!$Z$7)+4*(QCI!$Z$3=QCI!$AA$7)+8*(QCI!$Z$3=QCI!$AB$7),2),0,$AA$24-ROUND(Import.CPMinPerc*$O$24,2),$AA$24-Import.CPMinAbsoluta,Import.Repasse-$Z$24),0)</f>
        <v>0</v>
      </c>
    </row>
    <row r="17" spans="1:31" hidden="1" x14ac:dyDescent="0.25">
      <c r="A17">
        <f t="shared" ca="1" si="0"/>
        <v>4</v>
      </c>
      <c r="B17" t="str">
        <f ca="1">IF(NOT(ISBLANK(QCI.DescManual)),IF(QCI.Divisao="Calculado","Manual","SemiAuto"),IF(ISERROR(MATCH($A17,ORÇAMENTO!$E$15:$E$32,0)),"Branco","Automático"))</f>
        <v>Branco</v>
      </c>
      <c r="C17" t="str">
        <f t="shared" ca="1" si="1"/>
        <v/>
      </c>
      <c r="D17" s="321">
        <f t="shared" si="2"/>
        <v>4</v>
      </c>
      <c r="E17" s="119"/>
      <c r="F17" s="119"/>
      <c r="G17" s="171" t="str">
        <f ca="1">IF(OR($B17="Manual",$B17="SemiAuto"),QCI.DescManual,IF($B17="Automático",INDEX(ORÇAMENTO!$R$15:$R$32,MATCH($A17,ORÇAMENTO!$E$15:$E$32,0)),""))</f>
        <v/>
      </c>
      <c r="H17" s="119"/>
      <c r="I17" s="556"/>
      <c r="J17" s="322" t="str">
        <f ca="1">IF(AND(ISBLANK(E17),ISBLANK(F17)),"",VLOOKUP($F17,OFFSET(DADOS!$A$2,1,MATCH(QCI!$E17,DADOS!$2:$2,0)-1,100,50),2,FALSE))</f>
        <v/>
      </c>
      <c r="K17" s="555" t="str">
        <f ca="1">IF(OR($B17="Manual",$B17="SemiAuto"),QCI.LoteManual,IF($B17="Automático",IF(TIPOORCAMENTO="Licitado",Import.CTEF,"LOTE 1"),""))</f>
        <v/>
      </c>
      <c r="L17" s="323">
        <f t="shared" ca="1" si="3"/>
        <v>0</v>
      </c>
      <c r="M17" s="324">
        <f t="shared" ca="1" si="4"/>
        <v>0</v>
      </c>
      <c r="N17" s="325">
        <f t="shared" ca="1" si="5"/>
        <v>0</v>
      </c>
      <c r="O17" s="326">
        <f ca="1">IF($B17="Branco",0,IF(OR($B17="Manual",$B17="SemiAuto"),QCI.InvManual,INDEX(ORÇAMENTO!X$15:X$32,MATCH($A17,ORÇAMENTO!$E$15:$E$32,0))))</f>
        <v>0</v>
      </c>
      <c r="P17" s="531"/>
      <c r="R17" s="557"/>
      <c r="T17" s="558"/>
      <c r="U17" s="328"/>
      <c r="V17" s="559" t="s">
        <v>317</v>
      </c>
      <c r="W17" s="329">
        <f t="shared" ca="1" si="6"/>
        <v>0</v>
      </c>
      <c r="X17" s="330">
        <v>0</v>
      </c>
      <c r="Z17">
        <f t="shared" ca="1" si="7"/>
        <v>0</v>
      </c>
      <c r="AA17">
        <f ca="1">IF($B17="Branco",0,IF($B17="Manual",QCI.CPManual,IF($B17="SemiAuto",ROUND(QCI!$AA$3*QCI.InvManual,2),INDEX(ORÇAMENTO!$AA$15:$AA$32,MATCH($A17,ORÇAMENTO!$E$15:$E$32,0)))))</f>
        <v>0</v>
      </c>
      <c r="AB17">
        <f ca="1">IF($B17="Branco",0,IF($B17="Manual",QCI.OutrosManual,IF($B17="SemiAuto",0,INDEX(ORÇAMENTO!$AB$15:$AB$32,MATCH($A17,ORÇAMENTO!$E$15:$E$32,0)))))</f>
        <v>0</v>
      </c>
      <c r="AD17" s="331" t="b">
        <f ca="1">AND($AA$3&gt;0,$AA$3&lt;1,$O17&gt;0,OR($B17="Automático",$B17="SemiAuto"),OR(QCI!$Z$3=QCI!$Z$7,QCI!$Z$3=QCI!$AA$7,QCI!$Z$3=QCI!$AB$7))</f>
        <v>0</v>
      </c>
      <c r="AE17" s="331">
        <f ca="1">IF(AND($AD17,$O17&gt;0,COUNTIF(OFFSET($AD17,1,0):$AD$24,TRUE)=0),CHOOSE(1+LOG(1+2*(QCI!$Z$3=QCI!$Z$7)+4*(QCI!$Z$3=QCI!$AA$7)+8*(QCI!$Z$3=QCI!$AB$7),2),0,$AA$24-ROUND(Import.CPMinPerc*$O$24,2),$AA$24-Import.CPMinAbsoluta,Import.Repasse-$Z$24),0)</f>
        <v>0</v>
      </c>
    </row>
    <row r="18" spans="1:31" hidden="1" x14ac:dyDescent="0.25">
      <c r="A18">
        <f t="shared" ca="1" si="0"/>
        <v>5</v>
      </c>
      <c r="B18" t="str">
        <f ca="1">IF(NOT(ISBLANK(QCI.DescManual)),IF(QCI.Divisao="Calculado","Manual","SemiAuto"),IF(ISERROR(MATCH($A18,ORÇAMENTO!$E$15:$E$32,0)),"Branco","Automático"))</f>
        <v>Branco</v>
      </c>
      <c r="C18" t="str">
        <f t="shared" ca="1" si="1"/>
        <v/>
      </c>
      <c r="D18" s="321">
        <f t="shared" si="2"/>
        <v>5</v>
      </c>
      <c r="E18" s="119"/>
      <c r="F18" s="119"/>
      <c r="G18" s="171" t="str">
        <f ca="1">IF(OR($B18="Manual",$B18="SemiAuto"),QCI.DescManual,IF($B18="Automático",INDEX(ORÇAMENTO!$R$15:$R$32,MATCH($A18,ORÇAMENTO!$E$15:$E$32,0)),""))</f>
        <v/>
      </c>
      <c r="H18" s="119"/>
      <c r="I18" s="556"/>
      <c r="J18" s="322" t="str">
        <f ca="1">IF(AND(ISBLANK(E18),ISBLANK(F18)),"",VLOOKUP($F18,OFFSET(DADOS!$A$2,1,MATCH(QCI!$E18,DADOS!$2:$2,0)-1,100,50),2,FALSE))</f>
        <v/>
      </c>
      <c r="K18" s="555" t="str">
        <f ca="1">IF(OR($B18="Manual",$B18="SemiAuto"),QCI.LoteManual,IF($B18="Automático",IF(TIPOORCAMENTO="Licitado",Import.CTEF,"LOTE 1"),""))</f>
        <v/>
      </c>
      <c r="L18" s="323">
        <f t="shared" ca="1" si="3"/>
        <v>0</v>
      </c>
      <c r="M18" s="324">
        <f t="shared" ca="1" si="4"/>
        <v>0</v>
      </c>
      <c r="N18" s="325">
        <f t="shared" ca="1" si="5"/>
        <v>0</v>
      </c>
      <c r="O18" s="326">
        <f ca="1">IF($B18="Branco",0,IF(OR($B18="Manual",$B18="SemiAuto"),QCI.InvManual,INDEX(ORÇAMENTO!X$15:X$32,MATCH($A18,ORÇAMENTO!$E$15:$E$32,0))))</f>
        <v>0</v>
      </c>
      <c r="P18" s="531"/>
      <c r="R18" s="557"/>
      <c r="T18" s="558"/>
      <c r="U18" s="328"/>
      <c r="V18" s="559" t="s">
        <v>317</v>
      </c>
      <c r="W18" s="329">
        <f t="shared" ca="1" si="6"/>
        <v>0</v>
      </c>
      <c r="X18" s="330">
        <v>0</v>
      </c>
      <c r="Z18">
        <f t="shared" ca="1" si="7"/>
        <v>0</v>
      </c>
      <c r="AA18">
        <f ca="1">IF($B18="Branco",0,IF($B18="Manual",QCI.CPManual,IF($B18="SemiAuto",ROUND(QCI!$AA$3*QCI.InvManual,2),INDEX(ORÇAMENTO!$AA$15:$AA$32,MATCH($A18,ORÇAMENTO!$E$15:$E$32,0)))))</f>
        <v>0</v>
      </c>
      <c r="AB18">
        <f ca="1">IF($B18="Branco",0,IF($B18="Manual",QCI.OutrosManual,IF($B18="SemiAuto",0,INDEX(ORÇAMENTO!$AB$15:$AB$32,MATCH($A18,ORÇAMENTO!$E$15:$E$32,0)))))</f>
        <v>0</v>
      </c>
      <c r="AD18" s="331" t="b">
        <f ca="1">AND($AA$3&gt;0,$AA$3&lt;1,$O18&gt;0,OR($B18="Automático",$B18="SemiAuto"),OR(QCI!$Z$3=QCI!$Z$7,QCI!$Z$3=QCI!$AA$7,QCI!$Z$3=QCI!$AB$7))</f>
        <v>0</v>
      </c>
      <c r="AE18" s="331">
        <f ca="1">IF(AND($AD18,$O18&gt;0,COUNTIF(OFFSET($AD18,1,0):$AD$24,TRUE)=0),CHOOSE(1+LOG(1+2*(QCI!$Z$3=QCI!$Z$7)+4*(QCI!$Z$3=QCI!$AA$7)+8*(QCI!$Z$3=QCI!$AB$7),2),0,$AA$24-ROUND(Import.CPMinPerc*$O$24,2),$AA$24-Import.CPMinAbsoluta,Import.Repasse-$Z$24),0)</f>
        <v>0</v>
      </c>
    </row>
    <row r="19" spans="1:31" hidden="1" x14ac:dyDescent="0.25">
      <c r="A19">
        <f t="shared" ca="1" si="0"/>
        <v>6</v>
      </c>
      <c r="B19" t="str">
        <f ca="1">IF(NOT(ISBLANK(QCI.DescManual)),IF(QCI.Divisao="Calculado","Manual","SemiAuto"),IF(ISERROR(MATCH($A19,ORÇAMENTO!$E$15:$E$32,0)),"Branco","Automático"))</f>
        <v>Branco</v>
      </c>
      <c r="C19" t="str">
        <f t="shared" ca="1" si="1"/>
        <v/>
      </c>
      <c r="D19" s="321">
        <f t="shared" si="2"/>
        <v>6</v>
      </c>
      <c r="E19" s="119"/>
      <c r="F19" s="119"/>
      <c r="G19" s="171" t="str">
        <f ca="1">IF(OR($B19="Manual",$B19="SemiAuto"),QCI.DescManual,IF($B19="Automático",INDEX(ORÇAMENTO!$R$15:$R$32,MATCH($A19,ORÇAMENTO!$E$15:$E$32,0)),""))</f>
        <v/>
      </c>
      <c r="H19" s="119"/>
      <c r="I19" s="556"/>
      <c r="J19" s="322" t="str">
        <f ca="1">IF(AND(ISBLANK(E19),ISBLANK(F19)),"",VLOOKUP($F19,OFFSET(DADOS!$A$2,1,MATCH(QCI!$E19,DADOS!$2:$2,0)-1,100,50),2,FALSE))</f>
        <v/>
      </c>
      <c r="K19" s="555" t="str">
        <f ca="1">IF(OR($B19="Manual",$B19="SemiAuto"),QCI.LoteManual,IF($B19="Automático",IF(TIPOORCAMENTO="Licitado",Import.CTEF,"LOTE 1"),""))</f>
        <v/>
      </c>
      <c r="L19" s="323">
        <f t="shared" ca="1" si="3"/>
        <v>0</v>
      </c>
      <c r="M19" s="324">
        <f t="shared" ca="1" si="4"/>
        <v>0</v>
      </c>
      <c r="N19" s="325">
        <f t="shared" ca="1" si="5"/>
        <v>0</v>
      </c>
      <c r="O19" s="326">
        <f ca="1">IF($B19="Branco",0,IF(OR($B19="Manual",$B19="SemiAuto"),QCI.InvManual,INDEX(ORÇAMENTO!X$15:X$32,MATCH($A19,ORÇAMENTO!$E$15:$E$32,0))))</f>
        <v>0</v>
      </c>
      <c r="P19" s="531"/>
      <c r="R19" s="557"/>
      <c r="T19" s="558"/>
      <c r="U19" s="328"/>
      <c r="V19" s="559" t="s">
        <v>317</v>
      </c>
      <c r="W19" s="329">
        <f t="shared" ca="1" si="6"/>
        <v>0</v>
      </c>
      <c r="X19" s="330">
        <v>0</v>
      </c>
      <c r="Z19">
        <f t="shared" ca="1" si="7"/>
        <v>0</v>
      </c>
      <c r="AA19">
        <f ca="1">IF($B19="Branco",0,IF($B19="Manual",QCI.CPManual,IF($B19="SemiAuto",ROUND(QCI!$AA$3*QCI.InvManual,2),INDEX(ORÇAMENTO!$AA$15:$AA$32,MATCH($A19,ORÇAMENTO!$E$15:$E$32,0)))))</f>
        <v>0</v>
      </c>
      <c r="AB19">
        <f ca="1">IF($B19="Branco",0,IF($B19="Manual",QCI.OutrosManual,IF($B19="SemiAuto",0,INDEX(ORÇAMENTO!$AB$15:$AB$32,MATCH($A19,ORÇAMENTO!$E$15:$E$32,0)))))</f>
        <v>0</v>
      </c>
      <c r="AD19" s="331" t="b">
        <f ca="1">AND($AA$3&gt;0,$AA$3&lt;1,$O19&gt;0,OR($B19="Automático",$B19="SemiAuto"),OR(QCI!$Z$3=QCI!$Z$7,QCI!$Z$3=QCI!$AA$7,QCI!$Z$3=QCI!$AB$7))</f>
        <v>0</v>
      </c>
      <c r="AE19" s="331">
        <f ca="1">IF(AND($AD19,$O19&gt;0,COUNTIF(OFFSET($AD19,1,0):$AD$24,TRUE)=0),CHOOSE(1+LOG(1+2*(QCI!$Z$3=QCI!$Z$7)+4*(QCI!$Z$3=QCI!$AA$7)+8*(QCI!$Z$3=QCI!$AB$7),2),0,$AA$24-ROUND(Import.CPMinPerc*$O$24,2),$AA$24-Import.CPMinAbsoluta,Import.Repasse-$Z$24),0)</f>
        <v>0</v>
      </c>
    </row>
    <row r="20" spans="1:31" hidden="1" x14ac:dyDescent="0.25">
      <c r="A20">
        <f t="shared" ca="1" si="0"/>
        <v>7</v>
      </c>
      <c r="B20" t="str">
        <f ca="1">IF(NOT(ISBLANK(QCI.DescManual)),IF(QCI.Divisao="Calculado","Manual","SemiAuto"),IF(ISERROR(MATCH($A20,ORÇAMENTO!$E$15:$E$32,0)),"Branco","Automático"))</f>
        <v>Branco</v>
      </c>
      <c r="C20" t="str">
        <f t="shared" ca="1" si="1"/>
        <v/>
      </c>
      <c r="D20" s="321">
        <f t="shared" si="2"/>
        <v>7</v>
      </c>
      <c r="E20" s="119"/>
      <c r="F20" s="119"/>
      <c r="G20" s="171" t="str">
        <f ca="1">IF(OR($B20="Manual",$B20="SemiAuto"),QCI.DescManual,IF($B20="Automático",INDEX(ORÇAMENTO!$R$15:$R$32,MATCH($A20,ORÇAMENTO!$E$15:$E$32,0)),""))</f>
        <v/>
      </c>
      <c r="H20" s="119"/>
      <c r="I20" s="556"/>
      <c r="J20" s="322" t="str">
        <f ca="1">IF(AND(ISBLANK(E20),ISBLANK(F20)),"",VLOOKUP($F20,OFFSET(DADOS!$A$2,1,MATCH(QCI!$E20,DADOS!$2:$2,0)-1,100,50),2,FALSE))</f>
        <v/>
      </c>
      <c r="K20" s="555" t="str">
        <f ca="1">IF(OR($B20="Manual",$B20="SemiAuto"),QCI.LoteManual,IF($B20="Automático",IF(TIPOORCAMENTO="Licitado",Import.CTEF,"LOTE 1"),""))</f>
        <v/>
      </c>
      <c r="L20" s="323">
        <f t="shared" ca="1" si="3"/>
        <v>0</v>
      </c>
      <c r="M20" s="324">
        <f t="shared" ca="1" si="4"/>
        <v>0</v>
      </c>
      <c r="N20" s="325">
        <f t="shared" ca="1" si="5"/>
        <v>0</v>
      </c>
      <c r="O20" s="326">
        <f ca="1">IF($B20="Branco",0,IF(OR($B20="Manual",$B20="SemiAuto"),QCI.InvManual,INDEX(ORÇAMENTO!X$15:X$32,MATCH($A20,ORÇAMENTO!$E$15:$E$32,0))))</f>
        <v>0</v>
      </c>
      <c r="P20" s="531"/>
      <c r="R20" s="557"/>
      <c r="T20" s="558"/>
      <c r="U20" s="328"/>
      <c r="V20" s="559" t="s">
        <v>317</v>
      </c>
      <c r="W20" s="329">
        <f t="shared" ca="1" si="6"/>
        <v>0</v>
      </c>
      <c r="X20" s="330">
        <v>0</v>
      </c>
      <c r="Z20">
        <f t="shared" ca="1" si="7"/>
        <v>0</v>
      </c>
      <c r="AA20">
        <f ca="1">IF($B20="Branco",0,IF($B20="Manual",QCI.CPManual,IF($B20="SemiAuto",ROUND(QCI!$AA$3*QCI.InvManual,2),INDEX(ORÇAMENTO!$AA$15:$AA$32,MATCH($A20,ORÇAMENTO!$E$15:$E$32,0)))))</f>
        <v>0</v>
      </c>
      <c r="AB20">
        <f ca="1">IF($B20="Branco",0,IF($B20="Manual",QCI.OutrosManual,IF($B20="SemiAuto",0,INDEX(ORÇAMENTO!$AB$15:$AB$32,MATCH($A20,ORÇAMENTO!$E$15:$E$32,0)))))</f>
        <v>0</v>
      </c>
      <c r="AD20" s="331" t="b">
        <f ca="1">AND($AA$3&gt;0,$AA$3&lt;1,$O20&gt;0,OR($B20="Automático",$B20="SemiAuto"),OR(QCI!$Z$3=QCI!$Z$7,QCI!$Z$3=QCI!$AA$7,QCI!$Z$3=QCI!$AB$7))</f>
        <v>0</v>
      </c>
      <c r="AE20" s="331">
        <f ca="1">IF(AND($AD20,$O20&gt;0,COUNTIF(OFFSET($AD20,1,0):$AD$24,TRUE)=0),CHOOSE(1+LOG(1+2*(QCI!$Z$3=QCI!$Z$7)+4*(QCI!$Z$3=QCI!$AA$7)+8*(QCI!$Z$3=QCI!$AB$7),2),0,$AA$24-ROUND(Import.CPMinPerc*$O$24,2),$AA$24-Import.CPMinAbsoluta,Import.Repasse-$Z$24),0)</f>
        <v>0</v>
      </c>
    </row>
    <row r="21" spans="1:31" hidden="1" x14ac:dyDescent="0.25">
      <c r="A21">
        <f t="shared" ca="1" si="0"/>
        <v>8</v>
      </c>
      <c r="B21" t="str">
        <f ca="1">IF(NOT(ISBLANK(QCI.DescManual)),IF(QCI.Divisao="Calculado","Manual","SemiAuto"),IF(ISERROR(MATCH($A21,ORÇAMENTO!$E$15:$E$32,0)),"Branco","Automático"))</f>
        <v>Branco</v>
      </c>
      <c r="C21" t="str">
        <f t="shared" ca="1" si="1"/>
        <v/>
      </c>
      <c r="D21" s="321">
        <f t="shared" si="2"/>
        <v>8</v>
      </c>
      <c r="E21" s="119"/>
      <c r="F21" s="119"/>
      <c r="G21" s="171" t="str">
        <f ca="1">IF(OR($B21="Manual",$B21="SemiAuto"),QCI.DescManual,IF($B21="Automático",INDEX(ORÇAMENTO!$R$15:$R$32,MATCH($A21,ORÇAMENTO!$E$15:$E$32,0)),""))</f>
        <v/>
      </c>
      <c r="H21" s="119"/>
      <c r="I21" s="556"/>
      <c r="J21" s="322" t="str">
        <f ca="1">IF(AND(ISBLANK(E21),ISBLANK(F21)),"",VLOOKUP($F21,OFFSET(DADOS!$A$2,1,MATCH(QCI!$E21,DADOS!$2:$2,0)-1,100,50),2,FALSE))</f>
        <v/>
      </c>
      <c r="K21" s="555" t="str">
        <f ca="1">IF(OR($B21="Manual",$B21="SemiAuto"),QCI.LoteManual,IF($B21="Automático",IF(TIPOORCAMENTO="Licitado",Import.CTEF,"LOTE 1"),""))</f>
        <v/>
      </c>
      <c r="L21" s="323">
        <f t="shared" ca="1" si="3"/>
        <v>0</v>
      </c>
      <c r="M21" s="324">
        <f t="shared" ca="1" si="4"/>
        <v>0</v>
      </c>
      <c r="N21" s="325">
        <f t="shared" ca="1" si="5"/>
        <v>0</v>
      </c>
      <c r="O21" s="326">
        <f ca="1">IF($B21="Branco",0,IF(OR($B21="Manual",$B21="SemiAuto"),QCI.InvManual,INDEX(ORÇAMENTO!X$15:X$32,MATCH($A21,ORÇAMENTO!$E$15:$E$32,0))))</f>
        <v>0</v>
      </c>
      <c r="P21" s="531"/>
      <c r="R21" s="557"/>
      <c r="T21" s="558"/>
      <c r="U21" s="328"/>
      <c r="V21" s="559" t="s">
        <v>317</v>
      </c>
      <c r="W21" s="329">
        <f t="shared" ca="1" si="6"/>
        <v>0</v>
      </c>
      <c r="X21" s="330">
        <v>0</v>
      </c>
      <c r="Z21">
        <f t="shared" ca="1" si="7"/>
        <v>0</v>
      </c>
      <c r="AA21">
        <f ca="1">IF($B21="Branco",0,IF($B21="Manual",QCI.CPManual,IF($B21="SemiAuto",ROUND(QCI!$AA$3*QCI.InvManual,2),INDEX(ORÇAMENTO!$AA$15:$AA$32,MATCH($A21,ORÇAMENTO!$E$15:$E$32,0)))))</f>
        <v>0</v>
      </c>
      <c r="AB21">
        <f ca="1">IF($B21="Branco",0,IF($B21="Manual",QCI.OutrosManual,IF($B21="SemiAuto",0,INDEX(ORÇAMENTO!$AB$15:$AB$32,MATCH($A21,ORÇAMENTO!$E$15:$E$32,0)))))</f>
        <v>0</v>
      </c>
      <c r="AD21" s="331" t="b">
        <f ca="1">AND($AA$3&gt;0,$AA$3&lt;1,$O21&gt;0,OR($B21="Automático",$B21="SemiAuto"),OR(QCI!$Z$3=QCI!$Z$7,QCI!$Z$3=QCI!$AA$7,QCI!$Z$3=QCI!$AB$7))</f>
        <v>0</v>
      </c>
      <c r="AE21" s="331">
        <f ca="1">IF(AND($AD21,$O21&gt;0,COUNTIF(OFFSET($AD21,1,0):$AD$24,TRUE)=0),CHOOSE(1+LOG(1+2*(QCI!$Z$3=QCI!$Z$7)+4*(QCI!$Z$3=QCI!$AA$7)+8*(QCI!$Z$3=QCI!$AB$7),2),0,$AA$24-ROUND(Import.CPMinPerc*$O$24,2),$AA$24-Import.CPMinAbsoluta,Import.Repasse-$Z$24),0)</f>
        <v>0</v>
      </c>
    </row>
    <row r="22" spans="1:31" hidden="1" x14ac:dyDescent="0.25">
      <c r="A22">
        <f t="shared" ca="1" si="0"/>
        <v>9</v>
      </c>
      <c r="B22" t="str">
        <f ca="1">IF(NOT(ISBLANK(QCI.DescManual)),IF(QCI.Divisao="Calculado","Manual","SemiAuto"),IF(ISERROR(MATCH($A22,ORÇAMENTO!$E$15:$E$32,0)),"Branco","Automático"))</f>
        <v>Branco</v>
      </c>
      <c r="C22" t="str">
        <f t="shared" ca="1" si="1"/>
        <v/>
      </c>
      <c r="D22" s="321">
        <f t="shared" si="2"/>
        <v>9</v>
      </c>
      <c r="E22" s="119"/>
      <c r="F22" s="119"/>
      <c r="G22" s="171" t="str">
        <f ca="1">IF(OR($B22="Manual",$B22="SemiAuto"),QCI.DescManual,IF($B22="Automático",INDEX(ORÇAMENTO!$R$15:$R$32,MATCH($A22,ORÇAMENTO!$E$15:$E$32,0)),""))</f>
        <v/>
      </c>
      <c r="H22" s="119"/>
      <c r="I22" s="556"/>
      <c r="J22" s="322" t="str">
        <f ca="1">IF(AND(ISBLANK(E22),ISBLANK(F22)),"",VLOOKUP($F22,OFFSET(DADOS!$A$2,1,MATCH(QCI!$E22,DADOS!$2:$2,0)-1,100,50),2,FALSE))</f>
        <v/>
      </c>
      <c r="K22" s="555" t="str">
        <f ca="1">IF(OR($B22="Manual",$B22="SemiAuto"),QCI.LoteManual,IF($B22="Automático",IF(TIPOORCAMENTO="Licitado",Import.CTEF,"LOTE 1"),""))</f>
        <v/>
      </c>
      <c r="L22" s="323">
        <f t="shared" ca="1" si="3"/>
        <v>0</v>
      </c>
      <c r="M22" s="324">
        <f t="shared" ca="1" si="4"/>
        <v>0</v>
      </c>
      <c r="N22" s="325">
        <f t="shared" ca="1" si="5"/>
        <v>0</v>
      </c>
      <c r="O22" s="326">
        <f ca="1">IF($B22="Branco",0,IF(OR($B22="Manual",$B22="SemiAuto"),QCI.InvManual,INDEX(ORÇAMENTO!X$15:X$32,MATCH($A22,ORÇAMENTO!$E$15:$E$32,0))))</f>
        <v>0</v>
      </c>
      <c r="P22" s="531"/>
      <c r="R22" s="557"/>
      <c r="T22" s="558"/>
      <c r="U22" s="328"/>
      <c r="V22" s="559" t="s">
        <v>317</v>
      </c>
      <c r="W22" s="329">
        <f t="shared" ca="1" si="6"/>
        <v>0</v>
      </c>
      <c r="X22" s="330">
        <v>0</v>
      </c>
      <c r="Z22">
        <f t="shared" ca="1" si="7"/>
        <v>0</v>
      </c>
      <c r="AA22">
        <f ca="1">IF($B22="Branco",0,IF($B22="Manual",QCI.CPManual,IF($B22="SemiAuto",ROUND(QCI!$AA$3*QCI.InvManual,2),INDEX(ORÇAMENTO!$AA$15:$AA$32,MATCH($A22,ORÇAMENTO!$E$15:$E$32,0)))))</f>
        <v>0</v>
      </c>
      <c r="AB22">
        <f ca="1">IF($B22="Branco",0,IF($B22="Manual",QCI.OutrosManual,IF($B22="SemiAuto",0,INDEX(ORÇAMENTO!$AB$15:$AB$32,MATCH($A22,ORÇAMENTO!$E$15:$E$32,0)))))</f>
        <v>0</v>
      </c>
      <c r="AD22" s="331" t="b">
        <f ca="1">AND($AA$3&gt;0,$AA$3&lt;1,$O22&gt;0,OR($B22="Automático",$B22="SemiAuto"),OR(QCI!$Z$3=QCI!$Z$7,QCI!$Z$3=QCI!$AA$7,QCI!$Z$3=QCI!$AB$7))</f>
        <v>0</v>
      </c>
      <c r="AE22" s="331">
        <f ca="1">IF(AND($AD22,$O22&gt;0,COUNTIF(OFFSET($AD22,1,0):$AD$24,TRUE)=0),CHOOSE(1+LOG(1+2*(QCI!$Z$3=QCI!$Z$7)+4*(QCI!$Z$3=QCI!$AA$7)+8*(QCI!$Z$3=QCI!$AB$7),2),0,$AA$24-ROUND(Import.CPMinPerc*$O$24,2),$AA$24-Import.CPMinAbsoluta,Import.Repasse-$Z$24),0)</f>
        <v>0</v>
      </c>
    </row>
    <row r="23" spans="1:31" hidden="1" x14ac:dyDescent="0.25">
      <c r="A23">
        <f t="shared" ca="1" si="0"/>
        <v>10</v>
      </c>
      <c r="B23" t="str">
        <f ca="1">IF(NOT(ISBLANK(QCI.DescManual)),IF(QCI.Divisao="Calculado","Manual","SemiAuto"),IF(ISERROR(MATCH($A23,ORÇAMENTO!$E$15:$E$32,0)),"Branco","Automático"))</f>
        <v>Branco</v>
      </c>
      <c r="C23" t="str">
        <f ca="1">IF(O23&gt;0,"F","")</f>
        <v/>
      </c>
      <c r="D23" s="321">
        <f>ROW()-ROW($D$13)</f>
        <v>10</v>
      </c>
      <c r="E23" s="119"/>
      <c r="F23" s="119"/>
      <c r="G23" s="171" t="str">
        <f ca="1">IF(OR($B23="Manual",$B23="SemiAuto"),QCI.DescManual,IF($B23="Automático",INDEX(ORÇAMENTO!$R$15:$R$32,MATCH($A23,ORÇAMENTO!$E$15:$E$32,0)),""))</f>
        <v/>
      </c>
      <c r="H23" s="119"/>
      <c r="I23" s="556"/>
      <c r="J23" s="322" t="str">
        <f ca="1">IF(AND(ISBLANK(E23),ISBLANK(F23)),"",VLOOKUP($F23,OFFSET(DADOS!$A$2,1,MATCH(QCI!$E23,DADOS!$2:$2,0)-1,100,50),2,FALSE))</f>
        <v/>
      </c>
      <c r="K23" s="555" t="str">
        <f ca="1">IF(OR($B23="Manual",$B23="SemiAuto"),QCI.LoteManual,IF($B23="Automático",IF(TIPOORCAMENTO="Licitado",Import.CTEF,"LOTE 1"),""))</f>
        <v/>
      </c>
      <c r="L23" s="323">
        <f ca="1">ROUND($O23,2)-ROUND($M23,2)-ROUND($N23,2)</f>
        <v>0</v>
      </c>
      <c r="M23" s="324">
        <f ca="1">ROUND($AA23,2)-ROUND($AE23,2)</f>
        <v>0</v>
      </c>
      <c r="N23" s="325">
        <f ca="1">ROUND($AB23,2)</f>
        <v>0</v>
      </c>
      <c r="O23" s="326">
        <f ca="1">IF($B23="Branco",0,IF(OR($B23="Manual",$B23="SemiAuto"),QCI.InvManual,INDEX(ORÇAMENTO!X$15:X$32,MATCH($A23,ORÇAMENTO!$E$15:$E$32,0))))</f>
        <v>0</v>
      </c>
      <c r="P23" s="531"/>
      <c r="R23" s="557"/>
      <c r="T23" s="558"/>
      <c r="U23" s="328"/>
      <c r="V23" s="559" t="s">
        <v>317</v>
      </c>
      <c r="W23" s="329">
        <f ca="1">$O23</f>
        <v>0</v>
      </c>
      <c r="X23" s="330">
        <v>0</v>
      </c>
      <c r="Z23">
        <f ca="1">$O23-$AA23-$AB23</f>
        <v>0</v>
      </c>
      <c r="AA23">
        <f ca="1">IF($B23="Branco",0,IF($B23="Manual",QCI.CPManual,IF($B23="SemiAuto",ROUND(QCI!$AA$3*QCI.InvManual,2),INDEX(ORÇAMENTO!$AA$15:$AA$32,MATCH($A23,ORÇAMENTO!$E$15:$E$32,0)))))</f>
        <v>0</v>
      </c>
      <c r="AB23">
        <f ca="1">IF($B23="Branco",0,IF($B23="Manual",QCI.OutrosManual,IF($B23="SemiAuto",0,INDEX(ORÇAMENTO!$AB$15:$AB$32,MATCH($A23,ORÇAMENTO!$E$15:$E$32,0)))))</f>
        <v>0</v>
      </c>
      <c r="AD23" s="331" t="b">
        <f ca="1">AND($AA$3&gt;0,$AA$3&lt;1,$O23&gt;0,OR($B23="Automático",$B23="SemiAuto"),OR(QCI!$Z$3=QCI!$Z$7,QCI!$Z$3=QCI!$AA$7,QCI!$Z$3=QCI!$AB$7))</f>
        <v>0</v>
      </c>
      <c r="AE23" s="331">
        <f ca="1">IF(AND($AD23,$O23&gt;0,COUNTIF(OFFSET($AD23,1,0):$AD$24,TRUE)=0),CHOOSE(1+LOG(1+2*(QCI!$Z$3=QCI!$Z$7)+4*(QCI!$Z$3=QCI!$AA$7)+8*(QCI!$Z$3=QCI!$AB$7),2),0,$AA$24-ROUND(Import.CPMinPerc*$O$24,2),$AA$24-Import.CPMinAbsoluta,Import.Repasse-$Z$24),0)</f>
        <v>0</v>
      </c>
    </row>
    <row r="24" spans="1:31" ht="13.8" x14ac:dyDescent="0.25">
      <c r="B24" t="s">
        <v>327</v>
      </c>
      <c r="C24" t="s">
        <v>246</v>
      </c>
      <c r="D24" s="338"/>
      <c r="E24" s="339"/>
      <c r="F24" s="339"/>
      <c r="G24" s="339"/>
      <c r="H24" s="339"/>
      <c r="I24" s="339"/>
      <c r="J24" s="339"/>
      <c r="K24" s="671" t="s">
        <v>328</v>
      </c>
      <c r="L24" s="340">
        <f ca="1">SUM(L13:OFFSET(L24,-1,0))</f>
        <v>99449.489999999991</v>
      </c>
      <c r="M24" s="341">
        <f ca="1">SUM(M13:OFFSET(M24,-1,0))</f>
        <v>441.96</v>
      </c>
      <c r="N24" s="342">
        <f ca="1">SUM(N13:OFFSET(N24,-1,0))</f>
        <v>0</v>
      </c>
      <c r="O24" s="343">
        <f ca="1">SUM(O13:OFFSET(O24,-1,0))</f>
        <v>99891.45</v>
      </c>
      <c r="R24" s="344"/>
      <c r="T24" s="345"/>
      <c r="U24" s="346"/>
      <c r="V24" s="347"/>
      <c r="W24" s="348"/>
      <c r="X24" s="349"/>
      <c r="Z24" s="89">
        <f ca="1">SUMPRODUCT(ROUND(Z13:OFFSET(Z24,-1,0),2))</f>
        <v>99449.49</v>
      </c>
      <c r="AA24" s="89">
        <f ca="1">SUMPRODUCT(ROUND(AA13:OFFSET(AA24,-1,0),2))</f>
        <v>441.96</v>
      </c>
      <c r="AB24" s="89">
        <f ca="1">SUM(AB13:OFFSET(AB24,-1,0))</f>
        <v>0</v>
      </c>
    </row>
    <row r="25" spans="1:31" x14ac:dyDescent="0.25">
      <c r="B25" t="s">
        <v>329</v>
      </c>
      <c r="C25" t="s">
        <v>246</v>
      </c>
      <c r="D25" s="350"/>
      <c r="E25" s="351"/>
      <c r="F25" s="351"/>
      <c r="G25" s="351"/>
      <c r="H25" s="351"/>
      <c r="I25" s="351"/>
      <c r="J25" s="351"/>
      <c r="K25" s="671"/>
      <c r="L25" s="352">
        <f ca="1">IF(ISERROR(L24/$O24),0,ROUND(L24/$O24,4))</f>
        <v>0.99560000000000004</v>
      </c>
      <c r="M25" s="353">
        <f ca="1">IF(ISERROR(M24/$O24),0,ROUND(M24/$O24,4))</f>
        <v>4.4000000000000003E-3</v>
      </c>
      <c r="N25" s="354">
        <f ca="1">IF(ISERROR(N24/$O24),0,ROUND(N24/$O24,4))</f>
        <v>0</v>
      </c>
      <c r="O25" s="355">
        <f ca="1">IF(ISERROR(O24/$O24),0,ROUND(O24/$O24,4))</f>
        <v>1</v>
      </c>
      <c r="R25" s="356"/>
      <c r="T25" s="357"/>
      <c r="U25" s="358"/>
      <c r="V25" s="359"/>
      <c r="W25" s="360"/>
      <c r="X25" s="361"/>
    </row>
    <row r="27" spans="1:31" ht="13.8" x14ac:dyDescent="0.25">
      <c r="D27" s="140" t="s">
        <v>187</v>
      </c>
    </row>
    <row r="28" spans="1:31" ht="12.75" customHeight="1" x14ac:dyDescent="0.25"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</row>
    <row r="29" spans="1:31" ht="12.75" customHeight="1" x14ac:dyDescent="0.25"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</row>
    <row r="30" spans="1:31" ht="12.75" customHeight="1" x14ac:dyDescent="0.25"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</row>
    <row r="33" spans="4:12" ht="13.8" x14ac:dyDescent="0.25">
      <c r="D33" s="623" t="str">
        <f>Import.Município</f>
        <v>BOM JARDIM DE MINAS - MG</v>
      </c>
      <c r="E33" s="623"/>
      <c r="F33" s="623"/>
      <c r="I33" s="144"/>
      <c r="J33" s="144"/>
      <c r="K33" s="193"/>
      <c r="L33" s="193"/>
    </row>
    <row r="34" spans="4:12" x14ac:dyDescent="0.25">
      <c r="D34" s="10" t="s">
        <v>188</v>
      </c>
      <c r="I34" s="194" t="s">
        <v>330</v>
      </c>
      <c r="J34" s="194"/>
    </row>
    <row r="35" spans="4:12" x14ac:dyDescent="0.25">
      <c r="I35" s="77" t="str">
        <f>"Nome:" &amp;  " " &amp; DADOS!F28</f>
        <v>Nome: JOSÉ FRANCISCO MATOS E SILVA</v>
      </c>
    </row>
    <row r="36" spans="4:12" x14ac:dyDescent="0.25">
      <c r="D36" s="618">
        <f ca="1">DADOS!$F$25</f>
        <v>45580</v>
      </c>
      <c r="E36" s="618"/>
      <c r="F36" s="618"/>
      <c r="I36" s="77" t="str">
        <f>"Cargo:"  &amp; " " &amp; DADOS!F29</f>
        <v>Cargo: PREFEITO MUNICIPAL</v>
      </c>
    </row>
    <row r="37" spans="4:12" x14ac:dyDescent="0.25">
      <c r="D37" s="145" t="s">
        <v>189</v>
      </c>
      <c r="E37" s="1"/>
      <c r="F37" s="1"/>
      <c r="K37" s="77"/>
      <c r="L37" s="78"/>
    </row>
  </sheetData>
  <sheetProtection algorithmName="SHA-512" hashValue="xLySmodnKDmORw0MqtboaRlWLeKRMEmE+EU42edFVqFYUae+yEw0d1eUK+FGpwk9BlXNNBEHiWbl4wbX+wMeLg==" saltValue="ni3EbdhXV+T5Mm8PLy1mpA==" spinCount="100000" sheet="1" objects="1" scenarios="1" autoFilter="0"/>
  <autoFilter ref="C13:C25" xr:uid="{00000000-0009-0000-0000-00000A000000}">
    <filterColumn colId="0">
      <filters>
        <filter val="F"/>
      </filters>
    </filterColumn>
  </autoFilter>
  <mergeCells count="20">
    <mergeCell ref="D3:E3"/>
    <mergeCell ref="G3:I3"/>
    <mergeCell ref="J3:L3"/>
    <mergeCell ref="M3:O4"/>
    <mergeCell ref="D4:E4"/>
    <mergeCell ref="G4:I4"/>
    <mergeCell ref="J4:L4"/>
    <mergeCell ref="AD10:AE10"/>
    <mergeCell ref="K24:K25"/>
    <mergeCell ref="C7:C11"/>
    <mergeCell ref="G9:J10"/>
    <mergeCell ref="K9:K10"/>
    <mergeCell ref="AD9:AE9"/>
    <mergeCell ref="D7:K7"/>
    <mergeCell ref="D6:K6"/>
    <mergeCell ref="A10:A11"/>
    <mergeCell ref="Z10:AB10"/>
    <mergeCell ref="D36:F36"/>
    <mergeCell ref="D28:O30"/>
    <mergeCell ref="D33:F33"/>
  </mergeCells>
  <phoneticPr fontId="38" type="noConversion"/>
  <conditionalFormatting sqref="T12:V12">
    <cfRule type="expression" dxfId="32" priority="157" stopIfTrue="1">
      <formula>OR($B12="Automático",$B12="Branco")</formula>
    </cfRule>
  </conditionalFormatting>
  <conditionalFormatting sqref="L12">
    <cfRule type="expression" dxfId="31" priority="158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30" priority="159" stopIfTrue="1">
      <formula>OR($B12="Automático",$B12="Branco",$V12&lt;&gt;"Calculado")</formula>
    </cfRule>
  </conditionalFormatting>
  <conditionalFormatting sqref="M25">
    <cfRule type="expression" dxfId="29" priority="161" stopIfTrue="1">
      <formula>AND($G$9&lt;&gt;"",OR($M$25&lt;Import.CPMinPerc,$M$25&gt;Import.CPMaxPerc))</formula>
    </cfRule>
  </conditionalFormatting>
  <conditionalFormatting sqref="M24">
    <cfRule type="expression" dxfId="28" priority="162" stopIfTrue="1">
      <formula>AND($G$9&lt;&gt;"",$M$24&lt;Import.CPMinAbsoluta)</formula>
    </cfRule>
  </conditionalFormatting>
  <conditionalFormatting sqref="L10:M10">
    <cfRule type="cellIs" dxfId="27" priority="163" stopIfTrue="1" operator="lessThan">
      <formula>0</formula>
    </cfRule>
  </conditionalFormatting>
  <conditionalFormatting sqref="G12">
    <cfRule type="cellIs" dxfId="26" priority="164" stopIfTrue="1" operator="equal">
      <formula>"(digite a descrição aqui)"</formula>
    </cfRule>
  </conditionalFormatting>
  <conditionalFormatting sqref="T14:V22">
    <cfRule type="expression" dxfId="25" priority="5" stopIfTrue="1">
      <formula>OR($B14="Automático",$B14="Branco")</formula>
    </cfRule>
  </conditionalFormatting>
  <conditionalFormatting sqref="L14:L22">
    <cfRule type="expression" dxfId="24" priority="6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conditionalFormatting sqref="W14:X22">
    <cfRule type="expression" dxfId="23" priority="7" stopIfTrue="1">
      <formula>OR($B14="Automático",$B14="Branco",$V14&lt;&gt;"Calculado")</formula>
    </cfRule>
  </conditionalFormatting>
  <conditionalFormatting sqref="G14:G22">
    <cfRule type="cellIs" dxfId="22" priority="8" stopIfTrue="1" operator="equal">
      <formula>"(digite a descrição aqui)"</formula>
    </cfRule>
  </conditionalFormatting>
  <conditionalFormatting sqref="T23:V23">
    <cfRule type="expression" dxfId="21" priority="1" stopIfTrue="1">
      <formula>OR($B23="Automático",$B23="Branco")</formula>
    </cfRule>
  </conditionalFormatting>
  <conditionalFormatting sqref="L23">
    <cfRule type="expression" dxfId="20" priority="2" stopIfTrue="1">
      <formula>OR(L23&lt;0,AND(L$13="Contrapartida Financeira (R$)",$B23="T%",OR(L23&lt;Import.CPMinPerc,AND(L23&gt;Import.CPMaxPerc,Import.CPMaxPerc&gt;0))),AND(L$13="Contrapartida Financeira (R$)",$B23="TR$",L23&lt;Import.CPMinAbsoluta))</formula>
    </cfRule>
  </conditionalFormatting>
  <conditionalFormatting sqref="W23:X23">
    <cfRule type="expression" dxfId="19" priority="3" stopIfTrue="1">
      <formula>OR($B23="Automático",$B23="Branco",$V23&lt;&gt;"Calculado")</formula>
    </cfRule>
  </conditionalFormatting>
  <conditionalFormatting sqref="G23">
    <cfRule type="cellIs" dxfId="18" priority="4" stopIfTrue="1" operator="equal">
      <formula>"(digite a descrição aqui)"</formula>
    </cfRule>
  </conditionalFormatting>
  <dataValidations count="9">
    <dataValidation type="decimal" operator="greaterThan" allowBlank="1" showErrorMessage="1" error="Digite apenas números decimais maiores do que 0." sqref="U12 U14:U23" xr:uid="{00000000-0002-0000-0A00-000000000000}">
      <formula1>0</formula1>
      <formula2>0</formula2>
    </dataValidation>
    <dataValidation type="list" allowBlank="1" sqref="E12 E14:E23" xr:uid="{00000000-0002-0000-0A00-000001000000}">
      <formula1>QCI.ItemInvestimento</formula1>
      <formula2>0</formula2>
    </dataValidation>
    <dataValidation type="list" allowBlank="1" sqref="F12 F14:F23" xr:uid="{00000000-0002-0000-0A00-000002000000}">
      <formula1>QCI.SubItemInvestimento</formula1>
      <formula2>0</formula2>
    </dataValidation>
    <dataValidation type="list" allowBlank="1" sqref="H12 H14:H23" xr:uid="{00000000-0002-0000-0A00-000003000000}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:I23" xr:uid="{00000000-0002-0000-0A00-000004000000}">
      <formula1>0</formula1>
      <formula2>0</formula2>
    </dataValidation>
    <dataValidation type="list" allowBlank="1" showErrorMessage="1" sqref="V12 V14:V23" xr:uid="{00000000-0002-0000-0A00-000005000000}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:W23" xr:uid="{00000000-0002-0000-0A00-000006000000}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:X23" xr:uid="{00000000-0002-0000-0A00-000007000000}">
      <formula1>0</formula1>
      <formula2>QCI.MaxOUManual</formula2>
    </dataValidation>
    <dataValidation allowBlank="1" showInputMessage="1" showErrorMessage="1" prompt="Preencha somente se a meta não fizer parte do Orçamento desta Plan. Mult." sqref="R12 R14:R23" xr:uid="{00000000-0002-0000-0A00-000008000000}"/>
  </dataValidations>
  <pageMargins left="0.78740157480314998" right="0.78740157480314998" top="0.78740157480314998" bottom="0.78740157480314998" header="0.59055118110236204" footer="0.59055118110236204"/>
  <pageSetup paperSize="9" scale="63" firstPageNumber="0" fitToHeight="0" orientation="landscape" horizontalDpi="300" verticalDpi="300" r:id="rId1"/>
  <headerFooter alignWithMargins="0">
    <oddHeader>&amp;L_&amp;C&amp;14I</oddHeader>
    <oddFooter>&amp;LPMv3.0.6&amp;R&amp;P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3">
    <pageSetUpPr fitToPage="1"/>
  </sheetPr>
  <dimension ref="A1:AO47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21" sqref="A21"/>
    </sheetView>
  </sheetViews>
  <sheetFormatPr defaultRowHeight="13.2" x14ac:dyDescent="0.25"/>
  <cols>
    <col min="1" max="2" width="6.6640625" hidden="1" customWidth="1"/>
    <col min="3" max="3" width="3.6640625" customWidth="1"/>
    <col min="4" max="4" width="10.6640625" customWidth="1"/>
    <col min="5" max="5" width="65.6640625" customWidth="1"/>
    <col min="6" max="6" width="7.6640625" customWidth="1"/>
    <col min="7" max="7" width="11.6640625" customWidth="1"/>
    <col min="8" max="8" width="14.6640625" customWidth="1"/>
    <col min="9" max="9" width="18.6640625" customWidth="1"/>
    <col min="10" max="12" width="11.6640625" customWidth="1"/>
    <col min="13" max="15" width="18.6640625" customWidth="1"/>
    <col min="17" max="18" width="11.6640625" hidden="1" customWidth="1"/>
    <col min="19" max="19" width="9.109375" hidden="1" customWidth="1"/>
    <col min="20" max="20" width="10.6640625" hidden="1" customWidth="1"/>
    <col min="21" max="21" width="65.6640625" hidden="1" customWidth="1"/>
    <col min="22" max="22" width="7.6640625" hidden="1" customWidth="1"/>
    <col min="23" max="23" width="11.6640625" hidden="1" customWidth="1"/>
    <col min="24" max="24" width="14.6640625" hidden="1" customWidth="1"/>
    <col min="25" max="25" width="18.6640625" hidden="1" customWidth="1"/>
    <col min="26" max="26" width="25.6640625" hidden="1" customWidth="1"/>
    <col min="27" max="27" width="0" hidden="1" customWidth="1"/>
    <col min="28" max="39" width="11.6640625" customWidth="1"/>
    <col min="40" max="40" width="10.44140625" customWidth="1"/>
    <col min="41" max="41" width="9.109375" hidden="1" customWidth="1"/>
  </cols>
  <sheetData>
    <row r="1" spans="1:41" ht="15.6" x14ac:dyDescent="0.25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2" t="s">
        <v>140</v>
      </c>
    </row>
    <row r="2" spans="1:41" ht="15" x14ac:dyDescent="0.25">
      <c r="A2" s="364" t="s">
        <v>331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143</v>
      </c>
    </row>
    <row r="3" spans="1:41" x14ac:dyDescent="0.25">
      <c r="A3" s="689" t="b">
        <v>0</v>
      </c>
      <c r="B3" s="689"/>
      <c r="E3" s="86"/>
    </row>
    <row r="4" spans="1:41" x14ac:dyDescent="0.25">
      <c r="D4" s="601" t="s">
        <v>147</v>
      </c>
      <c r="E4" s="601"/>
      <c r="F4" s="612" t="s">
        <v>146</v>
      </c>
      <c r="G4" s="612"/>
      <c r="H4" s="612"/>
      <c r="I4" s="150" t="s">
        <v>442</v>
      </c>
      <c r="J4" s="601" t="s">
        <v>202</v>
      </c>
      <c r="K4" s="601"/>
      <c r="L4" s="601"/>
      <c r="M4" s="601"/>
      <c r="N4" s="601"/>
      <c r="O4" s="152" t="s">
        <v>332</v>
      </c>
    </row>
    <row r="5" spans="1:41" ht="12.75" customHeight="1" x14ac:dyDescent="0.25">
      <c r="A5" t="s">
        <v>333</v>
      </c>
      <c r="D5" s="604" t="str">
        <f>Import.Proponente</f>
        <v>PREFEITURA MUNICIPAL DE BOM JARDIM DE MINAS</v>
      </c>
      <c r="E5" s="604"/>
      <c r="F5" s="617">
        <f>Import.CR</f>
        <v>0</v>
      </c>
      <c r="G5" s="617"/>
      <c r="H5" s="617"/>
      <c r="I5" s="366">
        <f>Import.TransfereGOV</f>
        <v>0</v>
      </c>
      <c r="J5" s="604" t="str">
        <f>Import.Apelido</f>
        <v>REFORMA - COLÉGIO TABOÃO</v>
      </c>
      <c r="K5" s="604"/>
      <c r="L5" s="604"/>
      <c r="M5" s="604"/>
      <c r="N5" s="604"/>
      <c r="O5" s="367">
        <f>Import.DataInicioObra</f>
        <v>0</v>
      </c>
      <c r="AO5" s="368" t="s">
        <v>334</v>
      </c>
    </row>
    <row r="6" spans="1:41" ht="5.0999999999999996" customHeight="1" x14ac:dyDescent="0.25">
      <c r="D6" s="94"/>
      <c r="E6" s="95"/>
      <c r="F6" s="94"/>
      <c r="G6" s="94"/>
      <c r="H6" s="94"/>
      <c r="I6" s="94"/>
      <c r="J6" s="94"/>
      <c r="K6" s="94"/>
      <c r="L6" s="94"/>
      <c r="M6" s="94"/>
      <c r="N6" s="94"/>
      <c r="O6" s="94"/>
      <c r="AO6" s="369"/>
    </row>
    <row r="7" spans="1:41" ht="12.75" customHeight="1" x14ac:dyDescent="0.25">
      <c r="A7" t="str">
        <f ca="1">RegimeExecucao</f>
        <v>Global</v>
      </c>
      <c r="D7" s="88" t="s">
        <v>335</v>
      </c>
      <c r="E7" s="88" t="s">
        <v>336</v>
      </c>
      <c r="F7" s="601" t="s">
        <v>337</v>
      </c>
      <c r="G7" s="601"/>
      <c r="H7" s="601"/>
      <c r="I7" s="601" t="str">
        <f>IF(TIPOORCAMENTO="Licitado","REGIME DE EXECUÇÃO","MUNICÍPIO / UF")</f>
        <v>MUNICÍPIO / UF</v>
      </c>
      <c r="J7" s="601"/>
      <c r="K7" s="601"/>
      <c r="L7" s="601"/>
      <c r="M7" s="601" t="s">
        <v>338</v>
      </c>
      <c r="N7" s="601"/>
      <c r="O7" s="88" t="s">
        <v>339</v>
      </c>
      <c r="AO7" s="315">
        <f ca="1">BM.MEDAcumulado</f>
        <v>0</v>
      </c>
    </row>
    <row r="8" spans="1:41" ht="12.75" customHeight="1" x14ac:dyDescent="0.25">
      <c r="A8" s="364" t="s">
        <v>340</v>
      </c>
      <c r="B8" s="2"/>
      <c r="C8" s="594" t="s">
        <v>209</v>
      </c>
      <c r="D8" s="370">
        <f>Import.CTEF</f>
        <v>0</v>
      </c>
      <c r="E8" s="56">
        <f>Import.empresa</f>
        <v>0</v>
      </c>
      <c r="F8" s="604">
        <f>Import.CNPJ</f>
        <v>0</v>
      </c>
      <c r="G8" s="604"/>
      <c r="H8" s="604"/>
      <c r="I8" s="604" t="str">
        <f>IF(TIPOORCAMENTO="Licitado",Import.RegimeExecução,Import.Município)</f>
        <v>BOM JARDIM DE MINAS - MG</v>
      </c>
      <c r="J8" s="604"/>
      <c r="K8" s="604"/>
      <c r="L8" s="604"/>
      <c r="M8" s="604" t="str">
        <f ca="1">TEXT(IF(BM.medicao=1,Import.DataInicioObra,OFFSET($AB$12,0,BM.medicao-1-$AB$13)+1),"dd/mm/aaaa")&amp;" a "&amp;TEXT(OFFSET($AB$12,0,BM.medicao-$AB$13),"dd/mm/aaaa")</f>
        <v>00/01/1900 a 00/01/1900</v>
      </c>
      <c r="N8" s="604"/>
      <c r="O8" s="489">
        <v>1</v>
      </c>
    </row>
    <row r="9" spans="1:41" ht="12.75" customHeight="1" x14ac:dyDescent="0.25">
      <c r="A9" s="530" t="b">
        <v>1</v>
      </c>
      <c r="B9" s="42"/>
      <c r="C9" s="594"/>
    </row>
    <row r="10" spans="1:41" x14ac:dyDescent="0.25">
      <c r="C10" s="594"/>
      <c r="E10" s="687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687"/>
      <c r="G10" s="687"/>
      <c r="H10" s="687"/>
      <c r="I10" s="687"/>
      <c r="N10" s="688" t="str">
        <f ca="1">"Realizado Acumulado: "&amp;TEXT(ROUND($O$15/($I$15+10^-12),4),"0,00%")</f>
        <v>Realizado Acumulado: 0,00%</v>
      </c>
      <c r="O10" s="688"/>
    </row>
    <row r="11" spans="1:41" ht="15" customHeight="1" x14ac:dyDescent="0.3">
      <c r="C11" s="594"/>
      <c r="E11" s="687"/>
      <c r="F11" s="687"/>
      <c r="G11" s="687"/>
      <c r="H11" s="687"/>
      <c r="I11" s="687"/>
      <c r="N11" s="688"/>
      <c r="O11" s="688"/>
      <c r="T11" s="686" t="s">
        <v>341</v>
      </c>
      <c r="U11" s="686"/>
      <c r="Z11" s="4"/>
      <c r="AB11" s="661" t="s">
        <v>342</v>
      </c>
      <c r="AC11" s="661"/>
      <c r="AD11" s="661"/>
      <c r="AE11" s="661"/>
      <c r="AF11" s="661"/>
      <c r="AG11" s="661"/>
      <c r="AH11" s="661"/>
      <c r="AI11" s="661"/>
      <c r="AJ11" s="661"/>
      <c r="AK11" s="661"/>
      <c r="AL11" s="661"/>
      <c r="AM11" s="661"/>
    </row>
    <row r="12" spans="1:41" ht="15" customHeight="1" x14ac:dyDescent="0.3">
      <c r="C12" s="594"/>
      <c r="E12" s="84" t="s">
        <v>343</v>
      </c>
      <c r="J12" s="606" t="str">
        <f ca="1">"Evolução Física "&amp;CHOOSE(MATCH(RegimeExecucao,{"Unitário","Global"},0),"(Qtde.)","(%)")</f>
        <v>Evolução Física (%)</v>
      </c>
      <c r="K12" s="606"/>
      <c r="L12" s="606"/>
      <c r="M12" s="606" t="s">
        <v>344</v>
      </c>
      <c r="N12" s="606"/>
      <c r="O12" s="606"/>
      <c r="Q12" s="606" t="str">
        <f ca="1">"Aferido (CAIXA) "&amp;CHOOSE(MATCH(RegimeExecucao,{"Unitário","Global"},0),"(Qtde.)","(%)")</f>
        <v>Aferido (CAIXA) (%)</v>
      </c>
      <c r="R12" s="606"/>
      <c r="T12" s="371" t="s">
        <v>345</v>
      </c>
      <c r="U12" s="193"/>
      <c r="V12" s="193"/>
      <c r="W12" s="193"/>
      <c r="X12" s="193"/>
      <c r="Y12" s="193"/>
      <c r="Z12" s="42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5">
      <c r="A13" s="108" t="s">
        <v>222</v>
      </c>
      <c r="B13" s="108" t="s">
        <v>221</v>
      </c>
      <c r="C13" s="107" t="s">
        <v>217</v>
      </c>
      <c r="D13" s="336" t="s">
        <v>231</v>
      </c>
      <c r="E13" s="336" t="s">
        <v>234</v>
      </c>
      <c r="F13" s="375" t="s">
        <v>235</v>
      </c>
      <c r="G13" s="336" t="s">
        <v>203</v>
      </c>
      <c r="H13" s="336" t="s">
        <v>236</v>
      </c>
      <c r="I13" s="336" t="s">
        <v>237</v>
      </c>
      <c r="J13" s="336" t="s">
        <v>346</v>
      </c>
      <c r="K13" s="336" t="s">
        <v>347</v>
      </c>
      <c r="L13" s="336" t="s">
        <v>348</v>
      </c>
      <c r="M13" s="336" t="s">
        <v>346</v>
      </c>
      <c r="N13" s="336" t="s">
        <v>347</v>
      </c>
      <c r="O13" s="336" t="s">
        <v>348</v>
      </c>
      <c r="Q13" s="336" t="s">
        <v>346</v>
      </c>
      <c r="R13" s="336" t="s">
        <v>348</v>
      </c>
      <c r="T13" s="336" t="s">
        <v>231</v>
      </c>
      <c r="U13" s="336" t="s">
        <v>234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349</v>
      </c>
      <c r="Z13" s="336" t="s">
        <v>350</v>
      </c>
      <c r="AA13" s="113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8" t="s">
        <v>351</v>
      </c>
    </row>
    <row r="14" spans="1:41" ht="13.8" hidden="1" x14ac:dyDescent="0.3">
      <c r="A14" t="str">
        <f ca="1">ORÇAMENTO!C14</f>
        <v>S</v>
      </c>
      <c r="B14">
        <f ca="1">ORÇAMENTO!D14</f>
        <v>0</v>
      </c>
      <c r="C14" s="115" t="str">
        <f ca="1">IF(OR($I14&gt;0,$A14=1,$A14=2,$A14=3,$A14=4),"F","")</f>
        <v/>
      </c>
      <c r="D14" s="118" t="str">
        <f ca="1">ORÇAMENTO!O14</f>
        <v>-</v>
      </c>
      <c r="E14" s="171" t="str">
        <f ca="1">ORÇAMENTO.Descricao</f>
        <v>(Sem Código)</v>
      </c>
      <c r="F14" s="172" t="str">
        <f ca="1">IF(RegimeExecucao="Global","",ORÇAMENTO.Unidade)</f>
        <v/>
      </c>
      <c r="G14" s="123" t="str">
        <f ca="1">IF(RegimeExecucao="Global","",ORÇAMENTO!T14)</f>
        <v/>
      </c>
      <c r="H14" s="123" t="str">
        <f ca="1">IF(RegimeExecucao="Global","",ORÇAMENTO!W14)</f>
        <v/>
      </c>
      <c r="I14" s="126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3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6">
        <f ca="1">IF($A14="S",VTOTALBM,IF($A14=0,0,ROUND(SomaAgrupBM,15-13*ORÇAMENTO!$AF$11)))</f>
        <v>0</v>
      </c>
      <c r="Q14" s="381"/>
      <c r="R14" s="382"/>
      <c r="T14" s="118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6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571"/>
      <c r="AB14" s="381"/>
      <c r="AC14" s="515"/>
      <c r="AD14" s="515"/>
      <c r="AE14" s="515"/>
      <c r="AF14" s="515"/>
      <c r="AG14" s="515"/>
      <c r="AH14" s="515"/>
      <c r="AI14" s="515"/>
      <c r="AJ14" s="515"/>
      <c r="AK14" s="515"/>
      <c r="AL14" s="515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ht="13.8" x14ac:dyDescent="0.3">
      <c r="C15" s="115" t="s">
        <v>246</v>
      </c>
      <c r="D15" s="685" t="str">
        <f>"Objeto do CTEF: "&amp;Import.DescLote</f>
        <v xml:space="preserve">Objeto do CTEF: </v>
      </c>
      <c r="E15" s="685"/>
      <c r="F15" s="547"/>
      <c r="G15" s="548"/>
      <c r="H15" s="548" t="s">
        <v>352</v>
      </c>
      <c r="I15" s="549">
        <f>IF(OR(ACOMPANHAMENTO="PLE",TIPOORCAMENTO="Proposto"),0,ORÇAMENTO!$X$15)</f>
        <v>0</v>
      </c>
      <c r="J15" s="384">
        <f ca="1">IF(M$15=0,0,IF(RegimeExecucao="Global",M$15/$I$15*100,0))</f>
        <v>0</v>
      </c>
      <c r="K15" s="384">
        <f ca="1">L15-J15</f>
        <v>0</v>
      </c>
      <c r="L15" s="384">
        <f ca="1">IF(O$15=0,0,IF(RegimeExecucao="Global",O$15/$I$15*100,0))</f>
        <v>0</v>
      </c>
      <c r="M15" s="385">
        <f ca="1">IF(OR(ACOMPANHAMENTO="PLE",TIPOORCAMENTO="Proposto"),0,SUMIF(OFFSET($A15,1,0):$A$32,"S",OFFSET(M15,1,0):M$32))</f>
        <v>0</v>
      </c>
      <c r="N15" s="385">
        <f ca="1">O15-M15</f>
        <v>0</v>
      </c>
      <c r="O15" s="385">
        <f ca="1">IF(OR(ACOMPANHAMENTO="PLE",TIPOORCAMENTO="Proposto"),0,SUMIF(OFFSET($A15,1,0):$A$32,"S",OFFSET(O15,1,0):O$32))</f>
        <v>0</v>
      </c>
      <c r="Q15" s="386"/>
      <c r="R15" s="386"/>
      <c r="T15" s="387"/>
      <c r="U15" s="388"/>
      <c r="V15" s="388"/>
      <c r="W15" s="388"/>
      <c r="X15" s="388"/>
      <c r="Y15" s="388"/>
      <c r="Z15" s="389"/>
      <c r="AB15" s="681" t="str">
        <f ca="1">"Preencher abaixo com a "&amp;CHOOSE(MATCH(RegimeExecucao,{"Unitário","Global"},0),"QUANTIDADE","PORCENTAGEM")&amp;" executada no PERÍODO"</f>
        <v>Preencher abaixo com a PORCENTAGEM executada no PERÍODO</v>
      </c>
      <c r="AC15" s="681"/>
      <c r="AD15" s="681"/>
      <c r="AE15" s="681"/>
      <c r="AF15" s="681"/>
      <c r="AG15" s="681"/>
      <c r="AH15" s="681"/>
      <c r="AI15" s="681"/>
      <c r="AJ15" s="681"/>
      <c r="AK15" s="681"/>
      <c r="AL15" s="681"/>
      <c r="AM15" s="681"/>
    </row>
    <row r="16" spans="1:41" ht="13.8" x14ac:dyDescent="0.3">
      <c r="A16">
        <f ca="1">ORÇAMENTO!C16</f>
        <v>1</v>
      </c>
      <c r="B16">
        <f ca="1">ORÇAMENTO!D16</f>
        <v>16</v>
      </c>
      <c r="C16" s="115" t="str">
        <f t="shared" ref="C16:C31" ca="1" si="1">IF(OR($I16&gt;0,$A16=1,$A16=2,$A16=3,$A16=4),"F","")</f>
        <v>F</v>
      </c>
      <c r="D16" s="118" t="str">
        <f ca="1">ORÇAMENTO!O16</f>
        <v>1.</v>
      </c>
      <c r="E16" s="171" t="str">
        <f t="shared" ref="E16:E31" si="2">ORÇAMENTO.Descricao</f>
        <v>REFORMA - COLÉGIO TABOÃO</v>
      </c>
      <c r="F16" s="172" t="str">
        <f ca="1">IF(RegimeExecucao="Global","",ORÇAMENTO.Unidade)</f>
        <v/>
      </c>
      <c r="G16" s="123" t="str">
        <f ca="1">IF(RegimeExecucao="Global","",ORÇAMENTO!T16)</f>
        <v/>
      </c>
      <c r="H16" s="123" t="str">
        <f ca="1">IF(RegimeExecucao="Global","",ORÇAMENTO!W16)</f>
        <v/>
      </c>
      <c r="I16" s="126">
        <f ca="1">ORÇAMENTO!X16</f>
        <v>99891.45</v>
      </c>
      <c r="J16" s="377">
        <f ca="1">IF($A16="S",IF(CAIXA.Modo,BM.AFAnterior,BM.MEDAnterior),IF(AND(RegimeExecucao="Global",$I16&gt;0,COUNTIF($AB$13:$AM$13,BM.medicao-1)&gt;0),M16/$I16*100,0))</f>
        <v>0</v>
      </c>
      <c r="K16" s="123">
        <f t="shared" ref="K16:K31" ca="1" si="3">L16-J16</f>
        <v>0</v>
      </c>
      <c r="L16" s="378">
        <f ca="1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31" ca="1" si="4">O16-M16</f>
        <v>0</v>
      </c>
      <c r="O16" s="126">
        <f ca="1">IF($A16="S",VTOTALBM,IF($A16=0,0,ROUND(SomaAgrupBM,15-13*ORÇAMENTO!$AF$11)))</f>
        <v>0</v>
      </c>
      <c r="Q16" s="381"/>
      <c r="R16" s="382"/>
      <c r="T16" s="118" t="str">
        <f t="shared" ref="T16:T31" ca="1" si="5">IF($W16&gt;0,$D16,"")</f>
        <v/>
      </c>
      <c r="U16" s="171" t="str">
        <f t="shared" ref="U16:U31" ca="1" si="6">IF($W16&gt;0,$E16,"")</f>
        <v/>
      </c>
      <c r="V16" s="172" t="str">
        <f ca="1">IF(AND($W16&gt;0,RegimeExecucao="Unitário"),$F16,"")</f>
        <v/>
      </c>
      <c r="W16" s="546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31" ca="1" si="7">AO16-O16</f>
        <v>0</v>
      </c>
      <c r="Z16" s="571"/>
      <c r="AB16" s="381"/>
      <c r="AC16" s="515"/>
      <c r="AD16" s="515"/>
      <c r="AE16" s="515"/>
      <c r="AF16" s="515"/>
      <c r="AG16" s="515"/>
      <c r="AH16" s="515"/>
      <c r="AI16" s="515"/>
      <c r="AJ16" s="515"/>
      <c r="AK16" s="515"/>
      <c r="AL16" s="515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ht="13.8" x14ac:dyDescent="0.3">
      <c r="A17">
        <f ca="1">ORÇAMENTO!C17</f>
        <v>2</v>
      </c>
      <c r="B17">
        <f ca="1">ORÇAMENTO!D17</f>
        <v>2</v>
      </c>
      <c r="C17" s="115" t="str">
        <f t="shared" ca="1" si="1"/>
        <v>F</v>
      </c>
      <c r="D17" s="118" t="str">
        <f ca="1">ORÇAMENTO!O17</f>
        <v>1.1.</v>
      </c>
      <c r="E17" s="171" t="str">
        <f t="shared" ca="1" si="2"/>
        <v>(SERVIÇOS PRELIMINARES)</v>
      </c>
      <c r="F17" s="172" t="str">
        <f ca="1">IF(RegimeExecucao="Global","",ORÇAMENTO.Unidade)</f>
        <v/>
      </c>
      <c r="G17" s="123" t="str">
        <f ca="1">IF(RegimeExecucao="Global","",ORÇAMENTO!T17)</f>
        <v/>
      </c>
      <c r="H17" s="123" t="str">
        <f ca="1">IF(RegimeExecucao="Global","",ORÇAMENTO!W17)</f>
        <v/>
      </c>
      <c r="I17" s="126">
        <f ca="1">ORÇAMENTO!X17</f>
        <v>1725.75</v>
      </c>
      <c r="J17" s="377">
        <f ca="1">IF($A17="S",IF(CAIXA.Modo,BM.AFAnterior,BM.MEDAnterior),IF(AND(RegimeExecucao="Global",$I17&gt;0,COUNTIF($AB$13:$AM$13,BM.medicao-1)&gt;0),M17/$I17*100,0))</f>
        <v>0</v>
      </c>
      <c r="K17" s="123">
        <f t="shared" ca="1" si="3"/>
        <v>0</v>
      </c>
      <c r="L17" s="378">
        <f ca="1">IF($A17="S",IF(CAIXA.Modo,BM.AFAcumulado,BM.MEDAcumulado),IF(AND(RegimeExecucao="Global",$I17&gt;0,COUNTIF($AB$13:$AM$13,BM.medicao)&gt;0),O17/$I17*100,0))</f>
        <v>0</v>
      </c>
      <c r="M17" s="379">
        <f ca="1">IF($A17="S",VTOTALBM,IF($A17=0,0,ROUND(SomaAgrupBM,15-13*ORÇAMENTO!$AF$11)))</f>
        <v>0</v>
      </c>
      <c r="N17" s="380">
        <f t="shared" ca="1" si="4"/>
        <v>0</v>
      </c>
      <c r="O17" s="126">
        <f ca="1">IF($A17="S",VTOTALBM,IF($A17=0,0,ROUND(SomaAgrupBM,15-13*ORÇAMENTO!$AF$11)))</f>
        <v>0</v>
      </c>
      <c r="Q17" s="381"/>
      <c r="R17" s="382"/>
      <c r="T17" s="118" t="str">
        <f t="shared" ca="1" si="5"/>
        <v/>
      </c>
      <c r="U17" s="171" t="str">
        <f t="shared" ca="1" si="6"/>
        <v/>
      </c>
      <c r="V17" s="172" t="str">
        <f ca="1">IF(AND($W17&gt;0,RegimeExecucao="Unitário"),$F17,"")</f>
        <v/>
      </c>
      <c r="W17" s="546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7"/>
        <v>0</v>
      </c>
      <c r="Z17" s="571"/>
      <c r="AB17" s="381"/>
      <c r="AC17" s="515"/>
      <c r="AD17" s="515"/>
      <c r="AE17" s="515"/>
      <c r="AF17" s="515"/>
      <c r="AG17" s="515"/>
      <c r="AH17" s="515"/>
      <c r="AI17" s="515"/>
      <c r="AJ17" s="515"/>
      <c r="AK17" s="515"/>
      <c r="AL17" s="515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ht="39.6" x14ac:dyDescent="0.3">
      <c r="A18" t="str">
        <f ca="1">ORÇAMENTO!C18</f>
        <v>S</v>
      </c>
      <c r="B18">
        <f ca="1">ORÇAMENTO!D18</f>
        <v>0</v>
      </c>
      <c r="C18" s="115" t="str">
        <f t="shared" ca="1" si="1"/>
        <v>F</v>
      </c>
      <c r="D18" s="118" t="str">
        <f ca="1">ORÇAMENTO!O18</f>
        <v>1.1.1.</v>
      </c>
      <c r="E18" s="171" t="str">
        <f t="shared" ca="1" si="2"/>
        <v>PORTA DE MADEIRA PARA PINTURA, SEMI-OCA (LEVE OU MÉDIA), 80X210CM, ESPESSURA DE 3,5CM, INCLUSO DOBRADIÇAS - FORNECIMENTO E INSTALAÇÃO. AF_12/2019</v>
      </c>
      <c r="F18" s="172" t="str">
        <f ca="1">IF(RegimeExecucao="Global","",ORÇAMENTO.Unidade)</f>
        <v/>
      </c>
      <c r="G18" s="123" t="str">
        <f ca="1">IF(RegimeExecucao="Global","",ORÇAMENTO!T18)</f>
        <v/>
      </c>
      <c r="H18" s="123" t="str">
        <f ca="1">IF(RegimeExecucao="Global","",ORÇAMENTO!W18)</f>
        <v/>
      </c>
      <c r="I18" s="126">
        <f ca="1">ORÇAMENTO!X18</f>
        <v>1725.75</v>
      </c>
      <c r="J18" s="377">
        <f ca="1">IF($A18="S",IF(CAIXA.Modo,BM.AFAnterior,BM.MEDAnterior),IF(AND(RegimeExecucao="Global",$I18&gt;0,COUNTIF($AB$13:$AM$13,BM.medicao-1)&gt;0),M18/$I18*100,0))</f>
        <v>0</v>
      </c>
      <c r="K18" s="123">
        <f t="shared" ca="1" si="3"/>
        <v>0</v>
      </c>
      <c r="L18" s="378">
        <f ca="1">IF($A18="S",IF(CAIXA.Modo,BM.AFAcumulado,BM.MEDAcumulado),IF(AND(RegimeExecucao="Global",$I18&gt;0,COUNTIF($AB$13:$AM$13,BM.medicao)&gt;0),O18/$I18*100,0))</f>
        <v>0</v>
      </c>
      <c r="M18" s="379">
        <f ca="1">IF($A18="S",VTOTALBM,IF($A18=0,0,ROUND(SomaAgrupBM,15-13*ORÇAMENTO!$AF$11)))</f>
        <v>0</v>
      </c>
      <c r="N18" s="380">
        <f t="shared" ca="1" si="4"/>
        <v>0</v>
      </c>
      <c r="O18" s="126">
        <f ca="1">IF($A18="S",VTOTALBM,IF($A18=0,0,ROUND(SomaAgrupBM,15-13*ORÇAMENTO!$AF$11)))</f>
        <v>0</v>
      </c>
      <c r="Q18" s="381"/>
      <c r="R18" s="382"/>
      <c r="T18" s="118" t="str">
        <f t="shared" ca="1" si="5"/>
        <v/>
      </c>
      <c r="U18" s="171" t="str">
        <f t="shared" ca="1" si="6"/>
        <v/>
      </c>
      <c r="V18" s="172" t="str">
        <f ca="1">IF(AND($W18&gt;0,RegimeExecucao="Unitário"),$F18,"")</f>
        <v/>
      </c>
      <c r="W18" s="546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7"/>
        <v>0</v>
      </c>
      <c r="Z18" s="571"/>
      <c r="AB18" s="381"/>
      <c r="AC18" s="515"/>
      <c r="AD18" s="515"/>
      <c r="AE18" s="515"/>
      <c r="AF18" s="515"/>
      <c r="AG18" s="515"/>
      <c r="AH18" s="515"/>
      <c r="AI18" s="515"/>
      <c r="AJ18" s="515"/>
      <c r="AK18" s="515"/>
      <c r="AL18" s="515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ht="13.8" x14ac:dyDescent="0.3">
      <c r="A19">
        <f ca="1">ORÇAMENTO!C19</f>
        <v>2</v>
      </c>
      <c r="B19">
        <f ca="1">ORÇAMENTO!D19</f>
        <v>10</v>
      </c>
      <c r="C19" s="115" t="str">
        <f t="shared" ca="1" si="1"/>
        <v>F</v>
      </c>
      <c r="D19" s="118" t="str">
        <f ca="1">ORÇAMENTO!O19</f>
        <v>1.2.</v>
      </c>
      <c r="E19" s="171" t="str">
        <f t="shared" si="2"/>
        <v>EMBOÇO, FORRO, LOUÇAS E PORTAS</v>
      </c>
      <c r="F19" s="172" t="str">
        <f ca="1">IF(RegimeExecucao="Global","",ORÇAMENTO.Unidade)</f>
        <v/>
      </c>
      <c r="G19" s="123" t="str">
        <f ca="1">IF(RegimeExecucao="Global","",ORÇAMENTO!T19)</f>
        <v/>
      </c>
      <c r="H19" s="123" t="str">
        <f ca="1">IF(RegimeExecucao="Global","",ORÇAMENTO!W19)</f>
        <v/>
      </c>
      <c r="I19" s="126">
        <f ca="1">ORÇAMENTO!X19</f>
        <v>48670.5</v>
      </c>
      <c r="J19" s="377">
        <f ca="1">IF($A19="S",IF(CAIXA.Modo,BM.AFAnterior,BM.MEDAnterior),IF(AND(RegimeExecucao="Global",$I19&gt;0,COUNTIF($AB$13:$AM$13,BM.medicao-1)&gt;0),M19/$I19*100,0))</f>
        <v>0</v>
      </c>
      <c r="K19" s="123">
        <f t="shared" ca="1" si="3"/>
        <v>0</v>
      </c>
      <c r="L19" s="378">
        <f ca="1">IF($A19="S",IF(CAIXA.Modo,BM.AFAcumulado,BM.MEDAcumulado),IF(AND(RegimeExecucao="Global",$I19&gt;0,COUNTIF($AB$13:$AM$13,BM.medicao)&gt;0),O19/$I19*100,0))</f>
        <v>0</v>
      </c>
      <c r="M19" s="379">
        <f ca="1">IF($A19="S",VTOTALBM,IF($A19=0,0,ROUND(SomaAgrupBM,15-13*ORÇAMENTO!$AF$11)))</f>
        <v>0</v>
      </c>
      <c r="N19" s="380">
        <f t="shared" ca="1" si="4"/>
        <v>0</v>
      </c>
      <c r="O19" s="126">
        <f ca="1">IF($A19="S",VTOTALBM,IF($A19=0,0,ROUND(SomaAgrupBM,15-13*ORÇAMENTO!$AF$11)))</f>
        <v>0</v>
      </c>
      <c r="Q19" s="381"/>
      <c r="R19" s="382"/>
      <c r="T19" s="118" t="str">
        <f t="shared" ca="1" si="5"/>
        <v/>
      </c>
      <c r="U19" s="171" t="str">
        <f t="shared" ca="1" si="6"/>
        <v/>
      </c>
      <c r="V19" s="172" t="str">
        <f ca="1">IF(AND($W19&gt;0,RegimeExecucao="Unitário"),$F19,"")</f>
        <v/>
      </c>
      <c r="W19" s="546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7"/>
        <v>0</v>
      </c>
      <c r="Z19" s="571"/>
      <c r="AB19" s="381"/>
      <c r="AC19" s="515"/>
      <c r="AD19" s="515"/>
      <c r="AE19" s="515"/>
      <c r="AF19" s="515"/>
      <c r="AG19" s="515"/>
      <c r="AH19" s="515"/>
      <c r="AI19" s="515"/>
      <c r="AJ19" s="515"/>
      <c r="AK19" s="515"/>
      <c r="AL19" s="515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39.6" x14ac:dyDescent="0.3">
      <c r="A20" t="str">
        <f ca="1">ORÇAMENTO!C20</f>
        <v>S</v>
      </c>
      <c r="B20">
        <f ca="1">ORÇAMENTO!D20</f>
        <v>0</v>
      </c>
      <c r="C20" s="115" t="str">
        <f t="shared" ca="1" si="1"/>
        <v>F</v>
      </c>
      <c r="D20" s="118" t="str">
        <f ca="1">ORÇAMENTO!O20</f>
        <v>1.2.1.</v>
      </c>
      <c r="E20" s="171" t="str">
        <f t="shared" ca="1" si="2"/>
        <v>FORRO EM RÉGUAS DE PVC, FRISADO, PARA AMBIENTES COMERCIAIS, INCLUSIVE ESTRUTURA BIDIRECIONAL DE FIXAÇÃO. AF_08/2023_PS</v>
      </c>
      <c r="F20" s="172" t="str">
        <f ca="1">IF(RegimeExecucao="Global","",ORÇAMENTO.Unidade)</f>
        <v/>
      </c>
      <c r="G20" s="123" t="str">
        <f ca="1">IF(RegimeExecucao="Global","",ORÇAMENTO!T20)</f>
        <v/>
      </c>
      <c r="H20" s="123" t="str">
        <f ca="1">IF(RegimeExecucao="Global","",ORÇAMENTO!W20)</f>
        <v/>
      </c>
      <c r="I20" s="126">
        <f ca="1">ORÇAMENTO!X20</f>
        <v>16024.69</v>
      </c>
      <c r="J20" s="377">
        <f ca="1">IF($A20="S",IF(CAIXA.Modo,BM.AFAnterior,BM.MEDAnterior),IF(AND(RegimeExecucao="Global",$I20&gt;0,COUNTIF($AB$13:$AM$13,BM.medicao-1)&gt;0),M20/$I20*100,0))</f>
        <v>0</v>
      </c>
      <c r="K20" s="123">
        <f t="shared" ca="1" si="3"/>
        <v>0</v>
      </c>
      <c r="L20" s="378">
        <f ca="1">IF($A20="S",IF(CAIXA.Modo,BM.AFAcumulado,BM.MEDAcumulado),IF(AND(RegimeExecucao="Global",$I20&gt;0,COUNTIF($AB$13:$AM$13,BM.medicao)&gt;0),O20/$I20*100,0))</f>
        <v>0</v>
      </c>
      <c r="M20" s="379">
        <f ca="1">IF($A20="S",VTOTALBM,IF($A20=0,0,ROUND(SomaAgrupBM,15-13*ORÇAMENTO!$AF$11)))</f>
        <v>0</v>
      </c>
      <c r="N20" s="380">
        <f t="shared" ca="1" si="4"/>
        <v>0</v>
      </c>
      <c r="O20" s="126">
        <f ca="1">IF($A20="S",VTOTALBM,IF($A20=0,0,ROUND(SomaAgrupBM,15-13*ORÇAMENTO!$AF$11)))</f>
        <v>0</v>
      </c>
      <c r="Q20" s="381"/>
      <c r="R20" s="382"/>
      <c r="T20" s="118" t="str">
        <f t="shared" ca="1" si="5"/>
        <v/>
      </c>
      <c r="U20" s="171" t="str">
        <f t="shared" ca="1" si="6"/>
        <v/>
      </c>
      <c r="V20" s="172" t="str">
        <f ca="1">IF(AND($W20&gt;0,RegimeExecucao="Unitário"),$F20,"")</f>
        <v/>
      </c>
      <c r="W20" s="546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7"/>
        <v>0</v>
      </c>
      <c r="Z20" s="571"/>
      <c r="AB20" s="381"/>
      <c r="AC20" s="515"/>
      <c r="AD20" s="515"/>
      <c r="AE20" s="515"/>
      <c r="AF20" s="515"/>
      <c r="AG20" s="515"/>
      <c r="AH20" s="515"/>
      <c r="AI20" s="515"/>
      <c r="AJ20" s="515"/>
      <c r="AK20" s="515"/>
      <c r="AL20" s="515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ht="26.4" x14ac:dyDescent="0.3">
      <c r="A21" t="str">
        <f ca="1">ORÇAMENTO!C21</f>
        <v>S</v>
      </c>
      <c r="B21">
        <f ca="1">ORÇAMENTO!D21</f>
        <v>0</v>
      </c>
      <c r="C21" s="115" t="str">
        <f ca="1">IF(OR($I21&gt;0,$A21=1,$A21=2,$A21=3,$A21=4),"F","")</f>
        <v>F</v>
      </c>
      <c r="D21" s="118" t="str">
        <f ca="1">ORÇAMENTO!O21</f>
        <v>1.2.2.</v>
      </c>
      <c r="E21" s="171" t="str">
        <f ca="1">ORÇAMENTO.Descricao</f>
        <v>REMOÇÃO DE FORROS DE DRYWALL, PVC E FIBROMINERAL, DE FORMA MANUAL, SEM REAPROVEITAMENTO. AF_09/2023</v>
      </c>
      <c r="F21" s="172" t="str">
        <f ca="1">IF(RegimeExecucao="Global","",ORÇAMENTO.Unidade)</f>
        <v/>
      </c>
      <c r="G21" s="123" t="str">
        <f ca="1">IF(RegimeExecucao="Global","",ORÇAMENTO!T21)</f>
        <v/>
      </c>
      <c r="H21" s="123" t="str">
        <f ca="1">IF(RegimeExecucao="Global","",ORÇAMENTO!W21)</f>
        <v/>
      </c>
      <c r="I21" s="126">
        <f ca="1">ORÇAMENTO!X21</f>
        <v>441.96</v>
      </c>
      <c r="J21" s="377">
        <f ca="1">IF($A21="S",IF(CAIXA.Modo,BM.AFAnterior,BM.MEDAnterior),IF(AND(RegimeExecucao="Global",$I21&gt;0,COUNTIF($AB$13:$AM$13,BM.medicao-1)&gt;0),M21/$I21*100,0))</f>
        <v>0</v>
      </c>
      <c r="K21" s="123">
        <f ca="1">L21-J21</f>
        <v>0</v>
      </c>
      <c r="L21" s="378">
        <f ca="1">IF($A21="S",IF(CAIXA.Modo,BM.AFAcumulado,BM.MEDAcumulado),IF(AND(RegimeExecucao="Global",$I21&gt;0,COUNTIF($AB$13:$AM$13,BM.medicao)&gt;0),O21/$I21*100,0))</f>
        <v>0</v>
      </c>
      <c r="M21" s="379">
        <f ca="1">IF($A21="S",VTOTALBM,IF($A21=0,0,ROUND(SomaAgrupBM,15-13*ORÇAMENTO!$AF$11)))</f>
        <v>0</v>
      </c>
      <c r="N21" s="380">
        <f ca="1">O21-M21</f>
        <v>0</v>
      </c>
      <c r="O21" s="126">
        <f ca="1">IF($A21="S",VTOTALBM,IF($A21=0,0,ROUND(SomaAgrupBM,15-13*ORÇAMENTO!$AF$11)))</f>
        <v>0</v>
      </c>
      <c r="Q21" s="381"/>
      <c r="R21" s="382"/>
      <c r="T21" s="118" t="str">
        <f ca="1">IF($W21&gt;0,$D21,"")</f>
        <v/>
      </c>
      <c r="U21" s="171" t="str">
        <f ca="1">IF($W21&gt;0,$E21,"")</f>
        <v/>
      </c>
      <c r="V21" s="172" t="str">
        <f ca="1">IF(AND($W21&gt;0,RegimeExecucao="Unitário"),$F21,"")</f>
        <v/>
      </c>
      <c r="W21" s="546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ca="1">AO21-O21</f>
        <v>0</v>
      </c>
      <c r="Z21" s="571"/>
      <c r="AB21" s="381"/>
      <c r="AC21" s="515"/>
      <c r="AD21" s="515"/>
      <c r="AE21" s="515"/>
      <c r="AF21" s="515"/>
      <c r="AG21" s="515"/>
      <c r="AH21" s="515"/>
      <c r="AI21" s="515"/>
      <c r="AJ21" s="515"/>
      <c r="AK21" s="515"/>
      <c r="AL21" s="515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ht="39.6" x14ac:dyDescent="0.3">
      <c r="A22" t="str">
        <f ca="1">ORÇAMENTO!C22</f>
        <v>S</v>
      </c>
      <c r="B22">
        <f ca="1">ORÇAMENTO!D22</f>
        <v>0</v>
      </c>
      <c r="C22" s="115" t="str">
        <f t="shared" ca="1" si="1"/>
        <v>F</v>
      </c>
      <c r="D22" s="118" t="str">
        <f ca="1">ORÇAMENTO!O22</f>
        <v>1.2.3.</v>
      </c>
      <c r="E22" s="171" t="str">
        <f t="shared" ca="1" si="2"/>
        <v>PORTA DE MADEIRA PARA PINTURA, SEMI-OCA (LEVE OU MÉDIA), 80X210CM, ESPESSURA DE 3,5CM, INCLUSO DOBRADIÇAS - FORNECIMENTO E INSTALAÇÃO. AF_12/2019</v>
      </c>
      <c r="F22" s="172" t="str">
        <f ca="1">IF(RegimeExecucao="Global","",ORÇAMENTO.Unidade)</f>
        <v/>
      </c>
      <c r="G22" s="123" t="str">
        <f ca="1">IF(RegimeExecucao="Global","",ORÇAMENTO!T22)</f>
        <v/>
      </c>
      <c r="H22" s="123" t="str">
        <f ca="1">IF(RegimeExecucao="Global","",ORÇAMENTO!W22)</f>
        <v/>
      </c>
      <c r="I22" s="126">
        <f ca="1">ORÇAMENTO!X22</f>
        <v>10124.4</v>
      </c>
      <c r="J22" s="377">
        <f ca="1">IF($A22="S",IF(CAIXA.Modo,BM.AFAnterior,BM.MEDAnterior),IF(AND(RegimeExecucao="Global",$I22&gt;0,COUNTIF($AB$13:$AM$13,BM.medicao-1)&gt;0),M22/$I22*100,0))</f>
        <v>0</v>
      </c>
      <c r="K22" s="123">
        <f t="shared" ca="1" si="3"/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ca="1" si="4"/>
        <v>0</v>
      </c>
      <c r="O22" s="126">
        <f ca="1">IF($A22="S",VTOTALBM,IF($A22=0,0,ROUND(SomaAgrupBM,15-13*ORÇAMENTO!$AF$11)))</f>
        <v>0</v>
      </c>
      <c r="Q22" s="381"/>
      <c r="R22" s="382"/>
      <c r="T22" s="118" t="str">
        <f t="shared" ca="1" si="5"/>
        <v/>
      </c>
      <c r="U22" s="171" t="str">
        <f t="shared" ca="1" si="6"/>
        <v/>
      </c>
      <c r="V22" s="172" t="str">
        <f ca="1">IF(AND($W22&gt;0,RegimeExecucao="Unitário"),$F22,"")</f>
        <v/>
      </c>
      <c r="W22" s="546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ca="1" si="7"/>
        <v>0</v>
      </c>
      <c r="Z22" s="571"/>
      <c r="AB22" s="381"/>
      <c r="AC22" s="515"/>
      <c r="AD22" s="515"/>
      <c r="AE22" s="515"/>
      <c r="AF22" s="515"/>
      <c r="AG22" s="515"/>
      <c r="AH22" s="515"/>
      <c r="AI22" s="515"/>
      <c r="AJ22" s="515"/>
      <c r="AK22" s="515"/>
      <c r="AL22" s="515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26.4" x14ac:dyDescent="0.3">
      <c r="A23" t="str">
        <f ca="1">ORÇAMENTO!C23</f>
        <v>S</v>
      </c>
      <c r="B23">
        <f ca="1">ORÇAMENTO!D23</f>
        <v>0</v>
      </c>
      <c r="C23" s="115" t="str">
        <f t="shared" ca="1" si="1"/>
        <v>F</v>
      </c>
      <c r="D23" s="118" t="str">
        <f ca="1">ORÇAMENTO!O23</f>
        <v>1.2.4.</v>
      </c>
      <c r="E23" s="171" t="str">
        <f t="shared" ca="1" si="2"/>
        <v>PINTURA VERNIZ (INCOLOR) ALQUÍDICO EM MADEIRA, USO INTERNO E EXTERNO, 1 DEMÃO. AF_01/2021</v>
      </c>
      <c r="F23" s="172" t="str">
        <f ca="1">IF(RegimeExecucao="Global","",ORÇAMENTO.Unidade)</f>
        <v/>
      </c>
      <c r="G23" s="123" t="str">
        <f ca="1">IF(RegimeExecucao="Global","",ORÇAMENTO!T23)</f>
        <v/>
      </c>
      <c r="H23" s="123" t="str">
        <f ca="1">IF(RegimeExecucao="Global","",ORÇAMENTO!W23)</f>
        <v/>
      </c>
      <c r="I23" s="126">
        <f ca="1">ORÇAMENTO!X23</f>
        <v>486.02</v>
      </c>
      <c r="J23" s="377">
        <f ca="1">IF($A23="S",IF(CAIXA.Modo,BM.AFAnterior,BM.MEDAnterior),IF(AND(RegimeExecucao="Global",$I23&gt;0,COUNTIF($AB$13:$AM$13,BM.medicao-1)&gt;0),M23/$I23*100,0))</f>
        <v>0</v>
      </c>
      <c r="K23" s="123">
        <f t="shared" ca="1" si="3"/>
        <v>0</v>
      </c>
      <c r="L23" s="378">
        <f ca="1">IF($A23="S",IF(CAIXA.Modo,BM.AFAcumulado,BM.MEDAcumulado),IF(AND(RegimeExecucao="Global",$I23&gt;0,COUNTIF($AB$13:$AM$13,BM.medicao)&gt;0),O23/$I23*100,0))</f>
        <v>0</v>
      </c>
      <c r="M23" s="379">
        <f ca="1">IF($A23="S",VTOTALBM,IF($A23=0,0,ROUND(SomaAgrupBM,15-13*ORÇAMENTO!$AF$11)))</f>
        <v>0</v>
      </c>
      <c r="N23" s="380">
        <f t="shared" ca="1" si="4"/>
        <v>0</v>
      </c>
      <c r="O23" s="126">
        <f ca="1">IF($A23="S",VTOTALBM,IF($A23=0,0,ROUND(SomaAgrupBM,15-13*ORÇAMENTO!$AF$11)))</f>
        <v>0</v>
      </c>
      <c r="Q23" s="381"/>
      <c r="R23" s="382"/>
      <c r="T23" s="118" t="str">
        <f t="shared" ca="1" si="5"/>
        <v/>
      </c>
      <c r="U23" s="171" t="str">
        <f t="shared" ca="1" si="6"/>
        <v/>
      </c>
      <c r="V23" s="172" t="str">
        <f ca="1">IF(AND($W23&gt;0,RegimeExecucao="Unitário"),$F23,"")</f>
        <v/>
      </c>
      <c r="W23" s="546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7"/>
        <v>0</v>
      </c>
      <c r="Z23" s="571"/>
      <c r="AB23" s="381"/>
      <c r="AC23" s="515"/>
      <c r="AD23" s="515"/>
      <c r="AE23" s="515"/>
      <c r="AF23" s="515"/>
      <c r="AG23" s="515"/>
      <c r="AH23" s="515"/>
      <c r="AI23" s="515"/>
      <c r="AJ23" s="515"/>
      <c r="AK23" s="515"/>
      <c r="AL23" s="515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ht="39.6" x14ac:dyDescent="0.3">
      <c r="A24" t="str">
        <f ca="1">ORÇAMENTO!C24</f>
        <v>S</v>
      </c>
      <c r="B24">
        <f ca="1">ORÇAMENTO!D24</f>
        <v>0</v>
      </c>
      <c r="C24" s="115" t="str">
        <f t="shared" ca="1" si="1"/>
        <v>F</v>
      </c>
      <c r="D24" s="118" t="str">
        <f ca="1">ORÇAMENTO!O24</f>
        <v>1.2.5.</v>
      </c>
      <c r="E24" s="171" t="str">
        <f t="shared" ca="1" si="2"/>
        <v>PORTA DE ALUMÍNIO DE ABRIR COM LAMBRI, COM GUARNIÇÃO, FIXAÇÃO COM PARAFUSOS - FORNECIMENTO E INSTALAÇÃO. AF_12/2019</v>
      </c>
      <c r="F24" s="172" t="str">
        <f ca="1">IF(RegimeExecucao="Global","",ORÇAMENTO.Unidade)</f>
        <v/>
      </c>
      <c r="G24" s="123" t="str">
        <f ca="1">IF(RegimeExecucao="Global","",ORÇAMENTO!T24)</f>
        <v/>
      </c>
      <c r="H24" s="123" t="str">
        <f ca="1">IF(RegimeExecucao="Global","",ORÇAMENTO!W24)</f>
        <v/>
      </c>
      <c r="I24" s="126">
        <f ca="1">ORÇAMENTO!X24</f>
        <v>10648.11</v>
      </c>
      <c r="J24" s="377">
        <f ca="1">IF($A24="S",IF(CAIXA.Modo,BM.AFAnterior,BM.MEDAnterior),IF(AND(RegimeExecucao="Global",$I24&gt;0,COUNTIF($AB$13:$AM$13,BM.medicao-1)&gt;0),M24/$I24*100,0))</f>
        <v>0</v>
      </c>
      <c r="K24" s="123">
        <f t="shared" ca="1" si="3"/>
        <v>0</v>
      </c>
      <c r="L24" s="378">
        <f ca="1">IF($A24="S",IF(CAIXA.Modo,BM.AFAcumulado,BM.MEDAcumulado),IF(AND(RegimeExecucao="Global",$I24&gt;0,COUNTIF($AB$13:$AM$13,BM.medicao)&gt;0),O24/$I24*100,0))</f>
        <v>0</v>
      </c>
      <c r="M24" s="379">
        <f ca="1">IF($A24="S",VTOTALBM,IF($A24=0,0,ROUND(SomaAgrupBM,15-13*ORÇAMENTO!$AF$11)))</f>
        <v>0</v>
      </c>
      <c r="N24" s="380">
        <f t="shared" ca="1" si="4"/>
        <v>0</v>
      </c>
      <c r="O24" s="126">
        <f ca="1">IF($A24="S",VTOTALBM,IF($A24=0,0,ROUND(SomaAgrupBM,15-13*ORÇAMENTO!$AF$11)))</f>
        <v>0</v>
      </c>
      <c r="Q24" s="381"/>
      <c r="R24" s="382"/>
      <c r="T24" s="118" t="str">
        <f t="shared" ca="1" si="5"/>
        <v/>
      </c>
      <c r="U24" s="171" t="str">
        <f t="shared" ca="1" si="6"/>
        <v/>
      </c>
      <c r="V24" s="172" t="str">
        <f ca="1">IF(AND($W24&gt;0,RegimeExecucao="Unitário"),$F24,"")</f>
        <v/>
      </c>
      <c r="W24" s="546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t="shared" ca="1" si="7"/>
        <v>0</v>
      </c>
      <c r="Z24" s="571"/>
      <c r="AB24" s="381"/>
      <c r="AC24" s="515"/>
      <c r="AD24" s="515"/>
      <c r="AE24" s="515"/>
      <c r="AF24" s="515"/>
      <c r="AG24" s="515"/>
      <c r="AH24" s="515"/>
      <c r="AI24" s="515"/>
      <c r="AJ24" s="515"/>
      <c r="AK24" s="515"/>
      <c r="AL24" s="515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ht="26.4" x14ac:dyDescent="0.3">
      <c r="A25" t="str">
        <f ca="1">ORÇAMENTO!C25</f>
        <v>S</v>
      </c>
      <c r="B25">
        <f ca="1">ORÇAMENTO!D25</f>
        <v>0</v>
      </c>
      <c r="C25" s="115" t="str">
        <f t="shared" ca="1" si="1"/>
        <v>F</v>
      </c>
      <c r="D25" s="118" t="str">
        <f ca="1">ORÇAMENTO!O25</f>
        <v>1.2.6.</v>
      </c>
      <c r="E25" s="171" t="str">
        <f t="shared" ca="1" si="2"/>
        <v>VASO SANITÁRIO SIFONADO COM CAIXA ACOPLADA LOUÇA BRANCA - FORNECIMENTO E INSTALAÇÃO. AF_01/2020</v>
      </c>
      <c r="F25" s="172" t="str">
        <f ca="1">IF(RegimeExecucao="Global","",ORÇAMENTO.Unidade)</f>
        <v/>
      </c>
      <c r="G25" s="123" t="str">
        <f ca="1">IF(RegimeExecucao="Global","",ORÇAMENTO!T25)</f>
        <v/>
      </c>
      <c r="H25" s="123" t="str">
        <f ca="1">IF(RegimeExecucao="Global","",ORÇAMENTO!W25)</f>
        <v/>
      </c>
      <c r="I25" s="126">
        <f ca="1">ORÇAMENTO!X25</f>
        <v>2400.2800000000002</v>
      </c>
      <c r="J25" s="377">
        <f ca="1">IF($A25="S",IF(CAIXA.Modo,BM.AFAnterior,BM.MEDAnterior),IF(AND(RegimeExecucao="Global",$I25&gt;0,COUNTIF($AB$13:$AM$13,BM.medicao-1)&gt;0),M25/$I25*100,0))</f>
        <v>0</v>
      </c>
      <c r="K25" s="123">
        <f t="shared" ca="1" si="3"/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t="shared" ca="1" si="4"/>
        <v>0</v>
      </c>
      <c r="O25" s="126">
        <f ca="1">IF($A25="S",VTOTALBM,IF($A25=0,0,ROUND(SomaAgrupBM,15-13*ORÇAMENTO!$AF$11)))</f>
        <v>0</v>
      </c>
      <c r="Q25" s="381"/>
      <c r="R25" s="382"/>
      <c r="T25" s="118" t="str">
        <f t="shared" ca="1" si="5"/>
        <v/>
      </c>
      <c r="U25" s="171" t="str">
        <f t="shared" ca="1" si="6"/>
        <v/>
      </c>
      <c r="V25" s="172" t="str">
        <f ca="1">IF(AND($W25&gt;0,RegimeExecucao="Unitário"),$F25,"")</f>
        <v/>
      </c>
      <c r="W25" s="546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t="shared" ca="1" si="7"/>
        <v>0</v>
      </c>
      <c r="Z25" s="571"/>
      <c r="AB25" s="381"/>
      <c r="AC25" s="515"/>
      <c r="AD25" s="515"/>
      <c r="AE25" s="515"/>
      <c r="AF25" s="515"/>
      <c r="AG25" s="515"/>
      <c r="AH25" s="515"/>
      <c r="AI25" s="515"/>
      <c r="AJ25" s="515"/>
      <c r="AK25" s="515"/>
      <c r="AL25" s="515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39.6" x14ac:dyDescent="0.3">
      <c r="A26" t="str">
        <f ca="1">ORÇAMENTO!C26</f>
        <v>S</v>
      </c>
      <c r="B26">
        <f ca="1">ORÇAMENTO!D26</f>
        <v>0</v>
      </c>
      <c r="C26" s="115" t="str">
        <f t="shared" ca="1" si="1"/>
        <v>F</v>
      </c>
      <c r="D26" s="118" t="str">
        <f ca="1">ORÇAMENTO!O26</f>
        <v>1.2.7.</v>
      </c>
      <c r="E26" s="171" t="str">
        <f t="shared" ca="1" si="2"/>
        <v>EMBOÇO OU MASSA ÚNICA EM ARGAMASSA TRAÇO 1:2:8, PREPARO MANUAL, APLICADA MANUALMENTE EM PANOS DE FACHADA COM PRESENÇA DE VÃOS, ESPESSURA DE 25 MM. AF_08/2022</v>
      </c>
      <c r="F26" s="172" t="str">
        <f ca="1">IF(RegimeExecucao="Global","",ORÇAMENTO.Unidade)</f>
        <v/>
      </c>
      <c r="G26" s="123" t="str">
        <f ca="1">IF(RegimeExecucao="Global","",ORÇAMENTO!T26)</f>
        <v/>
      </c>
      <c r="H26" s="123" t="str">
        <f ca="1">IF(RegimeExecucao="Global","",ORÇAMENTO!W26)</f>
        <v/>
      </c>
      <c r="I26" s="126">
        <f ca="1">ORÇAMENTO!X26</f>
        <v>6591.6</v>
      </c>
      <c r="J26" s="377">
        <f ca="1">IF($A26="S",IF(CAIXA.Modo,BM.AFAnterior,BM.MEDAnterior),IF(AND(RegimeExecucao="Global",$I26&gt;0,COUNTIF($AB$13:$AM$13,BM.medicao-1)&gt;0),M26/$I26*100,0))</f>
        <v>0</v>
      </c>
      <c r="K26" s="123">
        <f t="shared" ca="1" si="3"/>
        <v>0</v>
      </c>
      <c r="L26" s="378">
        <f ca="1">IF($A26="S",IF(CAIXA.Modo,BM.AFAcumulado,BM.MEDAcumulado),IF(AND(RegimeExecucao="Global",$I26&gt;0,COUNTIF($AB$13:$AM$13,BM.medicao)&gt;0),O26/$I26*100,0))</f>
        <v>0</v>
      </c>
      <c r="M26" s="379">
        <f ca="1">IF($A26="S",VTOTALBM,IF($A26=0,0,ROUND(SomaAgrupBM,15-13*ORÇAMENTO!$AF$11)))</f>
        <v>0</v>
      </c>
      <c r="N26" s="380">
        <f t="shared" ca="1" si="4"/>
        <v>0</v>
      </c>
      <c r="O26" s="126">
        <f ca="1">IF($A26="S",VTOTALBM,IF($A26=0,0,ROUND(SomaAgrupBM,15-13*ORÇAMENTO!$AF$11)))</f>
        <v>0</v>
      </c>
      <c r="Q26" s="381"/>
      <c r="R26" s="382"/>
      <c r="T26" s="118" t="str">
        <f t="shared" ca="1" si="5"/>
        <v/>
      </c>
      <c r="U26" s="171" t="str">
        <f t="shared" ca="1" si="6"/>
        <v/>
      </c>
      <c r="V26" s="172" t="str">
        <f ca="1">IF(AND($W26&gt;0,RegimeExecucao="Unitário"),$F26,"")</f>
        <v/>
      </c>
      <c r="W26" s="546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7"/>
        <v>0</v>
      </c>
      <c r="Z26" s="571"/>
      <c r="AB26" s="381"/>
      <c r="AC26" s="515"/>
      <c r="AD26" s="515"/>
      <c r="AE26" s="515"/>
      <c r="AF26" s="515"/>
      <c r="AG26" s="515"/>
      <c r="AH26" s="515"/>
      <c r="AI26" s="515"/>
      <c r="AJ26" s="515"/>
      <c r="AK26" s="515"/>
      <c r="AL26" s="515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26.4" x14ac:dyDescent="0.3">
      <c r="A27" t="str">
        <f ca="1">ORÇAMENTO!C27</f>
        <v>S</v>
      </c>
      <c r="B27">
        <f ca="1">ORÇAMENTO!D27</f>
        <v>0</v>
      </c>
      <c r="C27" s="115" t="str">
        <f t="shared" ca="1" si="1"/>
        <v>F</v>
      </c>
      <c r="D27" s="118" t="str">
        <f ca="1">ORÇAMENTO!O27</f>
        <v>1.2.8.</v>
      </c>
      <c r="E27" s="171" t="str">
        <f t="shared" ca="1" si="2"/>
        <v>LUMINÁRIA TIPO PLAFON CIRCULAR, DE SOBREPOR, COM LED DE 12/13 W - FORNECIMENTO E INSTALAÇÃO. AF_09/2024</v>
      </c>
      <c r="F27" s="172" t="str">
        <f ca="1">IF(RegimeExecucao="Global","",ORÇAMENTO.Unidade)</f>
        <v/>
      </c>
      <c r="G27" s="123" t="str">
        <f ca="1">IF(RegimeExecucao="Global","",ORÇAMENTO!T27)</f>
        <v/>
      </c>
      <c r="H27" s="123" t="str">
        <f ca="1">IF(RegimeExecucao="Global","",ORÇAMENTO!W27)</f>
        <v/>
      </c>
      <c r="I27" s="126">
        <f ca="1">ORÇAMENTO!X27</f>
        <v>1495.68</v>
      </c>
      <c r="J27" s="377">
        <f ca="1">IF($A27="S",IF(CAIXA.Modo,BM.AFAnterior,BM.MEDAnterior),IF(AND(RegimeExecucao="Global",$I27&gt;0,COUNTIF($AB$13:$AM$13,BM.medicao-1)&gt;0),M27/$I27*100,0))</f>
        <v>0</v>
      </c>
      <c r="K27" s="123">
        <f t="shared" ca="1" si="3"/>
        <v>0</v>
      </c>
      <c r="L27" s="378">
        <f ca="1">IF($A27="S",IF(CAIXA.Modo,BM.AFAcumulado,BM.MEDAcumulado),IF(AND(RegimeExecucao="Global",$I27&gt;0,COUNTIF($AB$13:$AM$13,BM.medicao)&gt;0),O27/$I27*100,0))</f>
        <v>0</v>
      </c>
      <c r="M27" s="379">
        <f ca="1">IF($A27="S",VTOTALBM,IF($A27=0,0,ROUND(SomaAgrupBM,15-13*ORÇAMENTO!$AF$11)))</f>
        <v>0</v>
      </c>
      <c r="N27" s="380">
        <f t="shared" ca="1" si="4"/>
        <v>0</v>
      </c>
      <c r="O27" s="126">
        <f ca="1">IF($A27="S",VTOTALBM,IF($A27=0,0,ROUND(SomaAgrupBM,15-13*ORÇAMENTO!$AF$11)))</f>
        <v>0</v>
      </c>
      <c r="Q27" s="381"/>
      <c r="R27" s="382"/>
      <c r="T27" s="118" t="str">
        <f t="shared" ca="1" si="5"/>
        <v/>
      </c>
      <c r="U27" s="171" t="str">
        <f t="shared" ca="1" si="6"/>
        <v/>
      </c>
      <c r="V27" s="172" t="str">
        <f ca="1">IF(AND($W27&gt;0,RegimeExecucao="Unitário"),$F27,"")</f>
        <v/>
      </c>
      <c r="W27" s="546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7"/>
        <v>0</v>
      </c>
      <c r="Z27" s="571"/>
      <c r="AB27" s="381"/>
      <c r="AC27" s="515"/>
      <c r="AD27" s="515"/>
      <c r="AE27" s="515"/>
      <c r="AF27" s="515"/>
      <c r="AG27" s="515"/>
      <c r="AH27" s="515"/>
      <c r="AI27" s="515"/>
      <c r="AJ27" s="515"/>
      <c r="AK27" s="515"/>
      <c r="AL27" s="515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ht="26.4" x14ac:dyDescent="0.3">
      <c r="A28" t="str">
        <f ca="1">ORÇAMENTO!C28</f>
        <v>S</v>
      </c>
      <c r="B28">
        <f ca="1">ORÇAMENTO!D28</f>
        <v>0</v>
      </c>
      <c r="C28" s="115" t="str">
        <f ca="1">IF(OR($I28&gt;0,$A28=1,$A28=2,$A28=3,$A28=4),"F","")</f>
        <v>F</v>
      </c>
      <c r="D28" s="118" t="str">
        <f ca="1">ORÇAMENTO!O28</f>
        <v>1.2.9.</v>
      </c>
      <c r="E28" s="171" t="str">
        <f ca="1">ORÇAMENTO.Descricao</f>
        <v>CHUVEIRO ELÉTRICO COMUM CORPO PLÁSTICO, TIPO DUCHA - FORNECIMENTO E INSTALAÇÃO. AF_01/2020</v>
      </c>
      <c r="F28" s="172" t="str">
        <f ca="1">IF(RegimeExecucao="Global","",ORÇAMENTO.Unidade)</f>
        <v/>
      </c>
      <c r="G28" s="123" t="str">
        <f ca="1">IF(RegimeExecucao="Global","",ORÇAMENTO!T28)</f>
        <v/>
      </c>
      <c r="H28" s="123" t="str">
        <f ca="1">IF(RegimeExecucao="Global","",ORÇAMENTO!W28)</f>
        <v/>
      </c>
      <c r="I28" s="126">
        <f ca="1">ORÇAMENTO!X28</f>
        <v>457.76</v>
      </c>
      <c r="J28" s="377">
        <f ca="1">IF($A28="S",IF(CAIXA.Modo,BM.AFAnterior,BM.MEDAnterior),IF(AND(RegimeExecucao="Global",$I28&gt;0,COUNTIF($AB$13:$AM$13,BM.medicao-1)&gt;0),M28/$I28*100,0))</f>
        <v>0</v>
      </c>
      <c r="K28" s="123">
        <f ca="1">L28-J28</f>
        <v>0</v>
      </c>
      <c r="L28" s="378">
        <f ca="1">IF($A28="S",IF(CAIXA.Modo,BM.AFAcumulado,BM.MEDAcumulado),IF(AND(RegimeExecucao="Global",$I28&gt;0,COUNTIF($AB$13:$AM$13,BM.medicao)&gt;0),O28/$I28*100,0))</f>
        <v>0</v>
      </c>
      <c r="M28" s="379">
        <f ca="1">IF($A28="S",VTOTALBM,IF($A28=0,0,ROUND(SomaAgrupBM,15-13*ORÇAMENTO!$AF$11)))</f>
        <v>0</v>
      </c>
      <c r="N28" s="380">
        <f ca="1">O28-M28</f>
        <v>0</v>
      </c>
      <c r="O28" s="126">
        <f ca="1">IF($A28="S",VTOTALBM,IF($A28=0,0,ROUND(SomaAgrupBM,15-13*ORÇAMENTO!$AF$11)))</f>
        <v>0</v>
      </c>
      <c r="Q28" s="381"/>
      <c r="R28" s="382"/>
      <c r="T28" s="118" t="str">
        <f ca="1">IF($W28&gt;0,$D28,"")</f>
        <v/>
      </c>
      <c r="U28" s="171" t="str">
        <f ca="1">IF($W28&gt;0,$E28,"")</f>
        <v/>
      </c>
      <c r="V28" s="172" t="str">
        <f ca="1">IF(AND($W28&gt;0,RegimeExecucao="Unitário"),$F28,"")</f>
        <v/>
      </c>
      <c r="W28" s="546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ca="1">AO28-O28</f>
        <v>0</v>
      </c>
      <c r="Z28" s="571"/>
      <c r="AB28" s="381"/>
      <c r="AC28" s="515"/>
      <c r="AD28" s="515"/>
      <c r="AE28" s="515"/>
      <c r="AF28" s="515"/>
      <c r="AG28" s="515"/>
      <c r="AH28" s="515"/>
      <c r="AI28" s="515"/>
      <c r="AJ28" s="515"/>
      <c r="AK28" s="515"/>
      <c r="AL28" s="515"/>
      <c r="AM28" s="382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ht="13.8" x14ac:dyDescent="0.3">
      <c r="A29">
        <f ca="1">ORÇAMENTO!C29</f>
        <v>2</v>
      </c>
      <c r="B29">
        <f ca="1">ORÇAMENTO!D29</f>
        <v>3</v>
      </c>
      <c r="C29" s="115" t="str">
        <f t="shared" ca="1" si="1"/>
        <v>F</v>
      </c>
      <c r="D29" s="118" t="str">
        <f ca="1">ORÇAMENTO!O29</f>
        <v>1.3.</v>
      </c>
      <c r="E29" s="171" t="str">
        <f t="shared" si="2"/>
        <v>PINTURA</v>
      </c>
      <c r="F29" s="172" t="str">
        <f ca="1">IF(RegimeExecucao="Global","",ORÇAMENTO.Unidade)</f>
        <v/>
      </c>
      <c r="G29" s="123" t="str">
        <f ca="1">IF(RegimeExecucao="Global","",ORÇAMENTO!T29)</f>
        <v/>
      </c>
      <c r="H29" s="123" t="str">
        <f ca="1">IF(RegimeExecucao="Global","",ORÇAMENTO!W29)</f>
        <v/>
      </c>
      <c r="I29" s="126">
        <f ca="1">ORÇAMENTO!X29</f>
        <v>49495.199999999997</v>
      </c>
      <c r="J29" s="377">
        <f ca="1">IF($A29="S",IF(CAIXA.Modo,BM.AFAnterior,BM.MEDAnterior),IF(AND(RegimeExecucao="Global",$I29&gt;0,COUNTIF($AB$13:$AM$13,BM.medicao-1)&gt;0),M29/$I29*100,0))</f>
        <v>0</v>
      </c>
      <c r="K29" s="123">
        <f t="shared" ca="1" si="3"/>
        <v>0</v>
      </c>
      <c r="L29" s="378">
        <f ca="1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t="shared" ca="1" si="4"/>
        <v>0</v>
      </c>
      <c r="O29" s="126">
        <f ca="1">IF($A29="S",VTOTALBM,IF($A29=0,0,ROUND(SomaAgrupBM,15-13*ORÇAMENTO!$AF$11)))</f>
        <v>0</v>
      </c>
      <c r="Q29" s="381"/>
      <c r="R29" s="382"/>
      <c r="T29" s="118" t="str">
        <f t="shared" ca="1" si="5"/>
        <v/>
      </c>
      <c r="U29" s="171" t="str">
        <f t="shared" ca="1" si="6"/>
        <v/>
      </c>
      <c r="V29" s="172" t="str">
        <f ca="1">IF(AND($W29&gt;0,RegimeExecucao="Unitário"),$F29,"")</f>
        <v/>
      </c>
      <c r="W29" s="546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t="shared" ca="1" si="7"/>
        <v>0</v>
      </c>
      <c r="Z29" s="571"/>
      <c r="AB29" s="381"/>
      <c r="AC29" s="515"/>
      <c r="AD29" s="515"/>
      <c r="AE29" s="515"/>
      <c r="AF29" s="515"/>
      <c r="AG29" s="515"/>
      <c r="AH29" s="515"/>
      <c r="AI29" s="515"/>
      <c r="AJ29" s="515"/>
      <c r="AK29" s="515"/>
      <c r="AL29" s="515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6.4" x14ac:dyDescent="0.3">
      <c r="A30" t="str">
        <f ca="1">ORÇAMENTO!C30</f>
        <v>S</v>
      </c>
      <c r="B30">
        <f ca="1">ORÇAMENTO!D30</f>
        <v>0</v>
      </c>
      <c r="C30" s="115" t="str">
        <f t="shared" ca="1" si="1"/>
        <v>F</v>
      </c>
      <c r="D30" s="118" t="str">
        <f ca="1">ORÇAMENTO!O30</f>
        <v>1.3.1.</v>
      </c>
      <c r="E30" s="171" t="str">
        <f t="shared" ca="1" si="2"/>
        <v>PINTURA LÁTEX ACRÍLICA PREMIUM, APLICAÇÃO MANUAL EM PAREDES, DUAS DEMÃOS. AF_04/2023</v>
      </c>
      <c r="F30" s="172" t="str">
        <f ca="1">IF(RegimeExecucao="Global","",ORÇAMENTO.Unidade)</f>
        <v/>
      </c>
      <c r="G30" s="123" t="str">
        <f ca="1">IF(RegimeExecucao="Global","",ORÇAMENTO!T30)</f>
        <v/>
      </c>
      <c r="H30" s="123" t="str">
        <f ca="1">IF(RegimeExecucao="Global","",ORÇAMENTO!W30)</f>
        <v/>
      </c>
      <c r="I30" s="126">
        <f ca="1">ORÇAMENTO!X30</f>
        <v>37750.15</v>
      </c>
      <c r="J30" s="377">
        <f ca="1">IF($A30="S",IF(CAIXA.Modo,BM.AFAnterior,BM.MEDAnterior),IF(AND(RegimeExecucao="Global",$I30&gt;0,COUNTIF($AB$13:$AM$13,BM.medicao-1)&gt;0),M30/$I30*100,0))</f>
        <v>0</v>
      </c>
      <c r="K30" s="123">
        <f t="shared" ca="1" si="3"/>
        <v>0</v>
      </c>
      <c r="L30" s="378">
        <f ca="1">IF($A30="S",IF(CAIXA.Modo,BM.AFAcumulado,BM.MEDAcumulado),IF(AND(RegimeExecucao="Global",$I30&gt;0,COUNTIF($AB$13:$AM$13,BM.medicao)&gt;0),O30/$I30*100,0))</f>
        <v>0</v>
      </c>
      <c r="M30" s="379">
        <f ca="1">IF($A30="S",VTOTALBM,IF($A30=0,0,ROUND(SomaAgrupBM,15-13*ORÇAMENTO!$AF$11)))</f>
        <v>0</v>
      </c>
      <c r="N30" s="380">
        <f t="shared" ca="1" si="4"/>
        <v>0</v>
      </c>
      <c r="O30" s="126">
        <f ca="1">IF($A30="S",VTOTALBM,IF($A30=0,0,ROUND(SomaAgrupBM,15-13*ORÇAMENTO!$AF$11)))</f>
        <v>0</v>
      </c>
      <c r="Q30" s="381"/>
      <c r="R30" s="382"/>
      <c r="T30" s="118" t="str">
        <f t="shared" ca="1" si="5"/>
        <v/>
      </c>
      <c r="U30" s="171" t="str">
        <f t="shared" ca="1" si="6"/>
        <v/>
      </c>
      <c r="V30" s="172" t="str">
        <f ca="1">IF(AND($W30&gt;0,RegimeExecucao="Unitário"),$F30,"")</f>
        <v/>
      </c>
      <c r="W30" s="546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t="shared" ca="1" si="7"/>
        <v>0</v>
      </c>
      <c r="Z30" s="571"/>
      <c r="AB30" s="381"/>
      <c r="AC30" s="515"/>
      <c r="AD30" s="515"/>
      <c r="AE30" s="515"/>
      <c r="AF30" s="515"/>
      <c r="AG30" s="515"/>
      <c r="AH30" s="515"/>
      <c r="AI30" s="515"/>
      <c r="AJ30" s="515"/>
      <c r="AK30" s="515"/>
      <c r="AL30" s="515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ht="26.4" x14ac:dyDescent="0.3">
      <c r="A31" t="str">
        <f ca="1">ORÇAMENTO!C31</f>
        <v>S</v>
      </c>
      <c r="B31">
        <f ca="1">ORÇAMENTO!D31</f>
        <v>0</v>
      </c>
      <c r="C31" s="115" t="str">
        <f t="shared" ca="1" si="1"/>
        <v>F</v>
      </c>
      <c r="D31" s="118" t="str">
        <f ca="1">ORÇAMENTO!O31</f>
        <v>1.3.2.</v>
      </c>
      <c r="E31" s="171" t="str">
        <f t="shared" ca="1" si="2"/>
        <v>FUNDO SELADOR ACRÍLICO, APLICAÇÃO MANUAL EM PAREDE, UMA DEMÃO. AF_04/2023</v>
      </c>
      <c r="F31" s="172" t="str">
        <f ca="1">IF(RegimeExecucao="Global","",ORÇAMENTO.Unidade)</f>
        <v/>
      </c>
      <c r="G31" s="123" t="str">
        <f ca="1">IF(RegimeExecucao="Global","",ORÇAMENTO!T31)</f>
        <v/>
      </c>
      <c r="H31" s="123" t="str">
        <f ca="1">IF(RegimeExecucao="Global","",ORÇAMENTO!W31)</f>
        <v/>
      </c>
      <c r="I31" s="126">
        <f ca="1">ORÇAMENTO!X31</f>
        <v>11745.05</v>
      </c>
      <c r="J31" s="377">
        <f ca="1">IF($A31="S",IF(CAIXA.Modo,BM.AFAnterior,BM.MEDAnterior),IF(AND(RegimeExecucao="Global",$I31&gt;0,COUNTIF($AB$13:$AM$13,BM.medicao-1)&gt;0),M31/$I31*100,0))</f>
        <v>0</v>
      </c>
      <c r="K31" s="123">
        <f t="shared" ca="1" si="3"/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t="shared" ca="1" si="4"/>
        <v>0</v>
      </c>
      <c r="O31" s="126">
        <f ca="1">IF($A31="S",VTOTALBM,IF($A31=0,0,ROUND(SomaAgrupBM,15-13*ORÇAMENTO!$AF$11)))</f>
        <v>0</v>
      </c>
      <c r="Q31" s="381"/>
      <c r="R31" s="382"/>
      <c r="T31" s="118" t="str">
        <f t="shared" ca="1" si="5"/>
        <v/>
      </c>
      <c r="U31" s="171" t="str">
        <f t="shared" ca="1" si="6"/>
        <v/>
      </c>
      <c r="V31" s="172" t="str">
        <f ca="1">IF(AND($W31&gt;0,RegimeExecucao="Unitário"),$F31,"")</f>
        <v/>
      </c>
      <c r="W31" s="546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t="shared" ca="1" si="7"/>
        <v>0</v>
      </c>
      <c r="Z31" s="571"/>
      <c r="AB31" s="381"/>
      <c r="AC31" s="515"/>
      <c r="AD31" s="515"/>
      <c r="AE31" s="515"/>
      <c r="AF31" s="515"/>
      <c r="AG31" s="515"/>
      <c r="AH31" s="515"/>
      <c r="AI31" s="515"/>
      <c r="AJ31" s="515"/>
      <c r="AK31" s="515"/>
      <c r="AL31" s="515"/>
      <c r="AM31" s="382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5.0999999999999996" customHeight="1" x14ac:dyDescent="0.3">
      <c r="C32" s="115" t="s">
        <v>246</v>
      </c>
      <c r="D32" s="483"/>
      <c r="E32" s="484"/>
      <c r="F32" s="484"/>
      <c r="G32" s="484"/>
      <c r="H32" s="484"/>
      <c r="I32" s="485"/>
      <c r="J32" s="483"/>
      <c r="K32" s="484"/>
      <c r="L32" s="485"/>
      <c r="M32" s="512"/>
      <c r="N32" s="513"/>
      <c r="O32" s="514"/>
      <c r="Q32" s="483"/>
      <c r="R32" s="485"/>
      <c r="T32" s="483"/>
      <c r="U32" s="484"/>
      <c r="V32" s="484"/>
      <c r="W32" s="484"/>
      <c r="X32" s="484"/>
      <c r="Y32" s="484"/>
      <c r="Z32" s="485"/>
      <c r="AB32" s="483"/>
      <c r="AC32" s="484"/>
      <c r="AD32" s="484"/>
      <c r="AE32" s="484"/>
      <c r="AF32" s="484"/>
      <c r="AG32" s="484"/>
      <c r="AH32" s="484"/>
      <c r="AI32" s="484"/>
      <c r="AJ32" s="484"/>
      <c r="AK32" s="484"/>
      <c r="AL32" s="484"/>
      <c r="AM32" s="485"/>
    </row>
    <row r="34" spans="4:26" ht="13.8" x14ac:dyDescent="0.25">
      <c r="D34" s="682" t="s">
        <v>187</v>
      </c>
      <c r="E34" s="682"/>
      <c r="F34" s="682"/>
      <c r="G34" s="682"/>
      <c r="H34" s="682"/>
      <c r="I34" s="682"/>
      <c r="J34" s="682"/>
      <c r="K34" s="682"/>
      <c r="L34" s="682"/>
      <c r="M34" s="682"/>
      <c r="N34" s="682"/>
      <c r="O34" s="682"/>
      <c r="T34" s="683" t="s">
        <v>353</v>
      </c>
      <c r="U34" s="683"/>
      <c r="V34" s="683"/>
      <c r="W34" s="683"/>
      <c r="X34" s="683"/>
      <c r="Y34" s="683"/>
      <c r="Z34" s="683"/>
    </row>
    <row r="35" spans="4:26" ht="12.75" customHeight="1" x14ac:dyDescent="0.25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T35" s="684"/>
      <c r="U35" s="684"/>
      <c r="V35" s="684"/>
      <c r="W35" s="684"/>
      <c r="X35" s="684"/>
      <c r="Y35" s="684"/>
      <c r="Z35" s="684"/>
    </row>
    <row r="36" spans="4:26" ht="12.75" customHeight="1" x14ac:dyDescent="0.25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T36" s="684"/>
      <c r="U36" s="684"/>
      <c r="V36" s="684"/>
      <c r="W36" s="684"/>
      <c r="X36" s="684"/>
      <c r="Y36" s="684"/>
      <c r="Z36" s="684"/>
    </row>
    <row r="37" spans="4:26" ht="12.75" customHeight="1" x14ac:dyDescent="0.25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T37" s="684"/>
      <c r="U37" s="684"/>
      <c r="V37" s="684"/>
      <c r="W37" s="684"/>
      <c r="X37" s="684"/>
      <c r="Y37" s="684"/>
      <c r="Z37" s="684"/>
    </row>
    <row r="38" spans="4:26" ht="13.8" x14ac:dyDescent="0.25">
      <c r="D38" s="533"/>
      <c r="E38" s="533"/>
      <c r="F38" s="533"/>
      <c r="G38" s="533"/>
      <c r="H38" s="533"/>
      <c r="I38" s="533"/>
      <c r="J38" s="533"/>
      <c r="K38" s="533"/>
      <c r="L38" s="533"/>
      <c r="M38" s="533"/>
      <c r="N38" s="533"/>
      <c r="O38" s="533"/>
    </row>
    <row r="39" spans="4:26" ht="15" customHeight="1" x14ac:dyDescent="0.25">
      <c r="D39" s="622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39" s="622"/>
      <c r="F39" s="622"/>
      <c r="G39" s="622"/>
      <c r="H39" s="622"/>
      <c r="I39" s="622"/>
      <c r="J39" s="622"/>
      <c r="K39" s="622"/>
      <c r="L39" s="622"/>
    </row>
    <row r="40" spans="4:26" x14ac:dyDescent="0.25">
      <c r="D40" s="680"/>
      <c r="E40" s="680"/>
      <c r="F40" s="680"/>
      <c r="G40" s="680"/>
      <c r="H40" s="680"/>
      <c r="I40" s="680"/>
    </row>
    <row r="41" spans="4:26" x14ac:dyDescent="0.25">
      <c r="D41" s="678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41" s="678"/>
      <c r="F41" s="678"/>
      <c r="G41" s="678"/>
      <c r="H41" s="678"/>
      <c r="I41" s="678"/>
      <c r="J41" s="678"/>
      <c r="K41" s="678"/>
      <c r="L41" s="678"/>
      <c r="M41" s="678"/>
      <c r="N41" s="678"/>
      <c r="O41" s="678"/>
    </row>
    <row r="42" spans="4:26" ht="39.9" customHeight="1" x14ac:dyDescent="0.25">
      <c r="E42" s="143" t="str">
        <f>Import.Município</f>
        <v>BOM JARDIM DE MINAS - MG</v>
      </c>
      <c r="J42" s="679"/>
      <c r="K42" s="679"/>
      <c r="L42" s="679"/>
      <c r="M42" s="679"/>
      <c r="W42" s="679"/>
      <c r="X42" s="679"/>
      <c r="Y42" s="679"/>
      <c r="Z42" s="679"/>
    </row>
    <row r="43" spans="4:26" x14ac:dyDescent="0.25">
      <c r="E43" s="10" t="s">
        <v>188</v>
      </c>
      <c r="J43" s="194" t="s">
        <v>302</v>
      </c>
      <c r="W43" s="194" t="s">
        <v>354</v>
      </c>
    </row>
    <row r="44" spans="4:26" x14ac:dyDescent="0.25">
      <c r="J44" s="77" t="s">
        <v>108</v>
      </c>
      <c r="K44" s="311" t="str">
        <f t="array" ref="K44:K47">Import.RespFiscalização</f>
        <v>RENNAN ROBERTO DUARTE DA SILVA</v>
      </c>
      <c r="L44" s="78"/>
      <c r="W44" s="77" t="s">
        <v>108</v>
      </c>
      <c r="X44" s="677"/>
      <c r="Y44" s="677"/>
      <c r="Z44" s="677"/>
    </row>
    <row r="45" spans="4:26" x14ac:dyDescent="0.25">
      <c r="E45" s="551">
        <f ca="1">DADOS!$F$48</f>
        <v>45580</v>
      </c>
      <c r="J45" s="77" t="s">
        <v>127</v>
      </c>
      <c r="K45" s="311" t="str">
        <v>ENGENHEIRO CIVIL</v>
      </c>
      <c r="L45" s="78"/>
      <c r="W45" s="77" t="s">
        <v>355</v>
      </c>
      <c r="X45" s="677"/>
      <c r="Y45" s="677"/>
      <c r="Z45" s="677"/>
    </row>
    <row r="46" spans="4:26" x14ac:dyDescent="0.25">
      <c r="E46" s="145" t="s">
        <v>189</v>
      </c>
      <c r="J46" s="77" t="s">
        <v>109</v>
      </c>
      <c r="K46" s="311" t="str">
        <v>RJ2019107419 MG</v>
      </c>
      <c r="L46" s="78"/>
      <c r="W46" s="77" t="s">
        <v>109</v>
      </c>
      <c r="X46" s="677"/>
      <c r="Y46" s="677"/>
      <c r="Z46" s="677"/>
    </row>
    <row r="47" spans="4:26" x14ac:dyDescent="0.25">
      <c r="J47" s="77" t="s">
        <v>110</v>
      </c>
      <c r="K47" s="13" t="str">
        <v>MG20243409885</v>
      </c>
      <c r="W47" s="77"/>
      <c r="X47" s="13"/>
    </row>
  </sheetData>
  <sheetProtection algorithmName="SHA-512" hashValue="N3FCn/fYjTHdM1zmzov823uNsXUt0dPZEc583cJX0lciY9SCQMsn4yp3FVUfqzzJrlnvLUTmqY4o3yc1jtbiSQ==" saltValue="Pkha6kpQUHdJ0TlFIYturw==" spinCount="100000" sheet="1" objects="1" scenarios="1" autoFilter="0"/>
  <autoFilter ref="C15:C32" xr:uid="{00000000-0009-0000-0000-00000B000000}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39:L39"/>
    <mergeCell ref="D40:I40"/>
    <mergeCell ref="AB15:AM15"/>
    <mergeCell ref="D34:O34"/>
    <mergeCell ref="T34:Z34"/>
    <mergeCell ref="D35:O37"/>
    <mergeCell ref="T35:Z37"/>
    <mergeCell ref="D15:E15"/>
    <mergeCell ref="X46:Z46"/>
    <mergeCell ref="D41:O41"/>
    <mergeCell ref="J42:M42"/>
    <mergeCell ref="W42:Z42"/>
    <mergeCell ref="X44:Z44"/>
    <mergeCell ref="X45:Z45"/>
  </mergeCells>
  <phoneticPr fontId="38" type="noConversion"/>
  <conditionalFormatting sqref="D14:O14 T14:Z14 D16:O31 T16:Z31">
    <cfRule type="expression" dxfId="17" priority="2428" stopIfTrue="1">
      <formula>OR(ACOMPANHAMENTO="PLE",TIPOORCAMENTO="Proposto",$L14&lt;0,AND($L14&gt;100,RegimeExecucao="Global"),$O14&gt;$I14,$O14&lt;0)</formula>
    </cfRule>
    <cfRule type="expression" dxfId="16" priority="2429" stopIfTrue="1">
      <formula>$A14=1</formula>
    </cfRule>
    <cfRule type="expression" dxfId="15" priority="2430" stopIfTrue="1">
      <formula>$A14&lt;&gt;"S"</formula>
    </cfRule>
  </conditionalFormatting>
  <conditionalFormatting sqref="Q14:R14 AB14:AM14 Q16:R31 AB16:AM31">
    <cfRule type="expression" dxfId="14" priority="2431" stopIfTrue="1">
      <formula>$A14=1</formula>
    </cfRule>
    <cfRule type="expression" dxfId="13" priority="2432" stopIfTrue="1">
      <formula>$A14&lt;&gt;"S"</formula>
    </cfRule>
  </conditionalFormatting>
  <conditionalFormatting sqref="E2">
    <cfRule type="expression" dxfId="12" priority="2433" stopIfTrue="1">
      <formula>Import.RegimeExecução="(SELECIONAR)"</formula>
    </cfRule>
  </conditionalFormatting>
  <conditionalFormatting sqref="F13:H13">
    <cfRule type="expression" dxfId="11" priority="2434" stopIfTrue="1">
      <formula>RegimeExecucao="Global"</formula>
    </cfRule>
  </conditionalFormatting>
  <conditionalFormatting sqref="D15:O15">
    <cfRule type="expression" dxfId="10" priority="2435" stopIfTrue="1">
      <formula>OR(ACOMPANHAMENTO="PLE",TIPOORCAMENTO="Proposto")</formula>
    </cfRule>
  </conditionalFormatting>
  <conditionalFormatting sqref="AB13">
    <cfRule type="cellIs" dxfId="9" priority="2436" stopIfTrue="1" operator="notEqual">
      <formula>1</formula>
    </cfRule>
  </conditionalFormatting>
  <dataValidations count="4">
    <dataValidation type="list" allowBlank="1" showErrorMessage="1" sqref="Z14 Z16:Z31" xr:uid="{00000000-0002-0000-0B00-000000000000}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31" xr:uid="{00000000-0002-0000-0B00-000001000000}">
      <formula1>0</formula1>
      <formula2>BM.MEDAcumulado</formula2>
    </dataValidation>
    <dataValidation type="whole" operator="greaterThan" allowBlank="1" showInputMessage="1" showErrorMessage="1" sqref="O8" xr:uid="{00000000-0002-0000-0B00-000002000000}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31" xr:uid="{00000000-0002-0000-0B00-000003000000}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&amp;LPMv3.0.6&amp;R&amp;P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220980</xdr:colOff>
                    <xdr:row>9</xdr:row>
                    <xdr:rowOff>45720</xdr:rowOff>
                  </from>
                  <to>
                    <xdr:col>10</xdr:col>
                    <xdr:colOff>525780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30480</xdr:colOff>
                    <xdr:row>6</xdr:row>
                    <xdr:rowOff>121920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4">
    <pageSetUpPr fitToPage="1"/>
  </sheetPr>
  <dimension ref="A1:AO49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/>
    </sheetView>
  </sheetViews>
  <sheetFormatPr defaultRowHeight="13.2" x14ac:dyDescent="0.25"/>
  <cols>
    <col min="1" max="3" width="9.109375" hidden="1" customWidth="1"/>
    <col min="4" max="4" width="3.6640625" customWidth="1"/>
    <col min="5" max="5" width="7.6640625" customWidth="1"/>
    <col min="6" max="6" width="35.6640625" customWidth="1"/>
    <col min="7" max="7" width="15.6640625" customWidth="1"/>
    <col min="8" max="8" width="12.6640625" customWidth="1"/>
    <col min="9" max="9" width="7.6640625" customWidth="1"/>
    <col min="10" max="10" width="16.6640625" customWidth="1"/>
    <col min="11" max="11" width="5.6640625" customWidth="1"/>
    <col min="12" max="15" width="16.6640625" customWidth="1"/>
    <col min="16" max="16" width="11.6640625" customWidth="1"/>
    <col min="17" max="21" width="9.109375" hidden="1" customWidth="1"/>
    <col min="22" max="22" width="12.109375" hidden="1" customWidth="1"/>
    <col min="23" max="24" width="5.6640625" customWidth="1"/>
    <col min="25" max="26" width="16.6640625" customWidth="1"/>
    <col min="27" max="27" width="1.6640625" customWidth="1"/>
    <col min="29" max="41" width="9.109375" hidden="1" customWidth="1"/>
  </cols>
  <sheetData>
    <row r="1" spans="1:41" ht="30" customHeight="1" x14ac:dyDescent="0.25">
      <c r="F1" s="390" t="str">
        <f>CONCATENATE("RRE - RELATÓRIO RESUMO DO EMPREENDIMENTO - ",IF(CAIXA.Modo,"CAIXA","TOMADOR"))</f>
        <v>RRE - RELATÓRIO RESUMO DO EMPREENDIMENTO - TOMADOR</v>
      </c>
      <c r="H1" s="8"/>
      <c r="I1" s="8"/>
      <c r="AD1" s="391" t="s">
        <v>356</v>
      </c>
      <c r="AE1" s="392" t="s">
        <v>357</v>
      </c>
    </row>
    <row r="2" spans="1:41" x14ac:dyDescent="0.25">
      <c r="AC2" s="393" t="str">
        <f>J25</f>
        <v>Repasse</v>
      </c>
      <c r="AD2" s="394">
        <f ca="1">AD6-AD4-AD3</f>
        <v>0</v>
      </c>
      <c r="AE2" s="394">
        <f ca="1">AE6-AE4-AE3</f>
        <v>0</v>
      </c>
    </row>
    <row r="3" spans="1:41" x14ac:dyDescent="0.25">
      <c r="E3" s="612" t="s">
        <v>147</v>
      </c>
      <c r="F3" s="612"/>
      <c r="G3" s="612"/>
      <c r="H3" s="612"/>
      <c r="I3" s="601" t="s">
        <v>146</v>
      </c>
      <c r="J3" s="601"/>
      <c r="K3" s="601"/>
      <c r="L3" s="88" t="s">
        <v>442</v>
      </c>
      <c r="M3" s="151"/>
      <c r="O3" s="395"/>
      <c r="P3" s="314" t="s">
        <v>210</v>
      </c>
      <c r="R3" s="151"/>
      <c r="S3" s="151"/>
      <c r="T3" s="151"/>
      <c r="U3" s="151"/>
      <c r="AC3" s="393" t="s">
        <v>169</v>
      </c>
      <c r="AD3" s="394">
        <f ca="1">SUM(T13:OFFSET(T24,-1,0))</f>
        <v>0</v>
      </c>
      <c r="AE3" s="394">
        <f ca="1">IF(OR($O$28&lt;$M$28,$M$26&gt;$AD$3),MIN($M$26,$L$26),MIN($AD$3,$N$28-$N$27+$M$26))</f>
        <v>0</v>
      </c>
    </row>
    <row r="4" spans="1:41" ht="12.75" customHeight="1" x14ac:dyDescent="0.25">
      <c r="E4" s="617" t="str">
        <f>Import.Proponente</f>
        <v>PREFEITURA MUNICIPAL DE BOM JARDIM DE MINAS</v>
      </c>
      <c r="F4" s="617"/>
      <c r="G4" s="617"/>
      <c r="H4" s="617"/>
      <c r="I4" s="604">
        <f>Import.CR</f>
        <v>0</v>
      </c>
      <c r="J4" s="604"/>
      <c r="K4" s="604"/>
      <c r="L4" s="56">
        <f>Import.TransfereGOV</f>
        <v>0</v>
      </c>
      <c r="M4" s="690" t="s">
        <v>307</v>
      </c>
      <c r="N4" s="691"/>
      <c r="O4" s="692"/>
      <c r="P4" s="396" t="str">
        <f>import.recurso</f>
        <v>OGU</v>
      </c>
      <c r="R4" s="151"/>
      <c r="S4" s="151"/>
      <c r="T4" s="395"/>
      <c r="U4" s="395"/>
      <c r="AC4" s="393" t="s">
        <v>358</v>
      </c>
      <c r="AD4" s="394">
        <f ca="1">SUM(U13:OFFSET(U24,-1,0))</f>
        <v>0</v>
      </c>
      <c r="AE4" s="394">
        <f ca="1">IF(OR($O$28&lt;$M$28,$M$27&gt;$AD$4),MIN($M$27,$L$27),MIN($AD$4,$N$28+$M$27))</f>
        <v>0</v>
      </c>
    </row>
    <row r="5" spans="1:41" ht="5.0999999999999996" customHeight="1" x14ac:dyDescent="0.25">
      <c r="H5" s="317"/>
      <c r="I5" s="317"/>
      <c r="J5" s="317"/>
      <c r="K5" s="317"/>
      <c r="L5" s="317"/>
      <c r="M5" s="397"/>
      <c r="N5" s="305"/>
      <c r="O5" s="4"/>
      <c r="R5" s="151"/>
      <c r="S5" s="151"/>
      <c r="T5" s="151"/>
      <c r="U5" s="151"/>
    </row>
    <row r="6" spans="1:41" ht="12.75" customHeight="1" x14ac:dyDescent="0.25">
      <c r="E6" s="601" t="s">
        <v>202</v>
      </c>
      <c r="F6" s="601"/>
      <c r="G6" s="601"/>
      <c r="H6" s="601"/>
      <c r="I6" s="717" t="s">
        <v>306</v>
      </c>
      <c r="J6" s="717"/>
      <c r="K6" s="717"/>
      <c r="L6" s="717"/>
      <c r="M6" s="55" t="str">
        <f>IF(import.recurso="FGTS","FINANCIAMENTO","REPASSE")</f>
        <v>REPASSE</v>
      </c>
      <c r="N6" s="97" t="s">
        <v>308</v>
      </c>
      <c r="O6" s="55" t="s">
        <v>309</v>
      </c>
      <c r="P6" s="152" t="s">
        <v>359</v>
      </c>
      <c r="R6" s="151"/>
      <c r="S6" s="151"/>
      <c r="T6" s="151"/>
      <c r="U6" s="151"/>
      <c r="AC6" s="393" t="s">
        <v>360</v>
      </c>
      <c r="AD6" s="394">
        <f ca="1">$O$28</f>
        <v>0</v>
      </c>
      <c r="AE6" s="394">
        <f ca="1">AD6</f>
        <v>0</v>
      </c>
    </row>
    <row r="7" spans="1:41" ht="12.75" customHeight="1" x14ac:dyDescent="0.25">
      <c r="D7" s="594" t="s">
        <v>209</v>
      </c>
      <c r="E7" s="604" t="str">
        <f>Import.Apelido</f>
        <v>REFORMA - COLÉGIO TABOÃO</v>
      </c>
      <c r="F7" s="604"/>
      <c r="G7" s="604"/>
      <c r="H7" s="604"/>
      <c r="I7" s="714" t="str">
        <f>Import.Município</f>
        <v>BOM JARDIM DE MINAS - MG</v>
      </c>
      <c r="J7" s="714"/>
      <c r="K7" s="714"/>
      <c r="L7" s="714"/>
      <c r="M7" s="398">
        <f>Import.Repasse</f>
        <v>99449.49</v>
      </c>
      <c r="N7" s="399">
        <f>Import.Contrapartida</f>
        <v>0</v>
      </c>
      <c r="O7" s="398">
        <f>M7+N7</f>
        <v>99449.49</v>
      </c>
      <c r="P7" s="490">
        <f>IF(ACOMPANHAMENTO="PLE",PLE.Medicao,BM.medicao)</f>
        <v>1</v>
      </c>
      <c r="R7" s="151"/>
      <c r="S7" s="151"/>
      <c r="T7" s="151"/>
      <c r="U7" s="151"/>
    </row>
    <row r="8" spans="1:41" x14ac:dyDescent="0.25">
      <c r="D8" s="594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R8" s="151"/>
      <c r="S8" s="151"/>
      <c r="T8" s="151"/>
      <c r="U8" s="151"/>
    </row>
    <row r="9" spans="1:41" ht="12.75" customHeight="1" x14ac:dyDescent="0.25">
      <c r="D9" s="594"/>
      <c r="G9" s="715" t="s">
        <v>361</v>
      </c>
      <c r="H9" s="715"/>
      <c r="I9" s="715" t="s">
        <v>362</v>
      </c>
      <c r="J9" s="715"/>
      <c r="K9" s="400"/>
      <c r="L9" s="716" t="s">
        <v>313</v>
      </c>
      <c r="M9" s="401" t="s">
        <v>316</v>
      </c>
      <c r="N9" s="318" t="s">
        <v>238</v>
      </c>
      <c r="P9" s="402"/>
      <c r="R9" s="151"/>
      <c r="S9" s="151"/>
      <c r="T9" s="151"/>
      <c r="U9" s="151"/>
      <c r="V9" s="7" t="s">
        <v>363</v>
      </c>
    </row>
    <row r="10" spans="1:41" ht="12.75" customHeight="1" x14ac:dyDescent="0.25">
      <c r="D10" s="594"/>
      <c r="G10" s="606" t="str">
        <f ca="1">IF(J10="-","-",IF($P$24&lt;J10,"Atrasada",IF($P$24&gt;J10,"Adiantada","Normal")))</f>
        <v>Atrasada</v>
      </c>
      <c r="H10" s="606"/>
      <c r="I10" s="403">
        <f ca="1">DATE(YEAR($L$35),MONTH($L$35),1)</f>
        <v>45566</v>
      </c>
      <c r="J10" s="404">
        <f ca="1">IF($I$10&lt;DATE(YEAR(CRONO!$T$13),MONTH(CRONO!$T$13),1),0,IF($I$10&gt;CRONO!$AE$13,1,INDEX(CRONO!$S$170:$AG$170,MATCH(RRE!$I$10,CRONO!$S$13:$AG$13,0))))</f>
        <v>1</v>
      </c>
      <c r="K10" s="400"/>
      <c r="L10" s="716"/>
      <c r="M10" s="405">
        <f ca="1">QCI!L10</f>
        <v>0</v>
      </c>
      <c r="N10" s="320">
        <f ca="1">QCI!M10</f>
        <v>-441.96</v>
      </c>
      <c r="P10" s="402"/>
      <c r="R10" s="151"/>
      <c r="S10" s="151"/>
      <c r="T10" s="151"/>
      <c r="U10" s="151"/>
      <c r="AC10" s="711" t="s">
        <v>364</v>
      </c>
      <c r="AD10" s="711"/>
      <c r="AE10" s="711"/>
      <c r="AF10" s="711"/>
      <c r="AG10" s="711"/>
      <c r="AH10" s="711"/>
      <c r="AJ10" s="711" t="s">
        <v>4</v>
      </c>
      <c r="AK10" s="711"/>
      <c r="AL10" s="711"/>
      <c r="AM10" s="711"/>
      <c r="AN10" s="711"/>
      <c r="AO10" s="711"/>
    </row>
    <row r="11" spans="1:41" ht="20.100000000000001" customHeight="1" x14ac:dyDescent="0.25">
      <c r="D11" s="594"/>
      <c r="M11" s="541" t="str">
        <f>IF(CAIXA.Modo,"Valores Aferidos (R$)","Valores Medidos (R$)")</f>
        <v>Valores Medidos (R$)</v>
      </c>
      <c r="N11" s="541"/>
      <c r="O11" s="541"/>
      <c r="R11" s="406"/>
      <c r="S11" s="406"/>
      <c r="T11" s="541"/>
      <c r="U11" s="541"/>
      <c r="V11" s="538" t="s">
        <v>410</v>
      </c>
      <c r="Y11" s="712" t="str">
        <f>IF(CAIXA.Modo,"Valores Aferidos (R$)","Valores Medidos (R$)")</f>
        <v>Valores Medidos (R$)</v>
      </c>
      <c r="Z11" s="712"/>
      <c r="AC11" s="713" t="s">
        <v>365</v>
      </c>
      <c r="AD11" s="713"/>
      <c r="AE11" s="713"/>
      <c r="AF11" s="713" t="s">
        <v>366</v>
      </c>
      <c r="AG11" s="713"/>
      <c r="AH11" s="713"/>
      <c r="AJ11" s="713" t="s">
        <v>365</v>
      </c>
      <c r="AK11" s="713"/>
      <c r="AL11" s="713"/>
      <c r="AM11" s="713" t="s">
        <v>366</v>
      </c>
      <c r="AN11" s="713"/>
      <c r="AO11" s="713"/>
    </row>
    <row r="12" spans="1:41" hidden="1" x14ac:dyDescent="0.25">
      <c r="A12" t="e">
        <f ca="1">MATCH(E12,ORÇAMENTO!$E$15:$E$32,0)-1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7" t="str">
        <f ca="1">QCI!G12</f>
        <v/>
      </c>
      <c r="G12" s="408">
        <f>QCI!H12</f>
        <v>0</v>
      </c>
      <c r="H12" s="286">
        <f>QCI!I12</f>
        <v>0</v>
      </c>
      <c r="I12" s="322" t="str">
        <f ca="1">QCI!J12</f>
        <v/>
      </c>
      <c r="J12" s="409" t="str">
        <f ca="1">QCI!K12</f>
        <v/>
      </c>
      <c r="K12" s="410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2">
        <f ca="1">O12/(L12+10^-12)</f>
        <v>0</v>
      </c>
      <c r="R12" s="411">
        <f ca="1">ROUND(IF($C12="Automático",AC12+AJ12,$Y12*IF(ISERROR(QCI!$AA12/QCI!$O12),0,QCI!$AA12/QCI!$O12)),2)</f>
        <v>0</v>
      </c>
      <c r="S12" s="411">
        <f ca="1">ROUND(IF($C12="Automático",AD12+AK12,$Y12*IF(ISERROR(QCI!$AB12/QCI!$O12),0,QCI!$AB12/QCI!$O12)),2)</f>
        <v>0</v>
      </c>
      <c r="T12" s="411">
        <f ca="1">ROUND(IF($C12="Automático",AF12+AM12,$Z12*IF(ISERROR(QCI!$AA12/QCI!$O12),0,QCI!$AA12/QCI!$O12)),2)</f>
        <v>0</v>
      </c>
      <c r="U12" s="411">
        <f ca="1">ROUND(IF($C12="Automático",AG12+AN12,$Z12*IF(ISERROR(QCI!$AB12/QCI!$O12),0,QCI!$AB12/QCI!$O12)),2)</f>
        <v>0</v>
      </c>
      <c r="V12" s="539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" customHeight="1" x14ac:dyDescent="0.25">
      <c r="A13" s="332" t="s">
        <v>367</v>
      </c>
      <c r="B13" s="10" t="s">
        <v>221</v>
      </c>
      <c r="C13" s="332" t="s">
        <v>318</v>
      </c>
      <c r="D13" s="107" t="s">
        <v>217</v>
      </c>
      <c r="E13" s="108" t="s">
        <v>195</v>
      </c>
      <c r="F13" s="108" t="s">
        <v>321</v>
      </c>
      <c r="G13" s="108" t="s">
        <v>161</v>
      </c>
      <c r="H13" s="108" t="s">
        <v>203</v>
      </c>
      <c r="I13" s="108" t="s">
        <v>322</v>
      </c>
      <c r="J13" s="108" t="s">
        <v>323</v>
      </c>
      <c r="K13" s="333" t="s">
        <v>368</v>
      </c>
      <c r="L13" s="108" t="s">
        <v>369</v>
      </c>
      <c r="M13" s="333" t="s">
        <v>365</v>
      </c>
      <c r="N13" s="334" t="s">
        <v>372</v>
      </c>
      <c r="O13" s="335" t="s">
        <v>366</v>
      </c>
      <c r="P13" s="108" t="s">
        <v>375</v>
      </c>
      <c r="R13" s="413" t="s">
        <v>370</v>
      </c>
      <c r="S13" s="413" t="s">
        <v>371</v>
      </c>
      <c r="T13" s="413" t="s">
        <v>373</v>
      </c>
      <c r="U13" s="413" t="s">
        <v>374</v>
      </c>
      <c r="V13" s="540"/>
      <c r="X13" s="333" t="s">
        <v>368</v>
      </c>
      <c r="Y13" s="167" t="s">
        <v>365</v>
      </c>
      <c r="Z13" s="168" t="s">
        <v>366</v>
      </c>
      <c r="AC13" s="110" t="s">
        <v>169</v>
      </c>
      <c r="AD13" s="110" t="s">
        <v>358</v>
      </c>
      <c r="AE13" s="110" t="s">
        <v>360</v>
      </c>
      <c r="AF13" s="110" t="s">
        <v>169</v>
      </c>
      <c r="AG13" s="110" t="s">
        <v>358</v>
      </c>
      <c r="AH13" s="110" t="s">
        <v>360</v>
      </c>
      <c r="AJ13" s="110" t="s">
        <v>169</v>
      </c>
      <c r="AK13" s="110" t="s">
        <v>358</v>
      </c>
      <c r="AL13" s="110" t="s">
        <v>360</v>
      </c>
      <c r="AM13" s="110" t="s">
        <v>169</v>
      </c>
      <c r="AN13" s="110" t="s">
        <v>358</v>
      </c>
      <c r="AO13" s="110" t="s">
        <v>360</v>
      </c>
    </row>
    <row r="14" spans="1:41" x14ac:dyDescent="0.25">
      <c r="A14">
        <f ca="1">MATCH(E14,ORÇAMENTO!$E$15:$E$32,0)-1</f>
        <v>1</v>
      </c>
      <c r="B14">
        <f ca="1">IF(ISERROR($A14),NA(),OFFSET(ORÇAMENTO!$D$15,$A14,0))</f>
        <v>16</v>
      </c>
      <c r="C14" t="str">
        <f ca="1">QCI!B14</f>
        <v>Automático</v>
      </c>
      <c r="D14" t="str">
        <f t="shared" ref="D14:D22" ca="1" si="0">IF(L14&gt;0,"F","")</f>
        <v>F</v>
      </c>
      <c r="E14" s="321">
        <f>QCI!D14</f>
        <v>1</v>
      </c>
      <c r="F14" s="407" t="str">
        <f ca="1">QCI!G14</f>
        <v>REFORMA - COLÉGIO TABOÃO</v>
      </c>
      <c r="G14" s="408">
        <f>QCI!H14</f>
        <v>0</v>
      </c>
      <c r="H14" s="286">
        <f>QCI!I14</f>
        <v>0</v>
      </c>
      <c r="I14" s="322" t="str">
        <f ca="1">QCI!J14</f>
        <v/>
      </c>
      <c r="J14" s="409" t="str">
        <f ca="1">QCI!K14</f>
        <v>LOTE 1</v>
      </c>
      <c r="K14" s="410">
        <f ca="1">IF($C14="Automático",IF(ACOMPANHAMENTO="BM",BM.medicao,PLE.Medicao),IF(ISBLANK($X14),"",$X14))</f>
        <v>1</v>
      </c>
      <c r="L14" s="326">
        <f ca="1">QCI!$O14</f>
        <v>99891.45</v>
      </c>
      <c r="M14" s="323">
        <f t="shared" ref="M14:M22" ca="1" si="1">ROUND(IF(C14="Automático",AE14+AL14,Y14),2)</f>
        <v>0</v>
      </c>
      <c r="N14" s="324">
        <f t="shared" ref="N14:N22" ca="1" si="2">O14-M14</f>
        <v>0</v>
      </c>
      <c r="O14" s="325">
        <f t="shared" ref="O14:O22" ca="1" si="3">ROUND(IF(C14="Automático",AH14+AO14,Z14),2)</f>
        <v>0</v>
      </c>
      <c r="P14" s="412">
        <f t="shared" ref="P14:P22" ca="1" si="4">O14/(L14+10^-12)</f>
        <v>0</v>
      </c>
      <c r="R14" s="411">
        <f ca="1">ROUND(IF($C14="Automático",AC14+AJ14,$Y14*IF(ISERROR(QCI!$AA14/QCI!$O14),0,QCI!$AA14/QCI!$O14)),2)</f>
        <v>0</v>
      </c>
      <c r="S14" s="411">
        <f ca="1">ROUND(IF($C14="Automático",AD14+AK14,$Y14*IF(ISERROR(QCI!$AB14/QCI!$O14),0,QCI!$AB14/QCI!$O14)),2)</f>
        <v>0</v>
      </c>
      <c r="T14" s="411">
        <f ca="1">ROUND(IF($C14="Automático",AF14+AM14,$Z14*IF(ISERROR(QCI!$AA14/QCI!$O14),0,QCI!$AA14/QCI!$O14)),2)</f>
        <v>0</v>
      </c>
      <c r="U14" s="411">
        <f ca="1">ROUND(IF($C14="Automático",AG14+AN14,$Z14*IF(ISERROR(QCI!$AB14/QCI!$O14),0,QCI!$AB14/QCI!$O14)),2)</f>
        <v>0</v>
      </c>
      <c r="V14" s="539">
        <f ca="1">IF(AND($L14&gt;0,$J14&lt;&gt;0,$J14&lt;&gt;"",COUNTIF($J$13:$J14,$J14)=1),OFFSET(V14,-1,0)+1,OFFSET(V14,-1,0))</f>
        <v>1</v>
      </c>
      <c r="X14" s="327"/>
      <c r="Y14" s="328"/>
      <c r="Z14" s="330"/>
      <c r="AC14" s="198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0</v>
      </c>
      <c r="AD14" s="198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0</v>
      </c>
      <c r="AE14" s="198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0</v>
      </c>
      <c r="AF14" s="198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0</v>
      </c>
      <c r="AG14" s="198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0</v>
      </c>
      <c r="AH14" s="198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0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x14ac:dyDescent="0.25">
      <c r="A15" t="e">
        <f ca="1">MATCH(E15,ORÇAMENTO!$E$15:$E$32,0)-1</f>
        <v>#N/A</v>
      </c>
      <c r="B15" t="e">
        <f ca="1">IF(ISERROR($A15),NA(),OFFSET(ORÇAMENTO!$D$15,$A15,0))</f>
        <v>#N/A</v>
      </c>
      <c r="C15" t="str">
        <f ca="1">QCI!B15</f>
        <v>Branco</v>
      </c>
      <c r="D15" t="str">
        <f t="shared" ca="1" si="0"/>
        <v/>
      </c>
      <c r="E15" s="321">
        <f>QCI!D15</f>
        <v>2</v>
      </c>
      <c r="F15" s="407" t="str">
        <f ca="1">QCI!G15</f>
        <v/>
      </c>
      <c r="G15" s="408">
        <f>QCI!H15</f>
        <v>0</v>
      </c>
      <c r="H15" s="286">
        <f>QCI!I15</f>
        <v>0</v>
      </c>
      <c r="I15" s="322" t="str">
        <f ca="1">QCI!J15</f>
        <v/>
      </c>
      <c r="J15" s="409" t="str">
        <f ca="1">QCI!K15</f>
        <v/>
      </c>
      <c r="K15" s="410" t="str">
        <f ca="1">IF($C15="Automático",IF(ACOMPANHAMENTO="BM",BM.medicao,PLE.Medicao),IF(ISBLANK($X15),"",$X15))</f>
        <v/>
      </c>
      <c r="L15" s="326">
        <f ca="1">QCI!$O15</f>
        <v>0</v>
      </c>
      <c r="M15" s="323">
        <f t="shared" ca="1" si="1"/>
        <v>0</v>
      </c>
      <c r="N15" s="324">
        <f t="shared" ca="1" si="2"/>
        <v>0</v>
      </c>
      <c r="O15" s="325">
        <f t="shared" ca="1" si="3"/>
        <v>0</v>
      </c>
      <c r="P15" s="412">
        <f t="shared" ca="1" si="4"/>
        <v>0</v>
      </c>
      <c r="R15" s="411">
        <f ca="1">ROUND(IF($C15="Automático",AC15+AJ15,$Y15*IF(ISERROR(QCI!$AA15/QCI!$O15),0,QCI!$AA15/QCI!$O15)),2)</f>
        <v>0</v>
      </c>
      <c r="S15" s="411">
        <f ca="1">ROUND(IF($C15="Automático",AD15+AK15,$Y15*IF(ISERROR(QCI!$AB15/QCI!$O15),0,QCI!$AB15/QCI!$O15)),2)</f>
        <v>0</v>
      </c>
      <c r="T15" s="411">
        <f ca="1">ROUND(IF($C15="Automático",AF15+AM15,$Z15*IF(ISERROR(QCI!$AA15/QCI!$O15),0,QCI!$AA15/QCI!$O15)),2)</f>
        <v>0</v>
      </c>
      <c r="U15" s="411">
        <f ca="1">ROUND(IF($C15="Automático",AG15+AN15,$Z15*IF(ISERROR(QCI!$AB15/QCI!$O15),0,QCI!$AB15/QCI!$O15)),2)</f>
        <v>0</v>
      </c>
      <c r="V15" s="539">
        <f ca="1">IF(AND($L15&gt;0,$J15&lt;&gt;0,$J15&lt;&gt;"",COUNTIF($J$13:$J15,$J15)=1),OFFSET(V15,-1,0)+1,OFFSET(V15,-1,0))</f>
        <v>1</v>
      </c>
      <c r="X15" s="327"/>
      <c r="Y15" s="328"/>
      <c r="Z15" s="330"/>
      <c r="AC15" s="198" t="e">
        <f ca="1">IF(ACOMPANHAMENTO&lt;&gt;"PLE",0,SUMPRODUCT((OFFSET(CÁLCULO!$AX$15:$BH$15,$A15,0,$B15)&lt;=(PLE.Medicao-1))*OFFSET(CÁLCULO!$AB$15:$AL$15,$A15,0,$B15)*OFFSET(ORÇAMENTO!$AA$15,$A15,0,$B15)/(OFFSET(ORÇAMENTO!$X$15,$A15,0,$B15)+10^-12))+IF(AUTOEVENTO="Manual",SUMPRODUCT((OFFSET(CÁLCULO!$M$15,$A15,0,$B15)=1)*OFFSET(ORÇAMENTO!$AA$15,$A15,0,$B15)*(PLE!$AE$9-PLE!$Y$9)),0))</f>
        <v>#N/A</v>
      </c>
      <c r="AD15" s="198" t="e">
        <f ca="1">IF(ACOMPANHAMENTO&lt;&gt;"PLE",0,SUMPRODUCT((OFFSET(CÁLCULO!$AX$15:$BH$15,$A15,0,$B15)&lt;=(PLE.Medicao-1))*OFFSET(CÁLCULO!$AB$15:$AL$15,$A15,0,$B15)*OFFSET(ORÇAMENTO!$AB$15,$A15,0,$B15)/(OFFSET(ORÇAMENTO!$X$15,$A15,0,$B15)+10^-12))+IF(AUTOEVENTO="Manual",SUMPRODUCT((OFFSET(CÁLCULO!$M$15,$A15,0,$B15)=1)*OFFSET(ORÇAMENTO!$AB$15,$A15,0,$B15)*(PLE!$AE$9-PLE!$Y$9)),0))</f>
        <v>#N/A</v>
      </c>
      <c r="AE15" s="198" t="e">
        <f ca="1">ROUND(IF(ACOMPANHAMENTO&lt;&gt;"PLE",0,SUMIF(OFFSET(CÁLCULO!$AX$15:$BH$15,$A15,0,$B15),"&lt;="&amp;(PLE.Medicao-1),OFFSET(CÁLCULO!$AB$15:$AL$15,$A15,0,$B15))+IF(AUTOEVENTO="Manual",SUMIF(OFFSET(CÁLCULO!$M$15,$A15,0,$B15),1,OFFSET(ORÇAMENTO!$X$15,$A15,0,$B15))*(PLE!$AE$9-PLE!$Y$9),0)),2)</f>
        <v>#N/A</v>
      </c>
      <c r="AF15" s="198" t="e">
        <f ca="1">IF(ACOMPANHAMENTO&lt;&gt;"PLE",0,SUMPRODUCT((OFFSET(CÁLCULO!$AX$15:$BH$15,$A15,0,$B15)&lt;=PLE.Medicao)*OFFSET(CÁLCULO!$AB$15:$AL$15,$A15,0,$B15)*OFFSET(ORÇAMENTO!$AA$15,$A15,0,$B15)/(OFFSET(ORÇAMENTO!$X$15,$A15,0,$B15)+10^-12))+IF(AUTOEVENTO="Manual",SUMPRODUCT((OFFSET(CÁLCULO!$M$15,$A15,0,$B15)=1)*OFFSET(ORÇAMENTO!$AA$15,$A15,0,$B15)*PLE!$AE$9),0))</f>
        <v>#N/A</v>
      </c>
      <c r="AG15" s="198" t="e">
        <f ca="1">IF(ACOMPANHAMENTO&lt;&gt;"PLE",0,SUMPRODUCT((OFFSET(CÁLCULO!$AX$15:$BH$15,$A15,0,$B15)&lt;=PLE.Medicao)*OFFSET(CÁLCULO!$AB$15:$AL$15,$A15,0,$B15)*OFFSET(ORÇAMENTO!$AB$15,$A15,0,$B15)/(OFFSET(ORÇAMENTO!$X$15,$A15,0,$B15)+10^-12))+IF(AUTOEVENTO="Manual",SUMPRODUCT((OFFSET(CÁLCULO!$M$15,$A15,0,$B15)=1)*OFFSET(ORÇAMENTO!$AB$15,$A15,0,$B15)*PLE!$AE$9),0))</f>
        <v>#N/A</v>
      </c>
      <c r="AH15" s="198" t="e">
        <f ca="1">ROUND(IF(ACOMPANHAMENTO&lt;&gt;"PLE",0,SUMIF(OFFSET(CÁLCULO!$AX$15:$BH$15,$A15,0,$B15),"&lt;="&amp;PLE.Medicao,OFFSET(CÁLCULO!$AB$15:$AL$15,$A15,0,$B15))+IF(AUTOEVENTO="Manual",SUMIF(OFFSET(CÁLCULO!$M$15,$A15,0,$B15),1,OFFSET(ORÇAMENTO!$X$15,$A15,0,$B15))*PLE!$AE$9,0)),2)</f>
        <v>#N/A</v>
      </c>
      <c r="AJ15" s="198">
        <f ca="1">IF(ACOMPANHAMENTO&lt;&gt;"BM",0,SUMPRODUCT(OFFSET(BM!$M$15,$A15,0,$B15)*(OFFSET(BM!$A$15,$A15,0,$B15)="S")*OFFSET(ORÇAMENTO!AA$15,$A15,0,$B15)/(OFFSET(ORÇAMENTO!$X$15,$A15,0,$B15)+10^-12)))</f>
        <v>0</v>
      </c>
      <c r="AK15" s="198">
        <f ca="1">IF(ACOMPANHAMENTO&lt;&gt;"BM",0,SUMPRODUCT(OFFSET(BM!$M$15,$A15,0,$B15)*(OFFSET(BM!$A$15,$A15,0,$B15)="S")*OFFSET(ORÇAMENTO!AB$15,$A15,0,$B15)/(OFFSET(ORÇAMENTO!$X$15,$A15,0,$B15)+10^-12)))</f>
        <v>0</v>
      </c>
      <c r="AL15" s="198">
        <f ca="1">IF(ACOMPANHAMENTO&lt;&gt;"BM",0,OFFSET(BM!$M$15,$A15,0))</f>
        <v>0</v>
      </c>
      <c r="AM15" s="198">
        <f ca="1">IF(ACOMPANHAMENTO&lt;&gt;"BM",0,SUMPRODUCT(OFFSET(BM!$O$15,$A15,0,$B15)*(OFFSET(BM!$A$15,$A15,0,$B15)="S")*OFFSET(ORÇAMENTO!AA$15,$A15,0,$B15)/(OFFSET(ORÇAMENTO!$X$15,$A15,0,$B15)+10^-12)))</f>
        <v>0</v>
      </c>
      <c r="AN15" s="198">
        <f ca="1">IF(ACOMPANHAMENTO&lt;&gt;"BM",0,SUMPRODUCT(OFFSET(BM!$O$15,$A15,0,$B15)*(OFFSET(BM!$A$15,$A15,0,$B15)="S")*OFFSET(ORÇAMENTO!AB$15,$A15,0,$B15)/(OFFSET(ORÇAMENTO!$X$15,$A15,0,$B15)+10^-12)))</f>
        <v>0</v>
      </c>
      <c r="AO15" s="198">
        <f ca="1">IF(ACOMPANHAMENTO&lt;&gt;"BM",0,OFFSET(BM!$O$15,$A15,0))</f>
        <v>0</v>
      </c>
    </row>
    <row r="16" spans="1:41" x14ac:dyDescent="0.25">
      <c r="A16" t="e">
        <f ca="1">MATCH(E16,ORÇAMENTO!$E$15:$E$32,0)-1</f>
        <v>#N/A</v>
      </c>
      <c r="B16" t="e">
        <f ca="1">IF(ISERROR($A16),NA(),OFFSET(ORÇAMENTO!$D$15,$A16,0))</f>
        <v>#N/A</v>
      </c>
      <c r="C16" t="str">
        <f ca="1">QCI!B16</f>
        <v>Branco</v>
      </c>
      <c r="D16" t="str">
        <f t="shared" ca="1" si="0"/>
        <v/>
      </c>
      <c r="E16" s="321">
        <f>QCI!D16</f>
        <v>3</v>
      </c>
      <c r="F16" s="407" t="str">
        <f ca="1">QCI!G16</f>
        <v/>
      </c>
      <c r="G16" s="408">
        <f>QCI!H16</f>
        <v>0</v>
      </c>
      <c r="H16" s="286">
        <f>QCI!I16</f>
        <v>0</v>
      </c>
      <c r="I16" s="322" t="str">
        <f ca="1">QCI!J16</f>
        <v/>
      </c>
      <c r="J16" s="409" t="str">
        <f ca="1">QCI!K16</f>
        <v/>
      </c>
      <c r="K16" s="410" t="str">
        <f ca="1">IF($C16="Automático",IF(ACOMPANHAMENTO="BM",BM.medicao,PLE.Medicao),IF(ISBLANK($X16),"",$X16))</f>
        <v/>
      </c>
      <c r="L16" s="326">
        <f ca="1">QCI!$O16</f>
        <v>0</v>
      </c>
      <c r="M16" s="323">
        <f t="shared" ca="1" si="1"/>
        <v>0</v>
      </c>
      <c r="N16" s="324">
        <f t="shared" ca="1" si="2"/>
        <v>0</v>
      </c>
      <c r="O16" s="325">
        <f t="shared" ca="1" si="3"/>
        <v>0</v>
      </c>
      <c r="P16" s="412">
        <f t="shared" ca="1" si="4"/>
        <v>0</v>
      </c>
      <c r="R16" s="411">
        <f ca="1">ROUND(IF($C16="Automático",AC16+AJ16,$Y16*IF(ISERROR(QCI!$AA16/QCI!$O16),0,QCI!$AA16/QCI!$O16)),2)</f>
        <v>0</v>
      </c>
      <c r="S16" s="411">
        <f ca="1">ROUND(IF($C16="Automático",AD16+AK16,$Y16*IF(ISERROR(QCI!$AB16/QCI!$O16),0,QCI!$AB16/QCI!$O16)),2)</f>
        <v>0</v>
      </c>
      <c r="T16" s="411">
        <f ca="1">ROUND(IF($C16="Automático",AF16+AM16,$Z16*IF(ISERROR(QCI!$AA16/QCI!$O16),0,QCI!$AA16/QCI!$O16)),2)</f>
        <v>0</v>
      </c>
      <c r="U16" s="411">
        <f ca="1">ROUND(IF($C16="Automático",AG16+AN16,$Z16*IF(ISERROR(QCI!$AB16/QCI!$O16),0,QCI!$AB16/QCI!$O16)),2)</f>
        <v>0</v>
      </c>
      <c r="V16" s="539">
        <f ca="1">IF(AND($L16&gt;0,$J16&lt;&gt;0,$J16&lt;&gt;"",COUNTIF($J$13:$J16,$J16)=1),OFFSET(V16,-1,0)+1,OFFSET(V16,-1,0))</f>
        <v>1</v>
      </c>
      <c r="X16" s="327"/>
      <c r="Y16" s="328"/>
      <c r="Z16" s="330"/>
      <c r="AC16" s="198" t="e">
        <f ca="1">IF(ACOMPANHAMENTO&lt;&gt;"PLE",0,SUMPRODUCT((OFFSET(CÁLCULO!$AX$15:$BH$15,$A16,0,$B16)&lt;=(PLE.Medicao-1))*OFFSET(CÁLCULO!$AB$15:$AL$15,$A16,0,$B16)*OFFSET(ORÇAMENTO!$AA$15,$A16,0,$B16)/(OFFSET(ORÇAMENTO!$X$15,$A16,0,$B16)+10^-12))+IF(AUTOEVENTO="Manual",SUMPRODUCT((OFFSET(CÁLCULO!$M$15,$A16,0,$B16)=1)*OFFSET(ORÇAMENTO!$AA$15,$A16,0,$B16)*(PLE!$AE$9-PLE!$Y$9)),0))</f>
        <v>#N/A</v>
      </c>
      <c r="AD16" s="198" t="e">
        <f ca="1">IF(ACOMPANHAMENTO&lt;&gt;"PLE",0,SUMPRODUCT((OFFSET(CÁLCULO!$AX$15:$BH$15,$A16,0,$B16)&lt;=(PLE.Medicao-1))*OFFSET(CÁLCULO!$AB$15:$AL$15,$A16,0,$B16)*OFFSET(ORÇAMENTO!$AB$15,$A16,0,$B16)/(OFFSET(ORÇAMENTO!$X$15,$A16,0,$B16)+10^-12))+IF(AUTOEVENTO="Manual",SUMPRODUCT((OFFSET(CÁLCULO!$M$15,$A16,0,$B16)=1)*OFFSET(ORÇAMENTO!$AB$15,$A16,0,$B16)*(PLE!$AE$9-PLE!$Y$9)),0))</f>
        <v>#N/A</v>
      </c>
      <c r="AE16" s="198" t="e">
        <f ca="1">ROUND(IF(ACOMPANHAMENTO&lt;&gt;"PLE",0,SUMIF(OFFSET(CÁLCULO!$AX$15:$BH$15,$A16,0,$B16),"&lt;="&amp;(PLE.Medicao-1),OFFSET(CÁLCULO!$AB$15:$AL$15,$A16,0,$B16))+IF(AUTOEVENTO="Manual",SUMIF(OFFSET(CÁLCULO!$M$15,$A16,0,$B16),1,OFFSET(ORÇAMENTO!$X$15,$A16,0,$B16))*(PLE!$AE$9-PLE!$Y$9),0)),2)</f>
        <v>#N/A</v>
      </c>
      <c r="AF16" s="198" t="e">
        <f ca="1">IF(ACOMPANHAMENTO&lt;&gt;"PLE",0,SUMPRODUCT((OFFSET(CÁLCULO!$AX$15:$BH$15,$A16,0,$B16)&lt;=PLE.Medicao)*OFFSET(CÁLCULO!$AB$15:$AL$15,$A16,0,$B16)*OFFSET(ORÇAMENTO!$AA$15,$A16,0,$B16)/(OFFSET(ORÇAMENTO!$X$15,$A16,0,$B16)+10^-12))+IF(AUTOEVENTO="Manual",SUMPRODUCT((OFFSET(CÁLCULO!$M$15,$A16,0,$B16)=1)*OFFSET(ORÇAMENTO!$AA$15,$A16,0,$B16)*PLE!$AE$9),0))</f>
        <v>#N/A</v>
      </c>
      <c r="AG16" s="198" t="e">
        <f ca="1">IF(ACOMPANHAMENTO&lt;&gt;"PLE",0,SUMPRODUCT((OFFSET(CÁLCULO!$AX$15:$BH$15,$A16,0,$B16)&lt;=PLE.Medicao)*OFFSET(CÁLCULO!$AB$15:$AL$15,$A16,0,$B16)*OFFSET(ORÇAMENTO!$AB$15,$A16,0,$B16)/(OFFSET(ORÇAMENTO!$X$15,$A16,0,$B16)+10^-12))+IF(AUTOEVENTO="Manual",SUMPRODUCT((OFFSET(CÁLCULO!$M$15,$A16,0,$B16)=1)*OFFSET(ORÇAMENTO!$AB$15,$A16,0,$B16)*PLE!$AE$9),0))</f>
        <v>#N/A</v>
      </c>
      <c r="AH16" s="198" t="e">
        <f ca="1">ROUND(IF(ACOMPANHAMENTO&lt;&gt;"PLE",0,SUMIF(OFFSET(CÁLCULO!$AX$15:$BH$15,$A16,0,$B16),"&lt;="&amp;PLE.Medicao,OFFSET(CÁLCULO!$AB$15:$AL$15,$A16,0,$B16))+IF(AUTOEVENTO="Manual",SUMIF(OFFSET(CÁLCULO!$M$15,$A16,0,$B16),1,OFFSET(ORÇAMENTO!$X$15,$A16,0,$B16))*PLE!$AE$9,0)),2)</f>
        <v>#N/A</v>
      </c>
      <c r="AJ16" s="198">
        <f ca="1">IF(ACOMPANHAMENTO&lt;&gt;"BM",0,SUMPRODUCT(OFFSET(BM!$M$15,$A16,0,$B16)*(OFFSET(BM!$A$15,$A16,0,$B16)="S")*OFFSET(ORÇAMENTO!AA$15,$A16,0,$B16)/(OFFSET(ORÇAMENTO!$X$15,$A16,0,$B16)+10^-12)))</f>
        <v>0</v>
      </c>
      <c r="AK16" s="198">
        <f ca="1">IF(ACOMPANHAMENTO&lt;&gt;"BM",0,SUMPRODUCT(OFFSET(BM!$M$15,$A16,0,$B16)*(OFFSET(BM!$A$15,$A16,0,$B16)="S")*OFFSET(ORÇAMENTO!AB$15,$A16,0,$B16)/(OFFSET(ORÇAMENTO!$X$15,$A16,0,$B16)+10^-12)))</f>
        <v>0</v>
      </c>
      <c r="AL16" s="198">
        <f ca="1">IF(ACOMPANHAMENTO&lt;&gt;"BM",0,OFFSET(BM!$M$15,$A16,0))</f>
        <v>0</v>
      </c>
      <c r="AM16" s="198">
        <f ca="1">IF(ACOMPANHAMENTO&lt;&gt;"BM",0,SUMPRODUCT(OFFSET(BM!$O$15,$A16,0,$B16)*(OFFSET(BM!$A$15,$A16,0,$B16)="S")*OFFSET(ORÇAMENTO!AA$15,$A16,0,$B16)/(OFFSET(ORÇAMENTO!$X$15,$A16,0,$B16)+10^-12)))</f>
        <v>0</v>
      </c>
      <c r="AN16" s="198">
        <f ca="1">IF(ACOMPANHAMENTO&lt;&gt;"BM",0,SUMPRODUCT(OFFSET(BM!$O$15,$A16,0,$B16)*(OFFSET(BM!$A$15,$A16,0,$B16)="S")*OFFSET(ORÇAMENTO!AB$15,$A16,0,$B16)/(OFFSET(ORÇAMENTO!$X$15,$A16,0,$B16)+10^-12)))</f>
        <v>0</v>
      </c>
      <c r="AO16" s="198">
        <f ca="1">IF(ACOMPANHAMENTO&lt;&gt;"BM",0,OFFSET(BM!$O$15,$A16,0))</f>
        <v>0</v>
      </c>
    </row>
    <row r="17" spans="1:41" x14ac:dyDescent="0.25">
      <c r="A17" t="e">
        <f ca="1">MATCH(E17,ORÇAMENTO!$E$15:$E$32,0)-1</f>
        <v>#N/A</v>
      </c>
      <c r="B17" t="e">
        <f ca="1">IF(ISERROR($A17),NA(),OFFSET(ORÇAMENTO!$D$15,$A17,0))</f>
        <v>#N/A</v>
      </c>
      <c r="C17" t="str">
        <f ca="1">QCI!B17</f>
        <v>Branco</v>
      </c>
      <c r="D17" t="str">
        <f t="shared" ca="1" si="0"/>
        <v/>
      </c>
      <c r="E17" s="321">
        <f>QCI!D17</f>
        <v>4</v>
      </c>
      <c r="F17" s="407" t="str">
        <f ca="1">QCI!G17</f>
        <v/>
      </c>
      <c r="G17" s="408">
        <f>QCI!H17</f>
        <v>0</v>
      </c>
      <c r="H17" s="286">
        <f>QCI!I17</f>
        <v>0</v>
      </c>
      <c r="I17" s="322" t="str">
        <f ca="1">QCI!J17</f>
        <v/>
      </c>
      <c r="J17" s="409" t="str">
        <f ca="1">QCI!K17</f>
        <v/>
      </c>
      <c r="K17" s="410" t="str">
        <f ca="1">IF($C17="Automático",IF(ACOMPANHAMENTO="BM",BM.medicao,PLE.Medicao),IF(ISBLANK($X17),"",$X17))</f>
        <v/>
      </c>
      <c r="L17" s="326">
        <f ca="1">QCI!$O17</f>
        <v>0</v>
      </c>
      <c r="M17" s="323">
        <f t="shared" ca="1" si="1"/>
        <v>0</v>
      </c>
      <c r="N17" s="324">
        <f t="shared" ca="1" si="2"/>
        <v>0</v>
      </c>
      <c r="O17" s="325">
        <f t="shared" ca="1" si="3"/>
        <v>0</v>
      </c>
      <c r="P17" s="412">
        <f t="shared" ca="1" si="4"/>
        <v>0</v>
      </c>
      <c r="R17" s="411">
        <f ca="1">ROUND(IF($C17="Automático",AC17+AJ17,$Y17*IF(ISERROR(QCI!$AA17/QCI!$O17),0,QCI!$AA17/QCI!$O17)),2)</f>
        <v>0</v>
      </c>
      <c r="S17" s="411">
        <f ca="1">ROUND(IF($C17="Automático",AD17+AK17,$Y17*IF(ISERROR(QCI!$AB17/QCI!$O17),0,QCI!$AB17/QCI!$O17)),2)</f>
        <v>0</v>
      </c>
      <c r="T17" s="411">
        <f ca="1">ROUND(IF($C17="Automático",AF17+AM17,$Z17*IF(ISERROR(QCI!$AA17/QCI!$O17),0,QCI!$AA17/QCI!$O17)),2)</f>
        <v>0</v>
      </c>
      <c r="U17" s="411">
        <f ca="1">ROUND(IF($C17="Automático",AG17+AN17,$Z17*IF(ISERROR(QCI!$AB17/QCI!$O17),0,QCI!$AB17/QCI!$O17)),2)</f>
        <v>0</v>
      </c>
      <c r="V17" s="539">
        <f ca="1">IF(AND($L17&gt;0,$J17&lt;&gt;0,$J17&lt;&gt;"",COUNTIF($J$13:$J17,$J17)=1),OFFSET(V17,-1,0)+1,OFFSET(V17,-1,0))</f>
        <v>1</v>
      </c>
      <c r="X17" s="327"/>
      <c r="Y17" s="328"/>
      <c r="Z17" s="330"/>
      <c r="AC17" s="198" t="e">
        <f ca="1">IF(ACOMPANHAMENTO&lt;&gt;"PLE",0,SUMPRODUCT((OFFSET(CÁLCULO!$AX$15:$BH$15,$A17,0,$B17)&lt;=(PLE.Medicao-1))*OFFSET(CÁLCULO!$AB$15:$AL$15,$A17,0,$B17)*OFFSET(ORÇAMENTO!$AA$15,$A17,0,$B17)/(OFFSET(ORÇAMENTO!$X$15,$A17,0,$B17)+10^-12))+IF(AUTOEVENTO="Manual",SUMPRODUCT((OFFSET(CÁLCULO!$M$15,$A17,0,$B17)=1)*OFFSET(ORÇAMENTO!$AA$15,$A17,0,$B17)*(PLE!$AE$9-PLE!$Y$9)),0))</f>
        <v>#N/A</v>
      </c>
      <c r="AD17" s="198" t="e">
        <f ca="1">IF(ACOMPANHAMENTO&lt;&gt;"PLE",0,SUMPRODUCT((OFFSET(CÁLCULO!$AX$15:$BH$15,$A17,0,$B17)&lt;=(PLE.Medicao-1))*OFFSET(CÁLCULO!$AB$15:$AL$15,$A17,0,$B17)*OFFSET(ORÇAMENTO!$AB$15,$A17,0,$B17)/(OFFSET(ORÇAMENTO!$X$15,$A17,0,$B17)+10^-12))+IF(AUTOEVENTO="Manual",SUMPRODUCT((OFFSET(CÁLCULO!$M$15,$A17,0,$B17)=1)*OFFSET(ORÇAMENTO!$AB$15,$A17,0,$B17)*(PLE!$AE$9-PLE!$Y$9)),0))</f>
        <v>#N/A</v>
      </c>
      <c r="AE17" s="198" t="e">
        <f ca="1">ROUND(IF(ACOMPANHAMENTO&lt;&gt;"PLE",0,SUMIF(OFFSET(CÁLCULO!$AX$15:$BH$15,$A17,0,$B17),"&lt;="&amp;(PLE.Medicao-1),OFFSET(CÁLCULO!$AB$15:$AL$15,$A17,0,$B17))+IF(AUTOEVENTO="Manual",SUMIF(OFFSET(CÁLCULO!$M$15,$A17,0,$B17),1,OFFSET(ORÇAMENTO!$X$15,$A17,0,$B17))*(PLE!$AE$9-PLE!$Y$9),0)),2)</f>
        <v>#N/A</v>
      </c>
      <c r="AF17" s="198" t="e">
        <f ca="1">IF(ACOMPANHAMENTO&lt;&gt;"PLE",0,SUMPRODUCT((OFFSET(CÁLCULO!$AX$15:$BH$15,$A17,0,$B17)&lt;=PLE.Medicao)*OFFSET(CÁLCULO!$AB$15:$AL$15,$A17,0,$B17)*OFFSET(ORÇAMENTO!$AA$15,$A17,0,$B17)/(OFFSET(ORÇAMENTO!$X$15,$A17,0,$B17)+10^-12))+IF(AUTOEVENTO="Manual",SUMPRODUCT((OFFSET(CÁLCULO!$M$15,$A17,0,$B17)=1)*OFFSET(ORÇAMENTO!$AA$15,$A17,0,$B17)*PLE!$AE$9),0))</f>
        <v>#N/A</v>
      </c>
      <c r="AG17" s="198" t="e">
        <f ca="1">IF(ACOMPANHAMENTO&lt;&gt;"PLE",0,SUMPRODUCT((OFFSET(CÁLCULO!$AX$15:$BH$15,$A17,0,$B17)&lt;=PLE.Medicao)*OFFSET(CÁLCULO!$AB$15:$AL$15,$A17,0,$B17)*OFFSET(ORÇAMENTO!$AB$15,$A17,0,$B17)/(OFFSET(ORÇAMENTO!$X$15,$A17,0,$B17)+10^-12))+IF(AUTOEVENTO="Manual",SUMPRODUCT((OFFSET(CÁLCULO!$M$15,$A17,0,$B17)=1)*OFFSET(ORÇAMENTO!$AB$15,$A17,0,$B17)*PLE!$AE$9),0))</f>
        <v>#N/A</v>
      </c>
      <c r="AH17" s="198" t="e">
        <f ca="1">ROUND(IF(ACOMPANHAMENTO&lt;&gt;"PLE",0,SUMIF(OFFSET(CÁLCULO!$AX$15:$BH$15,$A17,0,$B17),"&lt;="&amp;PLE.Medicao,OFFSET(CÁLCULO!$AB$15:$AL$15,$A17,0,$B17))+IF(AUTOEVENTO="Manual",SUMIF(OFFSET(CÁLCULO!$M$15,$A17,0,$B17),1,OFFSET(ORÇAMENTO!$X$15,$A17,0,$B17))*PLE!$AE$9,0)),2)</f>
        <v>#N/A</v>
      </c>
      <c r="AJ17" s="198">
        <f ca="1">IF(ACOMPANHAMENTO&lt;&gt;"BM",0,SUMPRODUCT(OFFSET(BM!$M$15,$A17,0,$B17)*(OFFSET(BM!$A$15,$A17,0,$B17)="S")*OFFSET(ORÇAMENTO!AA$15,$A17,0,$B17)/(OFFSET(ORÇAMENTO!$X$15,$A17,0,$B17)+10^-12)))</f>
        <v>0</v>
      </c>
      <c r="AK17" s="198">
        <f ca="1">IF(ACOMPANHAMENTO&lt;&gt;"BM",0,SUMPRODUCT(OFFSET(BM!$M$15,$A17,0,$B17)*(OFFSET(BM!$A$15,$A17,0,$B17)="S")*OFFSET(ORÇAMENTO!AB$15,$A17,0,$B17)/(OFFSET(ORÇAMENTO!$X$15,$A17,0,$B17)+10^-12)))</f>
        <v>0</v>
      </c>
      <c r="AL17" s="198">
        <f ca="1">IF(ACOMPANHAMENTO&lt;&gt;"BM",0,OFFSET(BM!$M$15,$A17,0))</f>
        <v>0</v>
      </c>
      <c r="AM17" s="198">
        <f ca="1">IF(ACOMPANHAMENTO&lt;&gt;"BM",0,SUMPRODUCT(OFFSET(BM!$O$15,$A17,0,$B17)*(OFFSET(BM!$A$15,$A17,0,$B17)="S")*OFFSET(ORÇAMENTO!AA$15,$A17,0,$B17)/(OFFSET(ORÇAMENTO!$X$15,$A17,0,$B17)+10^-12)))</f>
        <v>0</v>
      </c>
      <c r="AN17" s="198">
        <f ca="1">IF(ACOMPANHAMENTO&lt;&gt;"BM",0,SUMPRODUCT(OFFSET(BM!$O$15,$A17,0,$B17)*(OFFSET(BM!$A$15,$A17,0,$B17)="S")*OFFSET(ORÇAMENTO!AB$15,$A17,0,$B17)/(OFFSET(ORÇAMENTO!$X$15,$A17,0,$B17)+10^-12)))</f>
        <v>0</v>
      </c>
      <c r="AO17" s="198">
        <f ca="1">IF(ACOMPANHAMENTO&lt;&gt;"BM",0,OFFSET(BM!$O$15,$A17,0))</f>
        <v>0</v>
      </c>
    </row>
    <row r="18" spans="1:41" x14ac:dyDescent="0.25">
      <c r="A18" t="e">
        <f ca="1">MATCH(E18,ORÇAMENTO!$E$15:$E$32,0)-1</f>
        <v>#N/A</v>
      </c>
      <c r="B18" t="e">
        <f ca="1">IF(ISERROR($A18),NA(),OFFSET(ORÇAMENTO!$D$15,$A18,0))</f>
        <v>#N/A</v>
      </c>
      <c r="C18" t="str">
        <f ca="1">QCI!B18</f>
        <v>Branco</v>
      </c>
      <c r="D18" t="str">
        <f t="shared" ca="1" si="0"/>
        <v/>
      </c>
      <c r="E18" s="321">
        <f>QCI!D18</f>
        <v>5</v>
      </c>
      <c r="F18" s="407" t="str">
        <f ca="1">QCI!G18</f>
        <v/>
      </c>
      <c r="G18" s="408">
        <f>QCI!H18</f>
        <v>0</v>
      </c>
      <c r="H18" s="286">
        <f>QCI!I18</f>
        <v>0</v>
      </c>
      <c r="I18" s="322" t="str">
        <f ca="1">QCI!J18</f>
        <v/>
      </c>
      <c r="J18" s="409" t="str">
        <f ca="1">QCI!K18</f>
        <v/>
      </c>
      <c r="K18" s="410" t="str">
        <f ca="1">IF($C18="Automático",IF(ACOMPANHAMENTO="BM",BM.medicao,PLE.Medicao),IF(ISBLANK($X18),"",$X18))</f>
        <v/>
      </c>
      <c r="L18" s="326">
        <f ca="1">QCI!$O18</f>
        <v>0</v>
      </c>
      <c r="M18" s="323">
        <f t="shared" ca="1" si="1"/>
        <v>0</v>
      </c>
      <c r="N18" s="324">
        <f t="shared" ca="1" si="2"/>
        <v>0</v>
      </c>
      <c r="O18" s="325">
        <f t="shared" ca="1" si="3"/>
        <v>0</v>
      </c>
      <c r="P18" s="412">
        <f t="shared" ca="1" si="4"/>
        <v>0</v>
      </c>
      <c r="R18" s="411">
        <f ca="1">ROUND(IF($C18="Automático",AC18+AJ18,$Y18*IF(ISERROR(QCI!$AA18/QCI!$O18),0,QCI!$AA18/QCI!$O18)),2)</f>
        <v>0</v>
      </c>
      <c r="S18" s="411">
        <f ca="1">ROUND(IF($C18="Automático",AD18+AK18,$Y18*IF(ISERROR(QCI!$AB18/QCI!$O18),0,QCI!$AB18/QCI!$O18)),2)</f>
        <v>0</v>
      </c>
      <c r="T18" s="411">
        <f ca="1">ROUND(IF($C18="Automático",AF18+AM18,$Z18*IF(ISERROR(QCI!$AA18/QCI!$O18),0,QCI!$AA18/QCI!$O18)),2)</f>
        <v>0</v>
      </c>
      <c r="U18" s="411">
        <f ca="1">ROUND(IF($C18="Automático",AG18+AN18,$Z18*IF(ISERROR(QCI!$AB18/QCI!$O18),0,QCI!$AB18/QCI!$O18)),2)</f>
        <v>0</v>
      </c>
      <c r="V18" s="539">
        <f ca="1">IF(AND($L18&gt;0,$J18&lt;&gt;0,$J18&lt;&gt;"",COUNTIF($J$13:$J18,$J18)=1),OFFSET(V18,-1,0)+1,OFFSET(V18,-1,0))</f>
        <v>1</v>
      </c>
      <c r="X18" s="327"/>
      <c r="Y18" s="328"/>
      <c r="Z18" s="330"/>
      <c r="AC18" s="198" t="e">
        <f ca="1">IF(ACOMPANHAMENTO&lt;&gt;"PLE",0,SUMPRODUCT((OFFSET(CÁLCULO!$AX$15:$BH$15,$A18,0,$B18)&lt;=(PLE.Medicao-1))*OFFSET(CÁLCULO!$AB$15:$AL$15,$A18,0,$B18)*OFFSET(ORÇAMENTO!$AA$15,$A18,0,$B18)/(OFFSET(ORÇAMENTO!$X$15,$A18,0,$B18)+10^-12))+IF(AUTOEVENTO="Manual",SUMPRODUCT((OFFSET(CÁLCULO!$M$15,$A18,0,$B18)=1)*OFFSET(ORÇAMENTO!$AA$15,$A18,0,$B18)*(PLE!$AE$9-PLE!$Y$9)),0))</f>
        <v>#N/A</v>
      </c>
      <c r="AD18" s="198" t="e">
        <f ca="1">IF(ACOMPANHAMENTO&lt;&gt;"PLE",0,SUMPRODUCT((OFFSET(CÁLCULO!$AX$15:$BH$15,$A18,0,$B18)&lt;=(PLE.Medicao-1))*OFFSET(CÁLCULO!$AB$15:$AL$15,$A18,0,$B18)*OFFSET(ORÇAMENTO!$AB$15,$A18,0,$B18)/(OFFSET(ORÇAMENTO!$X$15,$A18,0,$B18)+10^-12))+IF(AUTOEVENTO="Manual",SUMPRODUCT((OFFSET(CÁLCULO!$M$15,$A18,0,$B18)=1)*OFFSET(ORÇAMENTO!$AB$15,$A18,0,$B18)*(PLE!$AE$9-PLE!$Y$9)),0))</f>
        <v>#N/A</v>
      </c>
      <c r="AE18" s="198" t="e">
        <f ca="1">ROUND(IF(ACOMPANHAMENTO&lt;&gt;"PLE",0,SUMIF(OFFSET(CÁLCULO!$AX$15:$BH$15,$A18,0,$B18),"&lt;="&amp;(PLE.Medicao-1),OFFSET(CÁLCULO!$AB$15:$AL$15,$A18,0,$B18))+IF(AUTOEVENTO="Manual",SUMIF(OFFSET(CÁLCULO!$M$15,$A18,0,$B18),1,OFFSET(ORÇAMENTO!$X$15,$A18,0,$B18))*(PLE!$AE$9-PLE!$Y$9),0)),2)</f>
        <v>#N/A</v>
      </c>
      <c r="AF18" s="198" t="e">
        <f ca="1">IF(ACOMPANHAMENTO&lt;&gt;"PLE",0,SUMPRODUCT((OFFSET(CÁLCULO!$AX$15:$BH$15,$A18,0,$B18)&lt;=PLE.Medicao)*OFFSET(CÁLCULO!$AB$15:$AL$15,$A18,0,$B18)*OFFSET(ORÇAMENTO!$AA$15,$A18,0,$B18)/(OFFSET(ORÇAMENTO!$X$15,$A18,0,$B18)+10^-12))+IF(AUTOEVENTO="Manual",SUMPRODUCT((OFFSET(CÁLCULO!$M$15,$A18,0,$B18)=1)*OFFSET(ORÇAMENTO!$AA$15,$A18,0,$B18)*PLE!$AE$9),0))</f>
        <v>#N/A</v>
      </c>
      <c r="AG18" s="198" t="e">
        <f ca="1">IF(ACOMPANHAMENTO&lt;&gt;"PLE",0,SUMPRODUCT((OFFSET(CÁLCULO!$AX$15:$BH$15,$A18,0,$B18)&lt;=PLE.Medicao)*OFFSET(CÁLCULO!$AB$15:$AL$15,$A18,0,$B18)*OFFSET(ORÇAMENTO!$AB$15,$A18,0,$B18)/(OFFSET(ORÇAMENTO!$X$15,$A18,0,$B18)+10^-12))+IF(AUTOEVENTO="Manual",SUMPRODUCT((OFFSET(CÁLCULO!$M$15,$A18,0,$B18)=1)*OFFSET(ORÇAMENTO!$AB$15,$A18,0,$B18)*PLE!$AE$9),0))</f>
        <v>#N/A</v>
      </c>
      <c r="AH18" s="198" t="e">
        <f ca="1">ROUND(IF(ACOMPANHAMENTO&lt;&gt;"PLE",0,SUMIF(OFFSET(CÁLCULO!$AX$15:$BH$15,$A18,0,$B18),"&lt;="&amp;PLE.Medicao,OFFSET(CÁLCULO!$AB$15:$AL$15,$A18,0,$B18))+IF(AUTOEVENTO="Manual",SUMIF(OFFSET(CÁLCULO!$M$15,$A18,0,$B18),1,OFFSET(ORÇAMENTO!$X$15,$A18,0,$B18))*PLE!$AE$9,0)),2)</f>
        <v>#N/A</v>
      </c>
      <c r="AJ18" s="198">
        <f ca="1">IF(ACOMPANHAMENTO&lt;&gt;"BM",0,SUMPRODUCT(OFFSET(BM!$M$15,$A18,0,$B18)*(OFFSET(BM!$A$15,$A18,0,$B18)="S")*OFFSET(ORÇAMENTO!AA$15,$A18,0,$B18)/(OFFSET(ORÇAMENTO!$X$15,$A18,0,$B18)+10^-12)))</f>
        <v>0</v>
      </c>
      <c r="AK18" s="198">
        <f ca="1">IF(ACOMPANHAMENTO&lt;&gt;"BM",0,SUMPRODUCT(OFFSET(BM!$M$15,$A18,0,$B18)*(OFFSET(BM!$A$15,$A18,0,$B18)="S")*OFFSET(ORÇAMENTO!AB$15,$A18,0,$B18)/(OFFSET(ORÇAMENTO!$X$15,$A18,0,$B18)+10^-12)))</f>
        <v>0</v>
      </c>
      <c r="AL18" s="198">
        <f ca="1">IF(ACOMPANHAMENTO&lt;&gt;"BM",0,OFFSET(BM!$M$15,$A18,0))</f>
        <v>0</v>
      </c>
      <c r="AM18" s="198">
        <f ca="1">IF(ACOMPANHAMENTO&lt;&gt;"BM",0,SUMPRODUCT(OFFSET(BM!$O$15,$A18,0,$B18)*(OFFSET(BM!$A$15,$A18,0,$B18)="S")*OFFSET(ORÇAMENTO!AA$15,$A18,0,$B18)/(OFFSET(ORÇAMENTO!$X$15,$A18,0,$B18)+10^-12)))</f>
        <v>0</v>
      </c>
      <c r="AN18" s="198">
        <f ca="1">IF(ACOMPANHAMENTO&lt;&gt;"BM",0,SUMPRODUCT(OFFSET(BM!$O$15,$A18,0,$B18)*(OFFSET(BM!$A$15,$A18,0,$B18)="S")*OFFSET(ORÇAMENTO!AB$15,$A18,0,$B18)/(OFFSET(ORÇAMENTO!$X$15,$A18,0,$B18)+10^-12)))</f>
        <v>0</v>
      </c>
      <c r="AO18" s="198">
        <f ca="1">IF(ACOMPANHAMENTO&lt;&gt;"BM",0,OFFSET(BM!$O$15,$A18,0))</f>
        <v>0</v>
      </c>
    </row>
    <row r="19" spans="1:41" x14ac:dyDescent="0.25">
      <c r="A19" t="e">
        <f ca="1">MATCH(E19,ORÇAMENTO!$E$15:$E$32,0)-1</f>
        <v>#N/A</v>
      </c>
      <c r="B19" t="e">
        <f ca="1">IF(ISERROR($A19),NA(),OFFSET(ORÇAMENTO!$D$15,$A19,0))</f>
        <v>#N/A</v>
      </c>
      <c r="C19" t="str">
        <f ca="1">QCI!B19</f>
        <v>Branco</v>
      </c>
      <c r="D19" t="str">
        <f t="shared" ca="1" si="0"/>
        <v/>
      </c>
      <c r="E19" s="321">
        <f>QCI!D19</f>
        <v>6</v>
      </c>
      <c r="F19" s="407" t="str">
        <f ca="1">QCI!G19</f>
        <v/>
      </c>
      <c r="G19" s="408">
        <f>QCI!H19</f>
        <v>0</v>
      </c>
      <c r="H19" s="286">
        <f>QCI!I19</f>
        <v>0</v>
      </c>
      <c r="I19" s="322" t="str">
        <f ca="1">QCI!J19</f>
        <v/>
      </c>
      <c r="J19" s="409" t="str">
        <f ca="1">QCI!K19</f>
        <v/>
      </c>
      <c r="K19" s="410" t="str">
        <f ca="1">IF($C19="Automático",IF(ACOMPANHAMENTO="BM",BM.medicao,PLE.Medicao),IF(ISBLANK($X19),"",$X19))</f>
        <v/>
      </c>
      <c r="L19" s="326">
        <f ca="1">QCI!$O19</f>
        <v>0</v>
      </c>
      <c r="M19" s="323">
        <f t="shared" ca="1" si="1"/>
        <v>0</v>
      </c>
      <c r="N19" s="324">
        <f t="shared" ca="1" si="2"/>
        <v>0</v>
      </c>
      <c r="O19" s="325">
        <f t="shared" ca="1" si="3"/>
        <v>0</v>
      </c>
      <c r="P19" s="412">
        <f t="shared" ca="1" si="4"/>
        <v>0</v>
      </c>
      <c r="R19" s="411">
        <f ca="1">ROUND(IF($C19="Automático",AC19+AJ19,$Y19*IF(ISERROR(QCI!$AA19/QCI!$O19),0,QCI!$AA19/QCI!$O19)),2)</f>
        <v>0</v>
      </c>
      <c r="S19" s="411">
        <f ca="1">ROUND(IF($C19="Automático",AD19+AK19,$Y19*IF(ISERROR(QCI!$AB19/QCI!$O19),0,QCI!$AB19/QCI!$O19)),2)</f>
        <v>0</v>
      </c>
      <c r="T19" s="411">
        <f ca="1">ROUND(IF($C19="Automático",AF19+AM19,$Z19*IF(ISERROR(QCI!$AA19/QCI!$O19),0,QCI!$AA19/QCI!$O19)),2)</f>
        <v>0</v>
      </c>
      <c r="U19" s="411">
        <f ca="1">ROUND(IF($C19="Automático",AG19+AN19,$Z19*IF(ISERROR(QCI!$AB19/QCI!$O19),0,QCI!$AB19/QCI!$O19)),2)</f>
        <v>0</v>
      </c>
      <c r="V19" s="539">
        <f ca="1">IF(AND($L19&gt;0,$J19&lt;&gt;0,$J19&lt;&gt;"",COUNTIF($J$13:$J19,$J19)=1),OFFSET(V19,-1,0)+1,OFFSET(V19,-1,0))</f>
        <v>1</v>
      </c>
      <c r="X19" s="327"/>
      <c r="Y19" s="328"/>
      <c r="Z19" s="330"/>
      <c r="AC19" s="198" t="e">
        <f ca="1">IF(ACOMPANHAMENTO&lt;&gt;"PLE",0,SUMPRODUCT((OFFSET(CÁLCULO!$AX$15:$BH$15,$A19,0,$B19)&lt;=(PLE.Medicao-1))*OFFSET(CÁLCULO!$AB$15:$AL$15,$A19,0,$B19)*OFFSET(ORÇAMENTO!$AA$15,$A19,0,$B19)/(OFFSET(ORÇAMENTO!$X$15,$A19,0,$B19)+10^-12))+IF(AUTOEVENTO="Manual",SUMPRODUCT((OFFSET(CÁLCULO!$M$15,$A19,0,$B19)=1)*OFFSET(ORÇAMENTO!$AA$15,$A19,0,$B19)*(PLE!$AE$9-PLE!$Y$9)),0))</f>
        <v>#N/A</v>
      </c>
      <c r="AD19" s="198" t="e">
        <f ca="1">IF(ACOMPANHAMENTO&lt;&gt;"PLE",0,SUMPRODUCT((OFFSET(CÁLCULO!$AX$15:$BH$15,$A19,0,$B19)&lt;=(PLE.Medicao-1))*OFFSET(CÁLCULO!$AB$15:$AL$15,$A19,0,$B19)*OFFSET(ORÇAMENTO!$AB$15,$A19,0,$B19)/(OFFSET(ORÇAMENTO!$X$15,$A19,0,$B19)+10^-12))+IF(AUTOEVENTO="Manual",SUMPRODUCT((OFFSET(CÁLCULO!$M$15,$A19,0,$B19)=1)*OFFSET(ORÇAMENTO!$AB$15,$A19,0,$B19)*(PLE!$AE$9-PLE!$Y$9)),0))</f>
        <v>#N/A</v>
      </c>
      <c r="AE19" s="198" t="e">
        <f ca="1">ROUND(IF(ACOMPANHAMENTO&lt;&gt;"PLE",0,SUMIF(OFFSET(CÁLCULO!$AX$15:$BH$15,$A19,0,$B19),"&lt;="&amp;(PLE.Medicao-1),OFFSET(CÁLCULO!$AB$15:$AL$15,$A19,0,$B19))+IF(AUTOEVENTO="Manual",SUMIF(OFFSET(CÁLCULO!$M$15,$A19,0,$B19),1,OFFSET(ORÇAMENTO!$X$15,$A19,0,$B19))*(PLE!$AE$9-PLE!$Y$9),0)),2)</f>
        <v>#N/A</v>
      </c>
      <c r="AF19" s="198" t="e">
        <f ca="1">IF(ACOMPANHAMENTO&lt;&gt;"PLE",0,SUMPRODUCT((OFFSET(CÁLCULO!$AX$15:$BH$15,$A19,0,$B19)&lt;=PLE.Medicao)*OFFSET(CÁLCULO!$AB$15:$AL$15,$A19,0,$B19)*OFFSET(ORÇAMENTO!$AA$15,$A19,0,$B19)/(OFFSET(ORÇAMENTO!$X$15,$A19,0,$B19)+10^-12))+IF(AUTOEVENTO="Manual",SUMPRODUCT((OFFSET(CÁLCULO!$M$15,$A19,0,$B19)=1)*OFFSET(ORÇAMENTO!$AA$15,$A19,0,$B19)*PLE!$AE$9),0))</f>
        <v>#N/A</v>
      </c>
      <c r="AG19" s="198" t="e">
        <f ca="1">IF(ACOMPANHAMENTO&lt;&gt;"PLE",0,SUMPRODUCT((OFFSET(CÁLCULO!$AX$15:$BH$15,$A19,0,$B19)&lt;=PLE.Medicao)*OFFSET(CÁLCULO!$AB$15:$AL$15,$A19,0,$B19)*OFFSET(ORÇAMENTO!$AB$15,$A19,0,$B19)/(OFFSET(ORÇAMENTO!$X$15,$A19,0,$B19)+10^-12))+IF(AUTOEVENTO="Manual",SUMPRODUCT((OFFSET(CÁLCULO!$M$15,$A19,0,$B19)=1)*OFFSET(ORÇAMENTO!$AB$15,$A19,0,$B19)*PLE!$AE$9),0))</f>
        <v>#N/A</v>
      </c>
      <c r="AH19" s="198" t="e">
        <f ca="1">ROUND(IF(ACOMPANHAMENTO&lt;&gt;"PLE",0,SUMIF(OFFSET(CÁLCULO!$AX$15:$BH$15,$A19,0,$B19),"&lt;="&amp;PLE.Medicao,OFFSET(CÁLCULO!$AB$15:$AL$15,$A19,0,$B19))+IF(AUTOEVENTO="Manual",SUMIF(OFFSET(CÁLCULO!$M$15,$A19,0,$B19),1,OFFSET(ORÇAMENTO!$X$15,$A19,0,$B19))*PLE!$AE$9,0)),2)</f>
        <v>#N/A</v>
      </c>
      <c r="AJ19" s="198">
        <f ca="1">IF(ACOMPANHAMENTO&lt;&gt;"BM",0,SUMPRODUCT(OFFSET(BM!$M$15,$A19,0,$B19)*(OFFSET(BM!$A$15,$A19,0,$B19)="S")*OFFSET(ORÇAMENTO!AA$15,$A19,0,$B19)/(OFFSET(ORÇAMENTO!$X$15,$A19,0,$B19)+10^-12)))</f>
        <v>0</v>
      </c>
      <c r="AK19" s="198">
        <f ca="1">IF(ACOMPANHAMENTO&lt;&gt;"BM",0,SUMPRODUCT(OFFSET(BM!$M$15,$A19,0,$B19)*(OFFSET(BM!$A$15,$A19,0,$B19)="S")*OFFSET(ORÇAMENTO!AB$15,$A19,0,$B19)/(OFFSET(ORÇAMENTO!$X$15,$A19,0,$B19)+10^-12)))</f>
        <v>0</v>
      </c>
      <c r="AL19" s="198">
        <f ca="1">IF(ACOMPANHAMENTO&lt;&gt;"BM",0,OFFSET(BM!$M$15,$A19,0))</f>
        <v>0</v>
      </c>
      <c r="AM19" s="198">
        <f ca="1">IF(ACOMPANHAMENTO&lt;&gt;"BM",0,SUMPRODUCT(OFFSET(BM!$O$15,$A19,0,$B19)*(OFFSET(BM!$A$15,$A19,0,$B19)="S")*OFFSET(ORÇAMENTO!AA$15,$A19,0,$B19)/(OFFSET(ORÇAMENTO!$X$15,$A19,0,$B19)+10^-12)))</f>
        <v>0</v>
      </c>
      <c r="AN19" s="198">
        <f ca="1">IF(ACOMPANHAMENTO&lt;&gt;"BM",0,SUMPRODUCT(OFFSET(BM!$O$15,$A19,0,$B19)*(OFFSET(BM!$A$15,$A19,0,$B19)="S")*OFFSET(ORÇAMENTO!AB$15,$A19,0,$B19)/(OFFSET(ORÇAMENTO!$X$15,$A19,0,$B19)+10^-12)))</f>
        <v>0</v>
      </c>
      <c r="AO19" s="198">
        <f ca="1">IF(ACOMPANHAMENTO&lt;&gt;"BM",0,OFFSET(BM!$O$15,$A19,0))</f>
        <v>0</v>
      </c>
    </row>
    <row r="20" spans="1:41" x14ac:dyDescent="0.25">
      <c r="A20" t="e">
        <f ca="1">MATCH(E20,ORÇAMENTO!$E$15:$E$32,0)-1</f>
        <v>#N/A</v>
      </c>
      <c r="B20" t="e">
        <f ca="1">IF(ISERROR($A20),NA(),OFFSET(ORÇAMENTO!$D$15,$A20,0))</f>
        <v>#N/A</v>
      </c>
      <c r="C20" t="str">
        <f ca="1">QCI!B20</f>
        <v>Branco</v>
      </c>
      <c r="D20" t="str">
        <f t="shared" ca="1" si="0"/>
        <v/>
      </c>
      <c r="E20" s="321">
        <f>QCI!D20</f>
        <v>7</v>
      </c>
      <c r="F20" s="407" t="str">
        <f ca="1">QCI!G20</f>
        <v/>
      </c>
      <c r="G20" s="408">
        <f>QCI!H20</f>
        <v>0</v>
      </c>
      <c r="H20" s="286">
        <f>QCI!I20</f>
        <v>0</v>
      </c>
      <c r="I20" s="322" t="str">
        <f ca="1">QCI!J20</f>
        <v/>
      </c>
      <c r="J20" s="409" t="str">
        <f ca="1">QCI!K20</f>
        <v/>
      </c>
      <c r="K20" s="410" t="str">
        <f ca="1">IF($C20="Automático",IF(ACOMPANHAMENTO="BM",BM.medicao,PLE.Medicao),IF(ISBLANK($X20),"",$X20))</f>
        <v/>
      </c>
      <c r="L20" s="326">
        <f ca="1">QCI!$O20</f>
        <v>0</v>
      </c>
      <c r="M20" s="323">
        <f t="shared" ca="1" si="1"/>
        <v>0</v>
      </c>
      <c r="N20" s="324">
        <f t="shared" ca="1" si="2"/>
        <v>0</v>
      </c>
      <c r="O20" s="325">
        <f t="shared" ca="1" si="3"/>
        <v>0</v>
      </c>
      <c r="P20" s="412">
        <f t="shared" ca="1" si="4"/>
        <v>0</v>
      </c>
      <c r="R20" s="411">
        <f ca="1">ROUND(IF($C20="Automático",AC20+AJ20,$Y20*IF(ISERROR(QCI!$AA20/QCI!$O20),0,QCI!$AA20/QCI!$O20)),2)</f>
        <v>0</v>
      </c>
      <c r="S20" s="411">
        <f ca="1">ROUND(IF($C20="Automático",AD20+AK20,$Y20*IF(ISERROR(QCI!$AB20/QCI!$O20),0,QCI!$AB20/QCI!$O20)),2)</f>
        <v>0</v>
      </c>
      <c r="T20" s="411">
        <f ca="1">ROUND(IF($C20="Automático",AF20+AM20,$Z20*IF(ISERROR(QCI!$AA20/QCI!$O20),0,QCI!$AA20/QCI!$O20)),2)</f>
        <v>0</v>
      </c>
      <c r="U20" s="411">
        <f ca="1">ROUND(IF($C20="Automático",AG20+AN20,$Z20*IF(ISERROR(QCI!$AB20/QCI!$O20),0,QCI!$AB20/QCI!$O20)),2)</f>
        <v>0</v>
      </c>
      <c r="V20" s="539">
        <f ca="1">IF(AND($L20&gt;0,$J20&lt;&gt;0,$J20&lt;&gt;"",COUNTIF($J$13:$J20,$J20)=1),OFFSET(V20,-1,0)+1,OFFSET(V20,-1,0))</f>
        <v>1</v>
      </c>
      <c r="X20" s="327"/>
      <c r="Y20" s="328"/>
      <c r="Z20" s="330"/>
      <c r="AC20" s="198" t="e">
        <f ca="1">IF(ACOMPANHAMENTO&lt;&gt;"PLE",0,SUMPRODUCT((OFFSET(CÁLCULO!$AX$15:$BH$15,$A20,0,$B20)&lt;=(PLE.Medicao-1))*OFFSET(CÁLCULO!$AB$15:$AL$15,$A20,0,$B20)*OFFSET(ORÇAMENTO!$AA$15,$A20,0,$B20)/(OFFSET(ORÇAMENTO!$X$15,$A20,0,$B20)+10^-12))+IF(AUTOEVENTO="Manual",SUMPRODUCT((OFFSET(CÁLCULO!$M$15,$A20,0,$B20)=1)*OFFSET(ORÇAMENTO!$AA$15,$A20,0,$B20)*(PLE!$AE$9-PLE!$Y$9)),0))</f>
        <v>#N/A</v>
      </c>
      <c r="AD20" s="198" t="e">
        <f ca="1">IF(ACOMPANHAMENTO&lt;&gt;"PLE",0,SUMPRODUCT((OFFSET(CÁLCULO!$AX$15:$BH$15,$A20,0,$B20)&lt;=(PLE.Medicao-1))*OFFSET(CÁLCULO!$AB$15:$AL$15,$A20,0,$B20)*OFFSET(ORÇAMENTO!$AB$15,$A20,0,$B20)/(OFFSET(ORÇAMENTO!$X$15,$A20,0,$B20)+10^-12))+IF(AUTOEVENTO="Manual",SUMPRODUCT((OFFSET(CÁLCULO!$M$15,$A20,0,$B20)=1)*OFFSET(ORÇAMENTO!$AB$15,$A20,0,$B20)*(PLE!$AE$9-PLE!$Y$9)),0))</f>
        <v>#N/A</v>
      </c>
      <c r="AE20" s="198" t="e">
        <f ca="1">ROUND(IF(ACOMPANHAMENTO&lt;&gt;"PLE",0,SUMIF(OFFSET(CÁLCULO!$AX$15:$BH$15,$A20,0,$B20),"&lt;="&amp;(PLE.Medicao-1),OFFSET(CÁLCULO!$AB$15:$AL$15,$A20,0,$B20))+IF(AUTOEVENTO="Manual",SUMIF(OFFSET(CÁLCULO!$M$15,$A20,0,$B20),1,OFFSET(ORÇAMENTO!$X$15,$A20,0,$B20))*(PLE!$AE$9-PLE!$Y$9),0)),2)</f>
        <v>#N/A</v>
      </c>
      <c r="AF20" s="198" t="e">
        <f ca="1">IF(ACOMPANHAMENTO&lt;&gt;"PLE",0,SUMPRODUCT((OFFSET(CÁLCULO!$AX$15:$BH$15,$A20,0,$B20)&lt;=PLE.Medicao)*OFFSET(CÁLCULO!$AB$15:$AL$15,$A20,0,$B20)*OFFSET(ORÇAMENTO!$AA$15,$A20,0,$B20)/(OFFSET(ORÇAMENTO!$X$15,$A20,0,$B20)+10^-12))+IF(AUTOEVENTO="Manual",SUMPRODUCT((OFFSET(CÁLCULO!$M$15,$A20,0,$B20)=1)*OFFSET(ORÇAMENTO!$AA$15,$A20,0,$B20)*PLE!$AE$9),0))</f>
        <v>#N/A</v>
      </c>
      <c r="AG20" s="198" t="e">
        <f ca="1">IF(ACOMPANHAMENTO&lt;&gt;"PLE",0,SUMPRODUCT((OFFSET(CÁLCULO!$AX$15:$BH$15,$A20,0,$B20)&lt;=PLE.Medicao)*OFFSET(CÁLCULO!$AB$15:$AL$15,$A20,0,$B20)*OFFSET(ORÇAMENTO!$AB$15,$A20,0,$B20)/(OFFSET(ORÇAMENTO!$X$15,$A20,0,$B20)+10^-12))+IF(AUTOEVENTO="Manual",SUMPRODUCT((OFFSET(CÁLCULO!$M$15,$A20,0,$B20)=1)*OFFSET(ORÇAMENTO!$AB$15,$A20,0,$B20)*PLE!$AE$9),0))</f>
        <v>#N/A</v>
      </c>
      <c r="AH20" s="198" t="e">
        <f ca="1">ROUND(IF(ACOMPANHAMENTO&lt;&gt;"PLE",0,SUMIF(OFFSET(CÁLCULO!$AX$15:$BH$15,$A20,0,$B20),"&lt;="&amp;PLE.Medicao,OFFSET(CÁLCULO!$AB$15:$AL$15,$A20,0,$B20))+IF(AUTOEVENTO="Manual",SUMIF(OFFSET(CÁLCULO!$M$15,$A20,0,$B20),1,OFFSET(ORÇAMENTO!$X$15,$A20,0,$B20))*PLE!$AE$9,0)),2)</f>
        <v>#N/A</v>
      </c>
      <c r="AJ20" s="198">
        <f ca="1">IF(ACOMPANHAMENTO&lt;&gt;"BM",0,SUMPRODUCT(OFFSET(BM!$M$15,$A20,0,$B20)*(OFFSET(BM!$A$15,$A20,0,$B20)="S")*OFFSET(ORÇAMENTO!AA$15,$A20,0,$B20)/(OFFSET(ORÇAMENTO!$X$15,$A20,0,$B20)+10^-12)))</f>
        <v>0</v>
      </c>
      <c r="AK20" s="198">
        <f ca="1">IF(ACOMPANHAMENTO&lt;&gt;"BM",0,SUMPRODUCT(OFFSET(BM!$M$15,$A20,0,$B20)*(OFFSET(BM!$A$15,$A20,0,$B20)="S")*OFFSET(ORÇAMENTO!AB$15,$A20,0,$B20)/(OFFSET(ORÇAMENTO!$X$15,$A20,0,$B20)+10^-12)))</f>
        <v>0</v>
      </c>
      <c r="AL20" s="198">
        <f ca="1">IF(ACOMPANHAMENTO&lt;&gt;"BM",0,OFFSET(BM!$M$15,$A20,0))</f>
        <v>0</v>
      </c>
      <c r="AM20" s="198">
        <f ca="1">IF(ACOMPANHAMENTO&lt;&gt;"BM",0,SUMPRODUCT(OFFSET(BM!$O$15,$A20,0,$B20)*(OFFSET(BM!$A$15,$A20,0,$B20)="S")*OFFSET(ORÇAMENTO!AA$15,$A20,0,$B20)/(OFFSET(ORÇAMENTO!$X$15,$A20,0,$B20)+10^-12)))</f>
        <v>0</v>
      </c>
      <c r="AN20" s="198">
        <f ca="1">IF(ACOMPANHAMENTO&lt;&gt;"BM",0,SUMPRODUCT(OFFSET(BM!$O$15,$A20,0,$B20)*(OFFSET(BM!$A$15,$A20,0,$B20)="S")*OFFSET(ORÇAMENTO!AB$15,$A20,0,$B20)/(OFFSET(ORÇAMENTO!$X$15,$A20,0,$B20)+10^-12)))</f>
        <v>0</v>
      </c>
      <c r="AO20" s="198">
        <f ca="1">IF(ACOMPANHAMENTO&lt;&gt;"BM",0,OFFSET(BM!$O$15,$A20,0))</f>
        <v>0</v>
      </c>
    </row>
    <row r="21" spans="1:41" x14ac:dyDescent="0.25">
      <c r="A21" t="e">
        <f ca="1">MATCH(E21,ORÇAMENTO!$E$15:$E$32,0)-1</f>
        <v>#N/A</v>
      </c>
      <c r="B21" t="e">
        <f ca="1">IF(ISERROR($A21),NA(),OFFSET(ORÇAMENTO!$D$15,$A21,0))</f>
        <v>#N/A</v>
      </c>
      <c r="C21" t="str">
        <f ca="1">QCI!B21</f>
        <v>Branco</v>
      </c>
      <c r="D21" t="str">
        <f t="shared" ca="1" si="0"/>
        <v/>
      </c>
      <c r="E21" s="321">
        <f>QCI!D21</f>
        <v>8</v>
      </c>
      <c r="F21" s="407" t="str">
        <f ca="1">QCI!G21</f>
        <v/>
      </c>
      <c r="G21" s="408">
        <f>QCI!H21</f>
        <v>0</v>
      </c>
      <c r="H21" s="286">
        <f>QCI!I21</f>
        <v>0</v>
      </c>
      <c r="I21" s="322" t="str">
        <f ca="1">QCI!J21</f>
        <v/>
      </c>
      <c r="J21" s="409" t="str">
        <f ca="1">QCI!K21</f>
        <v/>
      </c>
      <c r="K21" s="410" t="str">
        <f ca="1">IF($C21="Automático",IF(ACOMPANHAMENTO="BM",BM.medicao,PLE.Medicao),IF(ISBLANK($X21),"",$X21))</f>
        <v/>
      </c>
      <c r="L21" s="326">
        <f ca="1">QCI!$O21</f>
        <v>0</v>
      </c>
      <c r="M21" s="323">
        <f t="shared" ca="1" si="1"/>
        <v>0</v>
      </c>
      <c r="N21" s="324">
        <f t="shared" ca="1" si="2"/>
        <v>0</v>
      </c>
      <c r="O21" s="325">
        <f t="shared" ca="1" si="3"/>
        <v>0</v>
      </c>
      <c r="P21" s="412">
        <f t="shared" ca="1" si="4"/>
        <v>0</v>
      </c>
      <c r="R21" s="411">
        <f ca="1">ROUND(IF($C21="Automático",AC21+AJ21,$Y21*IF(ISERROR(QCI!$AA21/QCI!$O21),0,QCI!$AA21/QCI!$O21)),2)</f>
        <v>0</v>
      </c>
      <c r="S21" s="411">
        <f ca="1">ROUND(IF($C21="Automático",AD21+AK21,$Y21*IF(ISERROR(QCI!$AB21/QCI!$O21),0,QCI!$AB21/QCI!$O21)),2)</f>
        <v>0</v>
      </c>
      <c r="T21" s="411">
        <f ca="1">ROUND(IF($C21="Automático",AF21+AM21,$Z21*IF(ISERROR(QCI!$AA21/QCI!$O21),0,QCI!$AA21/QCI!$O21)),2)</f>
        <v>0</v>
      </c>
      <c r="U21" s="411">
        <f ca="1">ROUND(IF($C21="Automático",AG21+AN21,$Z21*IF(ISERROR(QCI!$AB21/QCI!$O21),0,QCI!$AB21/QCI!$O21)),2)</f>
        <v>0</v>
      </c>
      <c r="V21" s="539">
        <f ca="1">IF(AND($L21&gt;0,$J21&lt;&gt;0,$J21&lt;&gt;"",COUNTIF($J$13:$J21,$J21)=1),OFFSET(V21,-1,0)+1,OFFSET(V21,-1,0))</f>
        <v>1</v>
      </c>
      <c r="X21" s="327"/>
      <c r="Y21" s="328"/>
      <c r="Z21" s="330"/>
      <c r="AC21" s="198" t="e">
        <f ca="1">IF(ACOMPANHAMENTO&lt;&gt;"PLE",0,SUMPRODUCT((OFFSET(CÁLCULO!$AX$15:$BH$15,$A21,0,$B21)&lt;=(PLE.Medicao-1))*OFFSET(CÁLCULO!$AB$15:$AL$15,$A21,0,$B21)*OFFSET(ORÇAMENTO!$AA$15,$A21,0,$B21)/(OFFSET(ORÇAMENTO!$X$15,$A21,0,$B21)+10^-12))+IF(AUTOEVENTO="Manual",SUMPRODUCT((OFFSET(CÁLCULO!$M$15,$A21,0,$B21)=1)*OFFSET(ORÇAMENTO!$AA$15,$A21,0,$B21)*(PLE!$AE$9-PLE!$Y$9)),0))</f>
        <v>#N/A</v>
      </c>
      <c r="AD21" s="198" t="e">
        <f ca="1">IF(ACOMPANHAMENTO&lt;&gt;"PLE",0,SUMPRODUCT((OFFSET(CÁLCULO!$AX$15:$BH$15,$A21,0,$B21)&lt;=(PLE.Medicao-1))*OFFSET(CÁLCULO!$AB$15:$AL$15,$A21,0,$B21)*OFFSET(ORÇAMENTO!$AB$15,$A21,0,$B21)/(OFFSET(ORÇAMENTO!$X$15,$A21,0,$B21)+10^-12))+IF(AUTOEVENTO="Manual",SUMPRODUCT((OFFSET(CÁLCULO!$M$15,$A21,0,$B21)=1)*OFFSET(ORÇAMENTO!$AB$15,$A21,0,$B21)*(PLE!$AE$9-PLE!$Y$9)),0))</f>
        <v>#N/A</v>
      </c>
      <c r="AE21" s="198" t="e">
        <f ca="1">ROUND(IF(ACOMPANHAMENTO&lt;&gt;"PLE",0,SUMIF(OFFSET(CÁLCULO!$AX$15:$BH$15,$A21,0,$B21),"&lt;="&amp;(PLE.Medicao-1),OFFSET(CÁLCULO!$AB$15:$AL$15,$A21,0,$B21))+IF(AUTOEVENTO="Manual",SUMIF(OFFSET(CÁLCULO!$M$15,$A21,0,$B21),1,OFFSET(ORÇAMENTO!$X$15,$A21,0,$B21))*(PLE!$AE$9-PLE!$Y$9),0)),2)</f>
        <v>#N/A</v>
      </c>
      <c r="AF21" s="198" t="e">
        <f ca="1">IF(ACOMPANHAMENTO&lt;&gt;"PLE",0,SUMPRODUCT((OFFSET(CÁLCULO!$AX$15:$BH$15,$A21,0,$B21)&lt;=PLE.Medicao)*OFFSET(CÁLCULO!$AB$15:$AL$15,$A21,0,$B21)*OFFSET(ORÇAMENTO!$AA$15,$A21,0,$B21)/(OFFSET(ORÇAMENTO!$X$15,$A21,0,$B21)+10^-12))+IF(AUTOEVENTO="Manual",SUMPRODUCT((OFFSET(CÁLCULO!$M$15,$A21,0,$B21)=1)*OFFSET(ORÇAMENTO!$AA$15,$A21,0,$B21)*PLE!$AE$9),0))</f>
        <v>#N/A</v>
      </c>
      <c r="AG21" s="198" t="e">
        <f ca="1">IF(ACOMPANHAMENTO&lt;&gt;"PLE",0,SUMPRODUCT((OFFSET(CÁLCULO!$AX$15:$BH$15,$A21,0,$B21)&lt;=PLE.Medicao)*OFFSET(CÁLCULO!$AB$15:$AL$15,$A21,0,$B21)*OFFSET(ORÇAMENTO!$AB$15,$A21,0,$B21)/(OFFSET(ORÇAMENTO!$X$15,$A21,0,$B21)+10^-12))+IF(AUTOEVENTO="Manual",SUMPRODUCT((OFFSET(CÁLCULO!$M$15,$A21,0,$B21)=1)*OFFSET(ORÇAMENTO!$AB$15,$A21,0,$B21)*PLE!$AE$9),0))</f>
        <v>#N/A</v>
      </c>
      <c r="AH21" s="198" t="e">
        <f ca="1">ROUND(IF(ACOMPANHAMENTO&lt;&gt;"PLE",0,SUMIF(OFFSET(CÁLCULO!$AX$15:$BH$15,$A21,0,$B21),"&lt;="&amp;PLE.Medicao,OFFSET(CÁLCULO!$AB$15:$AL$15,$A21,0,$B21))+IF(AUTOEVENTO="Manual",SUMIF(OFFSET(CÁLCULO!$M$15,$A21,0,$B21),1,OFFSET(ORÇAMENTO!$X$15,$A21,0,$B21))*PLE!$AE$9,0)),2)</f>
        <v>#N/A</v>
      </c>
      <c r="AJ21" s="198">
        <f ca="1">IF(ACOMPANHAMENTO&lt;&gt;"BM",0,SUMPRODUCT(OFFSET(BM!$M$15,$A21,0,$B21)*(OFFSET(BM!$A$15,$A21,0,$B21)="S")*OFFSET(ORÇAMENTO!AA$15,$A21,0,$B21)/(OFFSET(ORÇAMENTO!$X$15,$A21,0,$B21)+10^-12)))</f>
        <v>0</v>
      </c>
      <c r="AK21" s="198">
        <f ca="1">IF(ACOMPANHAMENTO&lt;&gt;"BM",0,SUMPRODUCT(OFFSET(BM!$M$15,$A21,0,$B21)*(OFFSET(BM!$A$15,$A21,0,$B21)="S")*OFFSET(ORÇAMENTO!AB$15,$A21,0,$B21)/(OFFSET(ORÇAMENTO!$X$15,$A21,0,$B21)+10^-12)))</f>
        <v>0</v>
      </c>
      <c r="AL21" s="198">
        <f ca="1">IF(ACOMPANHAMENTO&lt;&gt;"BM",0,OFFSET(BM!$M$15,$A21,0))</f>
        <v>0</v>
      </c>
      <c r="AM21" s="198">
        <f ca="1">IF(ACOMPANHAMENTO&lt;&gt;"BM",0,SUMPRODUCT(OFFSET(BM!$O$15,$A21,0,$B21)*(OFFSET(BM!$A$15,$A21,0,$B21)="S")*OFFSET(ORÇAMENTO!AA$15,$A21,0,$B21)/(OFFSET(ORÇAMENTO!$X$15,$A21,0,$B21)+10^-12)))</f>
        <v>0</v>
      </c>
      <c r="AN21" s="198">
        <f ca="1">IF(ACOMPANHAMENTO&lt;&gt;"BM",0,SUMPRODUCT(OFFSET(BM!$O$15,$A21,0,$B21)*(OFFSET(BM!$A$15,$A21,0,$B21)="S")*OFFSET(ORÇAMENTO!AB$15,$A21,0,$B21)/(OFFSET(ORÇAMENTO!$X$15,$A21,0,$B21)+10^-12)))</f>
        <v>0</v>
      </c>
      <c r="AO21" s="198">
        <f ca="1">IF(ACOMPANHAMENTO&lt;&gt;"BM",0,OFFSET(BM!$O$15,$A21,0))</f>
        <v>0</v>
      </c>
    </row>
    <row r="22" spans="1:41" x14ac:dyDescent="0.25">
      <c r="A22" t="e">
        <f ca="1">MATCH(E22,ORÇAMENTO!$E$15:$E$32,0)-1</f>
        <v>#N/A</v>
      </c>
      <c r="B22" t="e">
        <f ca="1">IF(ISERROR($A22),NA(),OFFSET(ORÇAMENTO!$D$15,$A22,0))</f>
        <v>#N/A</v>
      </c>
      <c r="C22" t="str">
        <f ca="1">QCI!B22</f>
        <v>Branco</v>
      </c>
      <c r="D22" t="str">
        <f t="shared" ca="1" si="0"/>
        <v/>
      </c>
      <c r="E22" s="321">
        <f>QCI!D22</f>
        <v>9</v>
      </c>
      <c r="F22" s="407" t="str">
        <f ca="1">QCI!G22</f>
        <v/>
      </c>
      <c r="G22" s="408">
        <f>QCI!H22</f>
        <v>0</v>
      </c>
      <c r="H22" s="286">
        <f>QCI!I22</f>
        <v>0</v>
      </c>
      <c r="I22" s="322" t="str">
        <f ca="1">QCI!J22</f>
        <v/>
      </c>
      <c r="J22" s="409" t="str">
        <f ca="1">QCI!K22</f>
        <v/>
      </c>
      <c r="K22" s="410" t="str">
        <f ca="1">IF($C22="Automático",IF(ACOMPANHAMENTO="BM",BM.medicao,PLE.Medicao),IF(ISBLANK($X22),"",$X22))</f>
        <v/>
      </c>
      <c r="L22" s="326">
        <f ca="1">QCI!$O22</f>
        <v>0</v>
      </c>
      <c r="M22" s="323">
        <f t="shared" ca="1" si="1"/>
        <v>0</v>
      </c>
      <c r="N22" s="324">
        <f t="shared" ca="1" si="2"/>
        <v>0</v>
      </c>
      <c r="O22" s="325">
        <f t="shared" ca="1" si="3"/>
        <v>0</v>
      </c>
      <c r="P22" s="412">
        <f t="shared" ca="1" si="4"/>
        <v>0</v>
      </c>
      <c r="R22" s="411">
        <f ca="1">ROUND(IF($C22="Automático",AC22+AJ22,$Y22*IF(ISERROR(QCI!$AA22/QCI!$O22),0,QCI!$AA22/QCI!$O22)),2)</f>
        <v>0</v>
      </c>
      <c r="S22" s="411">
        <f ca="1">ROUND(IF($C22="Automático",AD22+AK22,$Y22*IF(ISERROR(QCI!$AB22/QCI!$O22),0,QCI!$AB22/QCI!$O22)),2)</f>
        <v>0</v>
      </c>
      <c r="T22" s="411">
        <f ca="1">ROUND(IF($C22="Automático",AF22+AM22,$Z22*IF(ISERROR(QCI!$AA22/QCI!$O22),0,QCI!$AA22/QCI!$O22)),2)</f>
        <v>0</v>
      </c>
      <c r="U22" s="411">
        <f ca="1">ROUND(IF($C22="Automático",AG22+AN22,$Z22*IF(ISERROR(QCI!$AB22/QCI!$O22),0,QCI!$AB22/QCI!$O22)),2)</f>
        <v>0</v>
      </c>
      <c r="V22" s="539">
        <f ca="1">IF(AND($L22&gt;0,$J22&lt;&gt;0,$J22&lt;&gt;"",COUNTIF($J$13:$J22,$J22)=1),OFFSET(V22,-1,0)+1,OFFSET(V22,-1,0))</f>
        <v>1</v>
      </c>
      <c r="X22" s="327"/>
      <c r="Y22" s="328"/>
      <c r="Z22" s="330"/>
      <c r="AC22" s="198" t="e">
        <f ca="1">IF(ACOMPANHAMENTO&lt;&gt;"PLE",0,SUMPRODUCT((OFFSET(CÁLCULO!$AX$15:$BH$15,$A22,0,$B22)&lt;=(PLE.Medicao-1))*OFFSET(CÁLCULO!$AB$15:$AL$15,$A22,0,$B22)*OFFSET(ORÇAMENTO!$AA$15,$A22,0,$B22)/(OFFSET(ORÇAMENTO!$X$15,$A22,0,$B22)+10^-12))+IF(AUTOEVENTO="Manual",SUMPRODUCT((OFFSET(CÁLCULO!$M$15,$A22,0,$B22)=1)*OFFSET(ORÇAMENTO!$AA$15,$A22,0,$B22)*(PLE!$AE$9-PLE!$Y$9)),0))</f>
        <v>#N/A</v>
      </c>
      <c r="AD22" s="198" t="e">
        <f ca="1">IF(ACOMPANHAMENTO&lt;&gt;"PLE",0,SUMPRODUCT((OFFSET(CÁLCULO!$AX$15:$BH$15,$A22,0,$B22)&lt;=(PLE.Medicao-1))*OFFSET(CÁLCULO!$AB$15:$AL$15,$A22,0,$B22)*OFFSET(ORÇAMENTO!$AB$15,$A22,0,$B22)/(OFFSET(ORÇAMENTO!$X$15,$A22,0,$B22)+10^-12))+IF(AUTOEVENTO="Manual",SUMPRODUCT((OFFSET(CÁLCULO!$M$15,$A22,0,$B22)=1)*OFFSET(ORÇAMENTO!$AB$15,$A22,0,$B22)*(PLE!$AE$9-PLE!$Y$9)),0))</f>
        <v>#N/A</v>
      </c>
      <c r="AE22" s="198" t="e">
        <f ca="1">ROUND(IF(ACOMPANHAMENTO&lt;&gt;"PLE",0,SUMIF(OFFSET(CÁLCULO!$AX$15:$BH$15,$A22,0,$B22),"&lt;="&amp;(PLE.Medicao-1),OFFSET(CÁLCULO!$AB$15:$AL$15,$A22,0,$B22))+IF(AUTOEVENTO="Manual",SUMIF(OFFSET(CÁLCULO!$M$15,$A22,0,$B22),1,OFFSET(ORÇAMENTO!$X$15,$A22,0,$B22))*(PLE!$AE$9-PLE!$Y$9),0)),2)</f>
        <v>#N/A</v>
      </c>
      <c r="AF22" s="198" t="e">
        <f ca="1">IF(ACOMPANHAMENTO&lt;&gt;"PLE",0,SUMPRODUCT((OFFSET(CÁLCULO!$AX$15:$BH$15,$A22,0,$B22)&lt;=PLE.Medicao)*OFFSET(CÁLCULO!$AB$15:$AL$15,$A22,0,$B22)*OFFSET(ORÇAMENTO!$AA$15,$A22,0,$B22)/(OFFSET(ORÇAMENTO!$X$15,$A22,0,$B22)+10^-12))+IF(AUTOEVENTO="Manual",SUMPRODUCT((OFFSET(CÁLCULO!$M$15,$A22,0,$B22)=1)*OFFSET(ORÇAMENTO!$AA$15,$A22,0,$B22)*PLE!$AE$9),0))</f>
        <v>#N/A</v>
      </c>
      <c r="AG22" s="198" t="e">
        <f ca="1">IF(ACOMPANHAMENTO&lt;&gt;"PLE",0,SUMPRODUCT((OFFSET(CÁLCULO!$AX$15:$BH$15,$A22,0,$B22)&lt;=PLE.Medicao)*OFFSET(CÁLCULO!$AB$15:$AL$15,$A22,0,$B22)*OFFSET(ORÇAMENTO!$AB$15,$A22,0,$B22)/(OFFSET(ORÇAMENTO!$X$15,$A22,0,$B22)+10^-12))+IF(AUTOEVENTO="Manual",SUMPRODUCT((OFFSET(CÁLCULO!$M$15,$A22,0,$B22)=1)*OFFSET(ORÇAMENTO!$AB$15,$A22,0,$B22)*PLE!$AE$9),0))</f>
        <v>#N/A</v>
      </c>
      <c r="AH22" s="198" t="e">
        <f ca="1">ROUND(IF(ACOMPANHAMENTO&lt;&gt;"PLE",0,SUMIF(OFFSET(CÁLCULO!$AX$15:$BH$15,$A22,0,$B22),"&lt;="&amp;PLE.Medicao,OFFSET(CÁLCULO!$AB$15:$AL$15,$A22,0,$B22))+IF(AUTOEVENTO="Manual",SUMIF(OFFSET(CÁLCULO!$M$15,$A22,0,$B22),1,OFFSET(ORÇAMENTO!$X$15,$A22,0,$B22))*PLE!$AE$9,0)),2)</f>
        <v>#N/A</v>
      </c>
      <c r="AJ22" s="198">
        <f ca="1">IF(ACOMPANHAMENTO&lt;&gt;"BM",0,SUMPRODUCT(OFFSET(BM!$M$15,$A22,0,$B22)*(OFFSET(BM!$A$15,$A22,0,$B22)="S")*OFFSET(ORÇAMENTO!AA$15,$A22,0,$B22)/(OFFSET(ORÇAMENTO!$X$15,$A22,0,$B22)+10^-12)))</f>
        <v>0</v>
      </c>
      <c r="AK22" s="198">
        <f ca="1">IF(ACOMPANHAMENTO&lt;&gt;"BM",0,SUMPRODUCT(OFFSET(BM!$M$15,$A22,0,$B22)*(OFFSET(BM!$A$15,$A22,0,$B22)="S")*OFFSET(ORÇAMENTO!AB$15,$A22,0,$B22)/(OFFSET(ORÇAMENTO!$X$15,$A22,0,$B22)+10^-12)))</f>
        <v>0</v>
      </c>
      <c r="AL22" s="198">
        <f ca="1">IF(ACOMPANHAMENTO&lt;&gt;"BM",0,OFFSET(BM!$M$15,$A22,0))</f>
        <v>0</v>
      </c>
      <c r="AM22" s="198">
        <f ca="1">IF(ACOMPANHAMENTO&lt;&gt;"BM",0,SUMPRODUCT(OFFSET(BM!$O$15,$A22,0,$B22)*(OFFSET(BM!$A$15,$A22,0,$B22)="S")*OFFSET(ORÇAMENTO!AA$15,$A22,0,$B22)/(OFFSET(ORÇAMENTO!$X$15,$A22,0,$B22)+10^-12)))</f>
        <v>0</v>
      </c>
      <c r="AN22" s="198">
        <f ca="1">IF(ACOMPANHAMENTO&lt;&gt;"BM",0,SUMPRODUCT(OFFSET(BM!$O$15,$A22,0,$B22)*(OFFSET(BM!$A$15,$A22,0,$B22)="S")*OFFSET(ORÇAMENTO!AB$15,$A22,0,$B22)/(OFFSET(ORÇAMENTO!$X$15,$A22,0,$B22)+10^-12)))</f>
        <v>0</v>
      </c>
      <c r="AO22" s="198">
        <f ca="1">IF(ACOMPANHAMENTO&lt;&gt;"BM",0,OFFSET(BM!$O$15,$A22,0))</f>
        <v>0</v>
      </c>
    </row>
    <row r="23" spans="1:41" x14ac:dyDescent="0.25">
      <c r="A23" t="e">
        <f ca="1">MATCH(E23,ORÇAMENTO!$E$15:$E$32,0)-1</f>
        <v>#N/A</v>
      </c>
      <c r="B23" t="e">
        <f ca="1">IF(ISERROR($A23),NA(),OFFSET(ORÇAMENTO!$D$15,$A23,0))</f>
        <v>#N/A</v>
      </c>
      <c r="C23" t="str">
        <f ca="1">QCI!B23</f>
        <v>Branco</v>
      </c>
      <c r="D23" t="str">
        <f ca="1">IF(L23&gt;0,"F","")</f>
        <v/>
      </c>
      <c r="E23" s="321">
        <f>QCI!D23</f>
        <v>10</v>
      </c>
      <c r="F23" s="407" t="str">
        <f ca="1">QCI!G23</f>
        <v/>
      </c>
      <c r="G23" s="408">
        <f>QCI!H23</f>
        <v>0</v>
      </c>
      <c r="H23" s="286">
        <f>QCI!I23</f>
        <v>0</v>
      </c>
      <c r="I23" s="322" t="str">
        <f ca="1">QCI!J23</f>
        <v/>
      </c>
      <c r="J23" s="409" t="str">
        <f ca="1">QCI!K23</f>
        <v/>
      </c>
      <c r="K23" s="410" t="str">
        <f ca="1">IF($C23="Automático",IF(ACOMPANHAMENTO="BM",BM.medicao,PLE.Medicao),IF(ISBLANK($X23),"",$X23))</f>
        <v/>
      </c>
      <c r="L23" s="326">
        <f ca="1">QCI!$O23</f>
        <v>0</v>
      </c>
      <c r="M23" s="323">
        <f ca="1">ROUND(IF(C23="Automático",AE23+AL23,Y23),2)</f>
        <v>0</v>
      </c>
      <c r="N23" s="324">
        <f ca="1">O23-M23</f>
        <v>0</v>
      </c>
      <c r="O23" s="325">
        <f ca="1">ROUND(IF(C23="Automático",AH23+AO23,Z23),2)</f>
        <v>0</v>
      </c>
      <c r="P23" s="412">
        <f ca="1">O23/(L23+10^-12)</f>
        <v>0</v>
      </c>
      <c r="R23" s="411">
        <f ca="1">ROUND(IF($C23="Automático",AC23+AJ23,$Y23*IF(ISERROR(QCI!$AA23/QCI!$O23),0,QCI!$AA23/QCI!$O23)),2)</f>
        <v>0</v>
      </c>
      <c r="S23" s="411">
        <f ca="1">ROUND(IF($C23="Automático",AD23+AK23,$Y23*IF(ISERROR(QCI!$AB23/QCI!$O23),0,QCI!$AB23/QCI!$O23)),2)</f>
        <v>0</v>
      </c>
      <c r="T23" s="411">
        <f ca="1">ROUND(IF($C23="Automático",AF23+AM23,$Z23*IF(ISERROR(QCI!$AA23/QCI!$O23),0,QCI!$AA23/QCI!$O23)),2)</f>
        <v>0</v>
      </c>
      <c r="U23" s="411">
        <f ca="1">ROUND(IF($C23="Automático",AG23+AN23,$Z23*IF(ISERROR(QCI!$AB23/QCI!$O23),0,QCI!$AB23/QCI!$O23)),2)</f>
        <v>0</v>
      </c>
      <c r="V23" s="539">
        <f ca="1">IF(AND($L23&gt;0,$J23&lt;&gt;0,$J23&lt;&gt;"",COUNTIF($J$13:$J23,$J23)=1),OFFSET(V23,-1,0)+1,OFFSET(V23,-1,0))</f>
        <v>1</v>
      </c>
      <c r="X23" s="327"/>
      <c r="Y23" s="328"/>
      <c r="Z23" s="330"/>
      <c r="AC23" s="198" t="e">
        <f ca="1">IF(ACOMPANHAMENTO&lt;&gt;"PLE",0,SUMPRODUCT((OFFSET(CÁLCULO!$AX$15:$BH$15,$A23,0,$B23)&lt;=(PLE.Medicao-1))*OFFSET(CÁLCULO!$AB$15:$AL$15,$A23,0,$B23)*OFFSET(ORÇAMENTO!$AA$15,$A23,0,$B23)/(OFFSET(ORÇAMENTO!$X$15,$A23,0,$B23)+10^-12))+IF(AUTOEVENTO="Manual",SUMPRODUCT((OFFSET(CÁLCULO!$M$15,$A23,0,$B23)=1)*OFFSET(ORÇAMENTO!$AA$15,$A23,0,$B23)*(PLE!$AE$9-PLE!$Y$9)),0))</f>
        <v>#N/A</v>
      </c>
      <c r="AD23" s="198" t="e">
        <f ca="1">IF(ACOMPANHAMENTO&lt;&gt;"PLE",0,SUMPRODUCT((OFFSET(CÁLCULO!$AX$15:$BH$15,$A23,0,$B23)&lt;=(PLE.Medicao-1))*OFFSET(CÁLCULO!$AB$15:$AL$15,$A23,0,$B23)*OFFSET(ORÇAMENTO!$AB$15,$A23,0,$B23)/(OFFSET(ORÇAMENTO!$X$15,$A23,0,$B23)+10^-12))+IF(AUTOEVENTO="Manual",SUMPRODUCT((OFFSET(CÁLCULO!$M$15,$A23,0,$B23)=1)*OFFSET(ORÇAMENTO!$AB$15,$A23,0,$B23)*(PLE!$AE$9-PLE!$Y$9)),0))</f>
        <v>#N/A</v>
      </c>
      <c r="AE23" s="198" t="e">
        <f ca="1">ROUND(IF(ACOMPANHAMENTO&lt;&gt;"PLE",0,SUMIF(OFFSET(CÁLCULO!$AX$15:$BH$15,$A23,0,$B23),"&lt;="&amp;(PLE.Medicao-1),OFFSET(CÁLCULO!$AB$15:$AL$15,$A23,0,$B23))+IF(AUTOEVENTO="Manual",SUMIF(OFFSET(CÁLCULO!$M$15,$A23,0,$B23),1,OFFSET(ORÇAMENTO!$X$15,$A23,0,$B23))*(PLE!$AE$9-PLE!$Y$9),0)),2)</f>
        <v>#N/A</v>
      </c>
      <c r="AF23" s="198" t="e">
        <f ca="1">IF(ACOMPANHAMENTO&lt;&gt;"PLE",0,SUMPRODUCT((OFFSET(CÁLCULO!$AX$15:$BH$15,$A23,0,$B23)&lt;=PLE.Medicao)*OFFSET(CÁLCULO!$AB$15:$AL$15,$A23,0,$B23)*OFFSET(ORÇAMENTO!$AA$15,$A23,0,$B23)/(OFFSET(ORÇAMENTO!$X$15,$A23,0,$B23)+10^-12))+IF(AUTOEVENTO="Manual",SUMPRODUCT((OFFSET(CÁLCULO!$M$15,$A23,0,$B23)=1)*OFFSET(ORÇAMENTO!$AA$15,$A23,0,$B23)*PLE!$AE$9),0))</f>
        <v>#N/A</v>
      </c>
      <c r="AG23" s="198" t="e">
        <f ca="1">IF(ACOMPANHAMENTO&lt;&gt;"PLE",0,SUMPRODUCT((OFFSET(CÁLCULO!$AX$15:$BH$15,$A23,0,$B23)&lt;=PLE.Medicao)*OFFSET(CÁLCULO!$AB$15:$AL$15,$A23,0,$B23)*OFFSET(ORÇAMENTO!$AB$15,$A23,0,$B23)/(OFFSET(ORÇAMENTO!$X$15,$A23,0,$B23)+10^-12))+IF(AUTOEVENTO="Manual",SUMPRODUCT((OFFSET(CÁLCULO!$M$15,$A23,0,$B23)=1)*OFFSET(ORÇAMENTO!$AB$15,$A23,0,$B23)*PLE!$AE$9),0))</f>
        <v>#N/A</v>
      </c>
      <c r="AH23" s="198" t="e">
        <f ca="1">ROUND(IF(ACOMPANHAMENTO&lt;&gt;"PLE",0,SUMIF(OFFSET(CÁLCULO!$AX$15:$BH$15,$A23,0,$B23),"&lt;="&amp;PLE.Medicao,OFFSET(CÁLCULO!$AB$15:$AL$15,$A23,0,$B23))+IF(AUTOEVENTO="Manual",SUMIF(OFFSET(CÁLCULO!$M$15,$A23,0,$B23),1,OFFSET(ORÇAMENTO!$X$15,$A23,0,$B23))*PLE!$AE$9,0)),2)</f>
        <v>#N/A</v>
      </c>
      <c r="AJ23" s="198">
        <f ca="1">IF(ACOMPANHAMENTO&lt;&gt;"BM",0,SUMPRODUCT(OFFSET(BM!$M$15,$A23,0,$B23)*(OFFSET(BM!$A$15,$A23,0,$B23)="S")*OFFSET(ORÇAMENTO!AA$15,$A23,0,$B23)/(OFFSET(ORÇAMENTO!$X$15,$A23,0,$B23)+10^-12)))</f>
        <v>0</v>
      </c>
      <c r="AK23" s="198">
        <f ca="1">IF(ACOMPANHAMENTO&lt;&gt;"BM",0,SUMPRODUCT(OFFSET(BM!$M$15,$A23,0,$B23)*(OFFSET(BM!$A$15,$A23,0,$B23)="S")*OFFSET(ORÇAMENTO!AB$15,$A23,0,$B23)/(OFFSET(ORÇAMENTO!$X$15,$A23,0,$B23)+10^-12)))</f>
        <v>0</v>
      </c>
      <c r="AL23" s="198">
        <f ca="1">IF(ACOMPANHAMENTO&lt;&gt;"BM",0,OFFSET(BM!$M$15,$A23,0))</f>
        <v>0</v>
      </c>
      <c r="AM23" s="198">
        <f ca="1">IF(ACOMPANHAMENTO&lt;&gt;"BM",0,SUMPRODUCT(OFFSET(BM!$O$15,$A23,0,$B23)*(OFFSET(BM!$A$15,$A23,0,$B23)="S")*OFFSET(ORÇAMENTO!AA$15,$A23,0,$B23)/(OFFSET(ORÇAMENTO!$X$15,$A23,0,$B23)+10^-12)))</f>
        <v>0</v>
      </c>
      <c r="AN23" s="198">
        <f ca="1">IF(ACOMPANHAMENTO&lt;&gt;"BM",0,SUMPRODUCT(OFFSET(BM!$O$15,$A23,0,$B23)*(OFFSET(BM!$A$15,$A23,0,$B23)="S")*OFFSET(ORÇAMENTO!AB$15,$A23,0,$B23)/(OFFSET(ORÇAMENTO!$X$15,$A23,0,$B23)+10^-12)))</f>
        <v>0</v>
      </c>
      <c r="AO23" s="198">
        <f ca="1">IF(ACOMPANHAMENTO&lt;&gt;"BM",0,OFFSET(BM!$O$15,$A23,0))</f>
        <v>0</v>
      </c>
    </row>
    <row r="24" spans="1:41" ht="12.9" customHeight="1" x14ac:dyDescent="0.25">
      <c r="D24" t="s">
        <v>246</v>
      </c>
      <c r="E24" s="1"/>
      <c r="F24" s="1"/>
      <c r="G24" s="1"/>
      <c r="H24" s="1"/>
      <c r="I24" s="2"/>
      <c r="J24" s="699" t="s">
        <v>376</v>
      </c>
      <c r="K24" s="700"/>
      <c r="L24" s="414">
        <f ca="1">IF(ISERROR(L28/$L28),0,ROUND(L28/$L28,4))</f>
        <v>1</v>
      </c>
      <c r="M24" s="416">
        <f ca="1">IF(ISERROR(M28/$L28),0,ROUND(M28/$L28,4))</f>
        <v>0</v>
      </c>
      <c r="N24" s="415">
        <f ca="1">IF(ISERROR(N28/$L28),0,ROUND(N28/$L28,4))</f>
        <v>0</v>
      </c>
      <c r="O24" s="417">
        <f ca="1">IF(ISERROR(O28/$L28),0,ROUND(O28/$L28,4))</f>
        <v>0</v>
      </c>
      <c r="P24" s="701">
        <f ca="1">O28/(L28+10^-12)</f>
        <v>0</v>
      </c>
      <c r="X24" s="346"/>
      <c r="Y24" s="348"/>
      <c r="Z24" s="349"/>
    </row>
    <row r="25" spans="1:41" ht="12.9" customHeight="1" x14ac:dyDescent="0.25">
      <c r="D25" t="s">
        <v>246</v>
      </c>
      <c r="I25" s="4"/>
      <c r="J25" s="702" t="str">
        <f>IF(import.recurso="FGTS","Financiamento","Repasse")</f>
        <v>Repasse</v>
      </c>
      <c r="K25" s="703"/>
      <c r="L25" s="326">
        <f ca="1">QCI!L24</f>
        <v>99449.489999999991</v>
      </c>
      <c r="M25" s="323">
        <f ca="1">M28-M27-M26</f>
        <v>0</v>
      </c>
      <c r="N25" s="324">
        <f ca="1">O25-M25</f>
        <v>0</v>
      </c>
      <c r="O25" s="325">
        <f ca="1">O28-O27-O26</f>
        <v>0</v>
      </c>
      <c r="P25" s="701"/>
      <c r="X25" s="418"/>
      <c r="Y25" s="419" t="s">
        <v>377</v>
      </c>
      <c r="Z25" s="420" t="s">
        <v>378</v>
      </c>
      <c r="AC25" s="421" t="s">
        <v>379</v>
      </c>
      <c r="AD25" s="421" t="s">
        <v>380</v>
      </c>
    </row>
    <row r="26" spans="1:41" ht="12.9" customHeight="1" x14ac:dyDescent="0.25">
      <c r="D26" t="s">
        <v>246</v>
      </c>
      <c r="I26" s="4"/>
      <c r="J26" s="704" t="s">
        <v>381</v>
      </c>
      <c r="K26" s="705"/>
      <c r="L26" s="422">
        <f ca="1">QCI!M24</f>
        <v>441.96</v>
      </c>
      <c r="M26" s="423">
        <f ca="1">ROUND(IF(OFFSET($X$26,0,1)&lt;&gt;"",OFFSET($X$26,0,1),SUM(R13:OFFSET(R24,-1,0))),2)</f>
        <v>0</v>
      </c>
      <c r="N26" s="424">
        <f ca="1">O26-M26</f>
        <v>0</v>
      </c>
      <c r="O26" s="425">
        <f ca="1">IF(OFFSET($X$26,0,2)&lt;&gt;"",OFFSET($X$26,0,2),$AE$3)</f>
        <v>0</v>
      </c>
      <c r="P26" s="701"/>
      <c r="X26" s="426" t="s">
        <v>169</v>
      </c>
      <c r="Y26" s="534"/>
      <c r="Z26" s="535"/>
      <c r="AC26" s="427">
        <f ca="1">MIN($L26,$O$28-OFFSET($X$27,0,1))</f>
        <v>0</v>
      </c>
      <c r="AD26" s="427">
        <f ca="1">MIN($L26,$O$28-OFFSET($X$27,0,2))</f>
        <v>0</v>
      </c>
    </row>
    <row r="27" spans="1:41" ht="12.9" customHeight="1" x14ac:dyDescent="0.25">
      <c r="D27" t="s">
        <v>246</v>
      </c>
      <c r="I27" s="4"/>
      <c r="J27" s="706" t="s">
        <v>358</v>
      </c>
      <c r="K27" s="707"/>
      <c r="L27" s="428">
        <f ca="1">QCI!N24</f>
        <v>0</v>
      </c>
      <c r="M27" s="429">
        <f ca="1">ROUND(IF(OFFSET($X$27,0,1)&lt;&gt;"",OFFSET($X$27,0,1),SUM(S13:OFFSET(S24,-1,0))),2)</f>
        <v>0</v>
      </c>
      <c r="N27" s="430">
        <f ca="1">O27-M27</f>
        <v>0</v>
      </c>
      <c r="O27" s="431">
        <f ca="1">IF(OFFSET($X$27,0,2)&lt;&gt;"",OFFSET($X$27,0,2),$AE$4)</f>
        <v>0</v>
      </c>
      <c r="P27" s="701"/>
      <c r="X27" s="432" t="s">
        <v>278</v>
      </c>
      <c r="Y27" s="536"/>
      <c r="Z27" s="537"/>
      <c r="AC27" s="427">
        <f ca="1">MIN($L27,$O$28-OFFSET($X$26,0,1))</f>
        <v>0</v>
      </c>
      <c r="AD27" s="427">
        <f ca="1">MIN($L27,$O$28-OFFSET($X$26,0,2))</f>
        <v>0</v>
      </c>
    </row>
    <row r="28" spans="1:41" ht="13.8" x14ac:dyDescent="0.25">
      <c r="D28" t="s">
        <v>246</v>
      </c>
      <c r="I28" s="4"/>
      <c r="J28" s="708" t="s">
        <v>360</v>
      </c>
      <c r="K28" s="709"/>
      <c r="L28" s="433">
        <f ca="1">SUM(L13:OFFSET(L24,-1,0))</f>
        <v>99891.45</v>
      </c>
      <c r="M28" s="434">
        <f ca="1">ROUND(SUM(M13:OFFSET(M24,-1,0)),2)</f>
        <v>0</v>
      </c>
      <c r="N28" s="435">
        <f ca="1">O28-M28</f>
        <v>0</v>
      </c>
      <c r="O28" s="436">
        <f ca="1">SUM(O13:OFFSET(O24,-1,0))</f>
        <v>0</v>
      </c>
      <c r="P28" s="701"/>
      <c r="X28" s="358"/>
      <c r="Y28" s="360"/>
      <c r="Z28" s="361"/>
    </row>
    <row r="29" spans="1:41" x14ac:dyDescent="0.25">
      <c r="O29" s="710" t="str">
        <f ca="1">"Acumulado Anterior:  "&amp;TEXT($M$28/($L$28+10^-12),"0,00%")</f>
        <v>Acumulado Anterior:  0,00%</v>
      </c>
      <c r="P29" s="710"/>
    </row>
    <row r="30" spans="1:41" ht="13.8" x14ac:dyDescent="0.25">
      <c r="E30" s="140" t="s">
        <v>187</v>
      </c>
      <c r="P30" s="475"/>
    </row>
    <row r="31" spans="1:41" ht="12.75" customHeight="1" x14ac:dyDescent="0.25">
      <c r="E31" s="693"/>
      <c r="F31" s="694"/>
      <c r="G31" s="694"/>
      <c r="H31" s="694"/>
      <c r="I31" s="694"/>
      <c r="J31" s="694"/>
      <c r="K31" s="694"/>
      <c r="L31" s="694"/>
      <c r="M31" s="694"/>
      <c r="N31" s="694"/>
      <c r="O31" s="694"/>
      <c r="P31" s="695"/>
    </row>
    <row r="32" spans="1:41" ht="12.75" customHeight="1" x14ac:dyDescent="0.25">
      <c r="E32" s="693"/>
      <c r="F32" s="694"/>
      <c r="G32" s="694"/>
      <c r="H32" s="694"/>
      <c r="I32" s="694"/>
      <c r="J32" s="694"/>
      <c r="K32" s="694"/>
      <c r="L32" s="694"/>
      <c r="M32" s="694"/>
      <c r="N32" s="694"/>
      <c r="O32" s="694"/>
      <c r="P32" s="695"/>
      <c r="Y32" s="437"/>
      <c r="Z32" s="437"/>
    </row>
    <row r="33" spans="5:16" ht="12.75" customHeight="1" x14ac:dyDescent="0.25">
      <c r="E33" s="696"/>
      <c r="F33" s="697"/>
      <c r="G33" s="697"/>
      <c r="H33" s="697"/>
      <c r="I33" s="697"/>
      <c r="J33" s="697"/>
      <c r="K33" s="697"/>
      <c r="L33" s="697"/>
      <c r="M33" s="697"/>
      <c r="N33" s="697"/>
      <c r="O33" s="697"/>
      <c r="P33" s="698"/>
    </row>
    <row r="35" spans="5:16" ht="13.8" x14ac:dyDescent="0.25">
      <c r="E35" s="623" t="str">
        <f>Import.Município</f>
        <v>BOM JARDIM DE MINAS - MG</v>
      </c>
      <c r="F35" s="623"/>
      <c r="G35" s="623"/>
      <c r="I35" s="438"/>
      <c r="L35" s="633">
        <f ca="1">DADOS!$F$25</f>
        <v>45580</v>
      </c>
      <c r="M35" s="633"/>
      <c r="N35" s="633"/>
      <c r="O35" s="633"/>
    </row>
    <row r="36" spans="5:16" x14ac:dyDescent="0.25">
      <c r="E36" s="10" t="s">
        <v>188</v>
      </c>
      <c r="L36" s="10" t="s">
        <v>189</v>
      </c>
    </row>
    <row r="38" spans="5:16" x14ac:dyDescent="0.25">
      <c r="E38" s="193"/>
      <c r="F38" s="193"/>
      <c r="G38" s="193"/>
      <c r="L38" s="193"/>
      <c r="M38" s="193"/>
      <c r="N38" s="193"/>
      <c r="O38" s="193"/>
    </row>
    <row r="39" spans="5:16" x14ac:dyDescent="0.25">
      <c r="E39" s="439" t="str">
        <f>IF(CAIXA.Modo,"Responsável Gerencial CAIXA","Representante Tomador")</f>
        <v>Representante Tomador</v>
      </c>
      <c r="F39" s="7"/>
      <c r="L39" s="439" t="str">
        <f>IF(CAIXA.Modo,"Responsável Técnico CAIXA","Responsável Técnico pela Fiscalização")</f>
        <v>Responsável Técnico pela Fiscalização</v>
      </c>
    </row>
    <row r="40" spans="5:16" x14ac:dyDescent="0.25">
      <c r="E40" s="77" t="s">
        <v>108</v>
      </c>
      <c r="F40" s="311" t="str">
        <f>IF(CAIXA.Modo,DADOS!F60,DADOS!F28)</f>
        <v>JOSÉ FRANCISCO MATOS E SILVA</v>
      </c>
      <c r="L40" s="77" t="s">
        <v>108</v>
      </c>
      <c r="M40" s="678" t="str">
        <f>IF(CAIXA.Modo,BM!X44,DADOS!F51)</f>
        <v>RENNAN ROBERTO DUARTE DA SILVA</v>
      </c>
      <c r="N40" s="678"/>
      <c r="O40" s="678"/>
    </row>
    <row r="41" spans="5:16" x14ac:dyDescent="0.25">
      <c r="E41" s="77" t="str">
        <f>IF(CAIXA.Modo,"Função:","Cargo:")</f>
        <v>Cargo:</v>
      </c>
      <c r="F41" s="311" t="str">
        <f>IF(CAIXA.Modo,DADOS!F61,DADOS!F29)</f>
        <v>PREFEITO MUNICIPAL</v>
      </c>
      <c r="L41" s="77" t="str">
        <f>IF(CAIXA.Modo,"Matrícula:","Profissão:")</f>
        <v>Profissão:</v>
      </c>
      <c r="M41" s="678" t="str">
        <f>IF(CAIXA.Modo,BM!X45,DADOS!F52)</f>
        <v>ENGENHEIRO CIVIL</v>
      </c>
      <c r="N41" s="678"/>
      <c r="O41" s="678"/>
    </row>
    <row r="42" spans="5:16" x14ac:dyDescent="0.25">
      <c r="L42" s="77" t="s">
        <v>109</v>
      </c>
      <c r="M42" s="678" t="str">
        <f>IF(CAIXA.Modo,BM!X46,DADOS!F53)</f>
        <v>RJ2019107419 MG</v>
      </c>
      <c r="N42" s="678"/>
      <c r="O42" s="678"/>
    </row>
    <row r="43" spans="5:16" x14ac:dyDescent="0.25">
      <c r="L43" s="77" t="str">
        <f>IF(CAIXA.Modo,"","ART/RRT:")</f>
        <v>ART/RRT:</v>
      </c>
      <c r="M43" s="13" t="str">
        <f>IF(CAIXA.Modo,"",DADOS!F54)</f>
        <v>MG20243409885</v>
      </c>
    </row>
    <row r="45" spans="5:16" x14ac:dyDescent="0.25">
      <c r="E45" s="193"/>
      <c r="F45" s="193"/>
      <c r="G45" s="193"/>
      <c r="L45" s="193"/>
      <c r="M45" s="193"/>
      <c r="N45" s="193"/>
      <c r="O45" s="193"/>
    </row>
    <row r="46" spans="5:16" x14ac:dyDescent="0.25">
      <c r="E46" t="str">
        <f>IF(CAIXA.Modo,"Responsável Social CAIXA","Responsável Social")</f>
        <v>Responsável Social</v>
      </c>
      <c r="L46" t="str">
        <f>IF(CAIXA.Modo,"Responsável Operacional CAIXA","Responsável Financeiro")</f>
        <v>Responsável Financeiro</v>
      </c>
    </row>
    <row r="47" spans="5:16" x14ac:dyDescent="0.25">
      <c r="E47" s="77" t="s">
        <v>108</v>
      </c>
      <c r="F47" s="677"/>
      <c r="G47" s="677"/>
      <c r="L47" s="77" t="s">
        <v>108</v>
      </c>
      <c r="M47" s="677"/>
      <c r="N47" s="677"/>
      <c r="O47" s="677"/>
    </row>
    <row r="48" spans="5:16" x14ac:dyDescent="0.25">
      <c r="E48" s="77" t="str">
        <f>IF(CAIXA.Modo,"Função:","Cargo:")</f>
        <v>Cargo:</v>
      </c>
      <c r="F48" s="677"/>
      <c r="G48" s="677"/>
      <c r="L48" s="77" t="str">
        <f>IF(CAIXA.Modo,"Função:","Cargo:")</f>
        <v>Cargo:</v>
      </c>
      <c r="M48" s="677"/>
      <c r="N48" s="677"/>
      <c r="O48" s="677"/>
    </row>
    <row r="49" spans="5:15" x14ac:dyDescent="0.25">
      <c r="E49" s="77" t="str">
        <f>IF(CAIXA.Modo,"Matr:","")</f>
        <v/>
      </c>
      <c r="F49" s="677"/>
      <c r="G49" s="677"/>
      <c r="L49" s="77" t="str">
        <f>IF(CAIXA.Modo,"Matrícula:","")</f>
        <v/>
      </c>
      <c r="M49" s="677"/>
      <c r="N49" s="677"/>
      <c r="O49" s="677"/>
    </row>
  </sheetData>
  <sheetProtection algorithmName="SHA-512" hashValue="I6ui0OAbI/I6mThkHzSiOMiN8nUu01QJUCVX9Lf+cPsFBZSWV+lOeqm0JNiXIJqHSOtfxCUZzQWR3ahPkury6Q==" saltValue="EaSx+KXwPUiUa7L/4awxLg==" spinCount="100000" sheet="1" objects="1" scenarios="1" autoFilter="0"/>
  <autoFilter ref="D13:D30" xr:uid="{00000000-0009-0000-0000-00000C000000}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27:K27"/>
    <mergeCell ref="J28:K28"/>
    <mergeCell ref="O29:P29"/>
    <mergeCell ref="M48:O48"/>
    <mergeCell ref="AC10:AH10"/>
    <mergeCell ref="M4:O4"/>
    <mergeCell ref="M49:O49"/>
    <mergeCell ref="E31:P33"/>
    <mergeCell ref="L35:O35"/>
    <mergeCell ref="M40:O40"/>
    <mergeCell ref="M41:O41"/>
    <mergeCell ref="M42:O42"/>
    <mergeCell ref="M47:O47"/>
    <mergeCell ref="F49:G49"/>
    <mergeCell ref="E35:G35"/>
    <mergeCell ref="F47:G47"/>
    <mergeCell ref="F48:G48"/>
    <mergeCell ref="J24:K24"/>
    <mergeCell ref="P24:P28"/>
    <mergeCell ref="J25:K25"/>
    <mergeCell ref="J26:K26"/>
  </mergeCells>
  <phoneticPr fontId="38" type="noConversion"/>
  <conditionalFormatting sqref="X12:Z12">
    <cfRule type="expression" dxfId="8" priority="82" stopIfTrue="1">
      <formula>OR($C12="Automático",$C12="Branco")</formula>
    </cfRule>
  </conditionalFormatting>
  <conditionalFormatting sqref="F49:G49 M49:O49">
    <cfRule type="expression" dxfId="7" priority="83" stopIfTrue="1">
      <formula>CAIXA.Modo=FALSE</formula>
    </cfRule>
  </conditionalFormatting>
  <conditionalFormatting sqref="M12 M25:M28 O12 O25:O28">
    <cfRule type="cellIs" dxfId="6" priority="84" stopIfTrue="1" operator="notBetween">
      <formula>0</formula>
      <formula>$L12</formula>
    </cfRule>
  </conditionalFormatting>
  <conditionalFormatting sqref="M10:N10">
    <cfRule type="cellIs" dxfId="5" priority="85" stopIfTrue="1" operator="lessThan">
      <formula>0</formula>
    </cfRule>
  </conditionalFormatting>
  <conditionalFormatting sqref="X14:Z22">
    <cfRule type="expression" dxfId="4" priority="3" stopIfTrue="1">
      <formula>OR($C14="Automático",$C14="Branco")</formula>
    </cfRule>
  </conditionalFormatting>
  <conditionalFormatting sqref="M14:M22 O14:O22">
    <cfRule type="cellIs" dxfId="3" priority="4" stopIfTrue="1" operator="notBetween">
      <formula>0</formula>
      <formula>$L14</formula>
    </cfRule>
  </conditionalFormatting>
  <conditionalFormatting sqref="X23:Z23">
    <cfRule type="expression" dxfId="2" priority="1" stopIfTrue="1">
      <formula>OR($C23="Automático",$C23="Branco")</formula>
    </cfRule>
  </conditionalFormatting>
  <conditionalFormatting sqref="M23 O23">
    <cfRule type="cellIs" dxfId="1" priority="2" stopIfTrue="1" operator="notBetween">
      <formula>0</formula>
      <formula>$L23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26" xr:uid="{00000000-0002-0000-0C00-000000000000}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26" xr:uid="{00000000-0002-0000-0C00-000001000000}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27" xr:uid="{00000000-0002-0000-0C00-000002000000}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27" xr:uid="{00000000-0002-0000-0C00-000003000000}">
      <formula1>0</formula1>
      <formula2>RRE.MaxOUAcum</formula2>
    </dataValidation>
    <dataValidation type="decimal" allowBlank="1" showInputMessage="1" showErrorMessage="1" sqref="Y12:Z12 Y14:Z23" xr:uid="{00000000-0002-0000-0C00-000004000000}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&amp;LPMv3.0.6&amp;R&amp;P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2"/>
  <dimension ref="B1:Q56"/>
  <sheetViews>
    <sheetView showGridLines="0" zoomScale="90" zoomScaleNormal="90" zoomScaleSheetLayoutView="100" workbookViewId="0"/>
  </sheetViews>
  <sheetFormatPr defaultRowHeight="13.2" x14ac:dyDescent="0.25"/>
  <cols>
    <col min="1" max="1" width="2" customWidth="1"/>
    <col min="2" max="2" width="15.6640625" customWidth="1"/>
    <col min="3" max="3" width="6.6640625" customWidth="1"/>
    <col min="4" max="5" width="20.6640625" customWidth="1"/>
    <col min="6" max="6" width="8.6640625" customWidth="1"/>
    <col min="7" max="7" width="12.6640625" customWidth="1"/>
    <col min="8" max="8" width="20.6640625" customWidth="1"/>
    <col min="9" max="9" width="13.6640625" customWidth="1"/>
    <col min="10" max="12" width="16.6640625" customWidth="1"/>
    <col min="14" max="14" width="14.109375" customWidth="1"/>
  </cols>
  <sheetData>
    <row r="1" spans="2:17" x14ac:dyDescent="0.25">
      <c r="B1" s="737"/>
      <c r="C1" s="737"/>
      <c r="D1" s="49"/>
      <c r="E1" s="49"/>
      <c r="F1" s="49"/>
      <c r="G1" s="52" t="s">
        <v>140</v>
      </c>
    </row>
    <row r="2" spans="2:17" x14ac:dyDescent="0.25">
      <c r="B2" s="737"/>
      <c r="C2" s="737"/>
      <c r="D2" s="49"/>
      <c r="E2" s="49"/>
      <c r="F2" s="49"/>
      <c r="G2" s="12" t="s">
        <v>382</v>
      </c>
    </row>
    <row r="3" spans="2:17" ht="26.1" customHeight="1" thickBot="1" x14ac:dyDescent="0.3">
      <c r="B3" s="737"/>
      <c r="C3" s="737"/>
      <c r="D3" s="49"/>
      <c r="E3" s="49"/>
      <c r="F3" s="49"/>
      <c r="G3" s="440"/>
      <c r="I3" s="441" t="s">
        <v>383</v>
      </c>
    </row>
    <row r="4" spans="2:17" ht="12.75" customHeight="1" x14ac:dyDescent="0.25">
      <c r="B4" s="737"/>
      <c r="C4" s="737"/>
      <c r="D4" s="49"/>
      <c r="E4" s="49"/>
      <c r="F4" s="49"/>
      <c r="G4" s="49"/>
      <c r="I4" s="738" t="s">
        <v>384</v>
      </c>
      <c r="J4" s="740" t="s">
        <v>385</v>
      </c>
      <c r="K4" s="740" t="s">
        <v>386</v>
      </c>
      <c r="L4" s="733" t="s">
        <v>387</v>
      </c>
    </row>
    <row r="5" spans="2:17" x14ac:dyDescent="0.25">
      <c r="I5" s="739"/>
      <c r="J5" s="741"/>
      <c r="K5" s="741"/>
      <c r="L5" s="734"/>
    </row>
    <row r="6" spans="2:17" x14ac:dyDescent="0.25">
      <c r="B6" s="442" t="s">
        <v>388</v>
      </c>
      <c r="C6" s="735"/>
      <c r="D6" s="735"/>
      <c r="E6" s="442"/>
      <c r="F6" s="442"/>
      <c r="G6" s="49"/>
      <c r="I6" s="522" t="str">
        <f ca="1">IF(ROW(I6)-ROW(L$5)&gt;MAX(RRE!$V$13:$V$24),"",INDEX(RRE!$J$13:$J$24,MATCH(ROW(I6)-ROW(I$5),RRE!$V$13:$V$24,0)))</f>
        <v>LOTE 1</v>
      </c>
      <c r="J6" s="523">
        <f ca="1">IF(I6="","",SUMIF(RRE!$J$13:$J$24,OFÍCIO!$I6,RRE!$L$13:$L$24))</f>
        <v>99891.45</v>
      </c>
      <c r="K6" s="523">
        <f ca="1">IF(J6="","",SUMIF(RRE!$J$13:$J$24,OFÍCIO!$I6,RRE!$N$13:$N$24))</f>
        <v>0</v>
      </c>
      <c r="L6" s="524">
        <f ca="1">IF(K6="","",SUMIF(RRE!$J$13:$J$24,OFÍCIO!$I6,RRE!$O$13:$O$24))</f>
        <v>0</v>
      </c>
      <c r="N6" s="10"/>
    </row>
    <row r="7" spans="2:17" x14ac:dyDescent="0.25">
      <c r="B7" s="49"/>
      <c r="C7" s="49"/>
      <c r="D7" s="49"/>
      <c r="E7" s="49"/>
      <c r="F7" s="49"/>
      <c r="G7" s="49"/>
      <c r="I7" s="516" t="str">
        <f ca="1">IF(ROW(I7)-ROW(L$5)&gt;MAX(RRE!$V$13:$V$24),"",INDEX(RRE!$J$13:$J$24,MATCH(ROW(I7)-ROW(I$5),RRE!$V$13:$V$24,0)))</f>
        <v/>
      </c>
      <c r="J7" s="517" t="str">
        <f ca="1">IF(I7="","",SUMIF(RRE!$J$13:$J$24,OFÍCIO!$I7,RRE!$L$13:$L$24))</f>
        <v/>
      </c>
      <c r="K7" s="517" t="str">
        <f ca="1">IF(J7="","",SUMIF(RRE!$J$13:$J$24,OFÍCIO!$I7,RRE!$N$13:$N$24))</f>
        <v/>
      </c>
      <c r="L7" s="518" t="str">
        <f ca="1">IF(K7="","",SUMIF(RRE!$J$13:$J$24,OFÍCIO!$I7,RRE!$O$13:$O$24))</f>
        <v/>
      </c>
    </row>
    <row r="8" spans="2:17" x14ac:dyDescent="0.25">
      <c r="B8" s="736" t="str">
        <f ca="1">CONCATENATE(RRE!$E$35,", ",TEXT(RRE!$L$35,"dd"" de ""mmmm"" de ""aaaa"))</f>
        <v>BOM JARDIM DE MINAS - MG, 15 de outubro de 2024</v>
      </c>
      <c r="C8" s="736"/>
      <c r="D8" s="736"/>
      <c r="E8" s="736"/>
      <c r="F8" s="736"/>
      <c r="G8" s="736"/>
      <c r="H8" s="443"/>
      <c r="I8" s="516" t="str">
        <f ca="1">IF(ROW(I8)-ROW(L$5)&gt;MAX(RRE!$V$13:$V$24),"",INDEX(RRE!$J$13:$J$24,MATCH(ROW(I8)-ROW(I$5),RRE!$V$13:$V$24,0)))</f>
        <v/>
      </c>
      <c r="J8" s="517" t="str">
        <f ca="1">IF(I8="","",SUMIF(RRE!$J$13:$J$24,OFÍCIO!$I8,RRE!$L$13:$L$24))</f>
        <v/>
      </c>
      <c r="K8" s="517" t="str">
        <f ca="1">IF(J8="","",SUMIF(RRE!$J$13:$J$24,OFÍCIO!$I8,RRE!$N$13:$N$24))</f>
        <v/>
      </c>
      <c r="L8" s="518" t="str">
        <f ca="1">IF(K8="","",SUMIF(RRE!$J$13:$J$24,OFÍCIO!$I8,RRE!$O$13:$O$24))</f>
        <v/>
      </c>
      <c r="N8" s="443"/>
      <c r="O8" s="443"/>
      <c r="P8" s="443"/>
      <c r="Q8" s="443"/>
    </row>
    <row r="9" spans="2:17" x14ac:dyDescent="0.25">
      <c r="B9" s="444" t="s">
        <v>389</v>
      </c>
      <c r="C9" s="49"/>
      <c r="D9" s="49"/>
      <c r="G9" s="49"/>
      <c r="H9" s="443"/>
      <c r="I9" s="516" t="str">
        <f ca="1">IF(ROW(I9)-ROW(L$5)&gt;MAX(RRE!$V$13:$V$24),"",INDEX(RRE!$J$13:$J$24,MATCH(ROW(I9)-ROW(I$5),RRE!$V$13:$V$24,0)))</f>
        <v/>
      </c>
      <c r="J9" s="517" t="str">
        <f ca="1">IF(I9="","",SUMIF(RRE!$J$13:$J$24,OFÍCIO!$I9,RRE!$L$13:$L$24))</f>
        <v/>
      </c>
      <c r="K9" s="517" t="str">
        <f ca="1">IF(J9="","",SUMIF(RRE!$J$13:$J$24,OFÍCIO!$I9,RRE!$N$13:$N$24))</f>
        <v/>
      </c>
      <c r="L9" s="518" t="str">
        <f ca="1">IF(K9="","",SUMIF(RRE!$J$13:$J$24,OFÍCIO!$I9,RRE!$O$13:$O$24))</f>
        <v/>
      </c>
      <c r="N9" s="443"/>
      <c r="O9" s="443"/>
      <c r="P9" s="443"/>
      <c r="Q9" s="443"/>
    </row>
    <row r="10" spans="2:17" x14ac:dyDescent="0.25">
      <c r="B10" s="729" t="s">
        <v>390</v>
      </c>
      <c r="C10" s="729"/>
      <c r="D10" s="729"/>
      <c r="G10" s="49"/>
      <c r="H10" s="443"/>
      <c r="I10" s="516" t="str">
        <f ca="1">IF(ROW(I10)-ROW(L$5)&gt;MAX(RRE!$V$13:$V$24),"",INDEX(RRE!$J$13:$J$24,MATCH(ROW(I10)-ROW(I$5),RRE!$V$13:$V$24,0)))</f>
        <v/>
      </c>
      <c r="J10" s="517" t="str">
        <f ca="1">IF(I10="","",SUMIF(RRE!$J$13:$J$24,OFÍCIO!$I10,RRE!$L$13:$L$24))</f>
        <v/>
      </c>
      <c r="K10" s="517" t="str">
        <f ca="1">IF(J10="","",SUMIF(RRE!$J$13:$J$24,OFÍCIO!$I10,RRE!$N$13:$N$24))</f>
        <v/>
      </c>
      <c r="L10" s="518" t="str">
        <f ca="1">IF(K10="","",SUMIF(RRE!$J$13:$J$24,OFÍCIO!$I10,RRE!$O$13:$O$24))</f>
        <v/>
      </c>
      <c r="N10" s="443"/>
      <c r="O10" s="443"/>
      <c r="P10" s="443"/>
      <c r="Q10" s="443"/>
    </row>
    <row r="11" spans="2:17" x14ac:dyDescent="0.25">
      <c r="B11" s="445" t="s">
        <v>409</v>
      </c>
      <c r="C11" s="677"/>
      <c r="D11" s="677"/>
      <c r="G11" s="49"/>
      <c r="H11" s="443"/>
      <c r="I11" s="516" t="str">
        <f ca="1">IF(ROW(I11)-ROW(L$5)&gt;MAX(RRE!$V$13:$V$24),"",INDEX(RRE!$J$13:$J$24,MATCH(ROW(I11)-ROW(I$5),RRE!$V$13:$V$24,0)))</f>
        <v/>
      </c>
      <c r="J11" s="517" t="str">
        <f ca="1">IF(I11="","",SUMIF(RRE!$J$13:$J$24,OFÍCIO!$I11,RRE!$L$13:$L$24))</f>
        <v/>
      </c>
      <c r="K11" s="517" t="str">
        <f ca="1">IF(J11="","",SUMIF(RRE!$J$13:$J$24,OFÍCIO!$I11,RRE!$N$13:$N$24))</f>
        <v/>
      </c>
      <c r="L11" s="518" t="str">
        <f ca="1">IF(K11="","",SUMIF(RRE!$J$13:$J$24,OFÍCIO!$I11,RRE!$O$13:$O$24))</f>
        <v/>
      </c>
      <c r="N11" s="443"/>
      <c r="O11" s="443"/>
      <c r="P11" s="443"/>
      <c r="Q11" s="443"/>
    </row>
    <row r="12" spans="2:17" x14ac:dyDescent="0.25">
      <c r="B12" s="446"/>
      <c r="C12" s="446"/>
      <c r="D12" s="446"/>
      <c r="E12" s="446"/>
      <c r="F12" s="446"/>
      <c r="G12" s="49"/>
      <c r="H12" s="443"/>
      <c r="I12" s="516" t="str">
        <f ca="1">IF(ROW(I12)-ROW(L$5)&gt;MAX(RRE!$V$13:$V$24),"",INDEX(RRE!$J$13:$J$24,MATCH(ROW(I12)-ROW(I$5),RRE!$V$13:$V$24,0)))</f>
        <v/>
      </c>
      <c r="J12" s="517" t="str">
        <f ca="1">IF(I12="","",SUMIF(RRE!$J$13:$J$24,OFÍCIO!$I12,RRE!$L$13:$L$24))</f>
        <v/>
      </c>
      <c r="K12" s="517" t="str">
        <f ca="1">IF(J12="","",SUMIF(RRE!$J$13:$J$24,OFÍCIO!$I12,RRE!$N$13:$N$24))</f>
        <v/>
      </c>
      <c r="L12" s="518" t="str">
        <f ca="1">IF(K12="","",SUMIF(RRE!$J$13:$J$24,OFÍCIO!$I12,RRE!$O$13:$O$24))</f>
        <v/>
      </c>
      <c r="N12" s="443"/>
      <c r="O12" s="443"/>
      <c r="P12" s="443"/>
      <c r="Q12" s="443"/>
    </row>
    <row r="13" spans="2:17" x14ac:dyDescent="0.25">
      <c r="B13" s="49"/>
      <c r="C13" s="49"/>
      <c r="D13" s="49"/>
      <c r="E13" s="49"/>
      <c r="F13" s="49"/>
      <c r="G13" s="49"/>
      <c r="I13" s="516" t="str">
        <f ca="1">IF(ROW(I13)-ROW(L$5)&gt;MAX(RRE!$V$13:$V$24),"",INDEX(RRE!$J$13:$J$24,MATCH(ROW(I13)-ROW(I$5),RRE!$V$13:$V$24,0)))</f>
        <v/>
      </c>
      <c r="J13" s="517" t="str">
        <f ca="1">IF(I13="","",SUMIF(RRE!$J$13:$J$24,OFÍCIO!$I13,RRE!$L$13:$L$24))</f>
        <v/>
      </c>
      <c r="K13" s="517" t="str">
        <f ca="1">IF(J13="","",SUMIF(RRE!$J$13:$J$24,OFÍCIO!$I13,RRE!$N$13:$N$24))</f>
        <v/>
      </c>
      <c r="L13" s="518" t="str">
        <f ca="1">IF(K13="","",SUMIF(RRE!$J$13:$J$24,OFÍCIO!$I13,RRE!$O$13:$O$24))</f>
        <v/>
      </c>
    </row>
    <row r="14" spans="2:17" x14ac:dyDescent="0.25">
      <c r="B14" s="444" t="s">
        <v>391</v>
      </c>
      <c r="C14" s="729" t="str">
        <f ca="1">CONCATENATE(RRE.Numero,"ª"," Solicitação de ",IF(import.recurso="OGU","Desbloqueio","Desembolso")," de Recursos.")</f>
        <v>1ª Solicitação de Desbloqueio de Recursos.</v>
      </c>
      <c r="D14" s="729"/>
      <c r="E14" s="729"/>
      <c r="F14" s="729"/>
      <c r="G14" s="729"/>
      <c r="I14" s="516" t="str">
        <f ca="1">IF(ROW(I14)-ROW(L$5)&gt;MAX(RRE!$V$13:$V$24),"",INDEX(RRE!$J$13:$J$24,MATCH(ROW(I14)-ROW(I$5),RRE!$V$13:$V$24,0)))</f>
        <v/>
      </c>
      <c r="J14" s="517" t="str">
        <f ca="1">IF(I14="","",SUMIF(RRE!$J$13:$J$24,OFÍCIO!$I14,RRE!$L$13:$L$24))</f>
        <v/>
      </c>
      <c r="K14" s="517" t="str">
        <f ca="1">IF(J14="","",SUMIF(RRE!$J$13:$J$24,OFÍCIO!$I14,RRE!$N$13:$N$24))</f>
        <v/>
      </c>
      <c r="L14" s="518" t="str">
        <f ca="1">IF(K14="","",SUMIF(RRE!$J$13:$J$24,OFÍCIO!$I14,RRE!$O$13:$O$24))</f>
        <v/>
      </c>
    </row>
    <row r="15" spans="2:17" ht="12.75" customHeight="1" x14ac:dyDescent="0.25">
      <c r="B15" s="444" t="s">
        <v>392</v>
      </c>
      <c r="C15" s="730" t="str">
        <f>CONCATENATE("Contrato de ",IF(import.recurso="OGU","Repasse","Financiamento")," - Operação nº ",Import.CR,IF(Import.TransfereGOV="","",CONCATENATE(" - TransfereGOV nº ",Import.TransfereGOV)))</f>
        <v xml:space="preserve">Contrato de Repasse - Operação nº </v>
      </c>
      <c r="D15" s="730"/>
      <c r="E15" s="730"/>
      <c r="F15" s="730"/>
      <c r="G15" s="730"/>
      <c r="I15" s="516" t="str">
        <f ca="1">IF(ROW(I15)-ROW(L$5)&gt;MAX(RRE!$V$13:$V$24),"",INDEX(RRE!$J$13:$J$24,MATCH(ROW(I15)-ROW(I$5),RRE!$V$13:$V$24,0)))</f>
        <v/>
      </c>
      <c r="J15" s="517" t="str">
        <f ca="1">IF(I15="","",SUMIF(RRE!$J$13:$J$24,OFÍCIO!$I15,RRE!$L$13:$L$24))</f>
        <v/>
      </c>
      <c r="K15" s="517" t="str">
        <f ca="1">IF(J15="","",SUMIF(RRE!$J$13:$J$24,OFÍCIO!$I15,RRE!$N$13:$N$24))</f>
        <v/>
      </c>
      <c r="L15" s="518" t="str">
        <f ca="1">IF(K15="","",SUMIF(RRE!$J$13:$J$24,OFÍCIO!$I15,RRE!$O$13:$O$24))</f>
        <v/>
      </c>
    </row>
    <row r="16" spans="2:17" x14ac:dyDescent="0.25">
      <c r="B16" s="444"/>
      <c r="C16" s="730"/>
      <c r="D16" s="730"/>
      <c r="E16" s="730"/>
      <c r="F16" s="730"/>
      <c r="G16" s="730"/>
      <c r="I16" s="516" t="str">
        <f ca="1">IF(ROW(I16)-ROW(L$5)&gt;MAX(RRE!$V$13:$V$24),"",INDEX(RRE!$J$13:$J$24,MATCH(ROW(I16)-ROW(I$5),RRE!$V$13:$V$24,0)))</f>
        <v/>
      </c>
      <c r="J16" s="517" t="str">
        <f ca="1">IF(I16="","",SUMIF(RRE!$J$13:$J$24,OFÍCIO!$I16,RRE!$L$13:$L$24))</f>
        <v/>
      </c>
      <c r="K16" s="517" t="str">
        <f ca="1">IF(J16="","",SUMIF(RRE!$J$13:$J$24,OFÍCIO!$I16,RRE!$N$13:$N$24))</f>
        <v/>
      </c>
      <c r="L16" s="518" t="str">
        <f ca="1">IF(K16="","",SUMIF(RRE!$J$13:$J$24,OFÍCIO!$I16,RRE!$O$13:$O$24))</f>
        <v/>
      </c>
    </row>
    <row r="17" spans="2:12" x14ac:dyDescent="0.25">
      <c r="B17" s="49"/>
      <c r="C17" s="49"/>
      <c r="D17" s="49"/>
      <c r="E17" s="49"/>
      <c r="F17" s="49"/>
      <c r="G17" s="49"/>
      <c r="I17" s="516" t="str">
        <f ca="1">IF(ROW(I17)-ROW(L$5)&gt;MAX(RRE!$V$13:$V$24),"",INDEX(RRE!$J$13:$J$24,MATCH(ROW(I17)-ROW(I$5),RRE!$V$13:$V$24,0)))</f>
        <v/>
      </c>
      <c r="J17" s="517" t="str">
        <f ca="1">IF(I17="","",SUMIF(RRE!$J$13:$J$24,OFÍCIO!$I17,RRE!$L$13:$L$24))</f>
        <v/>
      </c>
      <c r="K17" s="517" t="str">
        <f ca="1">IF(J17="","",SUMIF(RRE!$J$13:$J$24,OFÍCIO!$I17,RRE!$N$13:$N$24))</f>
        <v/>
      </c>
      <c r="L17" s="518" t="str">
        <f ca="1">IF(K17="","",SUMIF(RRE!$J$13:$J$24,OFÍCIO!$I17,RRE!$O$13:$O$24))</f>
        <v/>
      </c>
    </row>
    <row r="18" spans="2:12" ht="12.75" customHeight="1" x14ac:dyDescent="0.25">
      <c r="B18" s="311" t="s">
        <v>393</v>
      </c>
      <c r="C18" s="725">
        <f>Import.DescLote</f>
        <v>0</v>
      </c>
      <c r="D18" s="725"/>
      <c r="E18" s="725"/>
      <c r="F18" s="725"/>
      <c r="G18" s="725"/>
      <c r="I18" s="516" t="str">
        <f ca="1">IF(ROW(I18)-ROW(L$5)&gt;MAX(RRE!$V$13:$V$24),"",INDEX(RRE!$J$13:$J$24,MATCH(ROW(I18)-ROW(I$5),RRE!$V$13:$V$24,0)))</f>
        <v/>
      </c>
      <c r="J18" s="517" t="str">
        <f ca="1">IF(I18="","",SUMIF(RRE!$J$13:$J$24,OFÍCIO!$I18,RRE!$L$13:$L$24))</f>
        <v/>
      </c>
      <c r="K18" s="517" t="str">
        <f ca="1">IF(J18="","",SUMIF(RRE!$J$13:$J$24,OFÍCIO!$I18,RRE!$N$13:$N$24))</f>
        <v/>
      </c>
      <c r="L18" s="518" t="str">
        <f ca="1">IF(K18="","",SUMIF(RRE!$J$13:$J$24,OFÍCIO!$I18,RRE!$O$13:$O$24))</f>
        <v/>
      </c>
    </row>
    <row r="19" spans="2:12" ht="12.75" customHeight="1" x14ac:dyDescent="0.25">
      <c r="B19" s="727" t="s">
        <v>394</v>
      </c>
      <c r="C19" s="728" t="str">
        <f>Import.Proponente</f>
        <v>PREFEITURA MUNICIPAL DE BOM JARDIM DE MINAS</v>
      </c>
      <c r="D19" s="728"/>
      <c r="E19" s="728"/>
      <c r="F19" s="728"/>
      <c r="G19" s="728"/>
      <c r="I19" s="516" t="str">
        <f ca="1">IF(ROW(I19)-ROW(L$5)&gt;MAX(RRE!$V$13:$V$24),"",INDEX(RRE!$J$13:$J$24,MATCH(ROW(I19)-ROW(I$5),RRE!$V$13:$V$24,0)))</f>
        <v/>
      </c>
      <c r="J19" s="517" t="str">
        <f ca="1">IF(I19="","",SUMIF(RRE!$J$13:$J$24,OFÍCIO!$I19,RRE!$L$13:$L$24))</f>
        <v/>
      </c>
      <c r="K19" s="517" t="str">
        <f ca="1">IF(J19="","",SUMIF(RRE!$J$13:$J$24,OFÍCIO!$I19,RRE!$N$13:$N$24))</f>
        <v/>
      </c>
      <c r="L19" s="518" t="str">
        <f ca="1">IF(K19="","",SUMIF(RRE!$J$13:$J$24,OFÍCIO!$I19,RRE!$O$13:$O$24))</f>
        <v/>
      </c>
    </row>
    <row r="20" spans="2:12" x14ac:dyDescent="0.25">
      <c r="B20" s="727"/>
      <c r="C20" s="728"/>
      <c r="D20" s="728"/>
      <c r="E20" s="728"/>
      <c r="F20" s="728"/>
      <c r="G20" s="728"/>
      <c r="I20" s="516" t="str">
        <f ca="1">IF(ROW(I20)-ROW(L$5)&gt;MAX(RRE!$V$13:$V$24),"",INDEX(RRE!$J$13:$J$24,MATCH(ROW(I20)-ROW(I$5),RRE!$V$13:$V$24,0)))</f>
        <v/>
      </c>
      <c r="J20" s="517" t="str">
        <f ca="1">IF(I20="","",SUMIF(RRE!$J$13:$J$24,OFÍCIO!$I20,RRE!$L$13:$L$24))</f>
        <v/>
      </c>
      <c r="K20" s="517" t="str">
        <f ca="1">IF(J20="","",SUMIF(RRE!$J$13:$J$24,OFÍCIO!$I20,RRE!$N$13:$N$24))</f>
        <v/>
      </c>
      <c r="L20" s="518" t="str">
        <f ca="1">IF(K20="","",SUMIF(RRE!$J$13:$J$24,OFÍCIO!$I20,RRE!$O$13:$O$24))</f>
        <v/>
      </c>
    </row>
    <row r="21" spans="2:12" x14ac:dyDescent="0.25">
      <c r="B21" s="49"/>
      <c r="C21" s="49"/>
      <c r="D21" s="49"/>
      <c r="E21" s="49"/>
      <c r="F21" s="49"/>
      <c r="G21" s="49"/>
      <c r="I21" s="516" t="str">
        <f ca="1">IF(ROW(I21)-ROW(L$5)&gt;MAX(RRE!$V$13:$V$24),"",INDEX(RRE!$J$13:$J$24,MATCH(ROW(I21)-ROW(I$5),RRE!$V$13:$V$24,0)))</f>
        <v/>
      </c>
      <c r="J21" s="517" t="str">
        <f ca="1">IF(I21="","",SUMIF(RRE!$J$13:$J$24,OFÍCIO!$I21,RRE!$L$13:$L$24))</f>
        <v/>
      </c>
      <c r="K21" s="517" t="str">
        <f ca="1">IF(J21="","",SUMIF(RRE!$J$13:$J$24,OFÍCIO!$I21,RRE!$N$13:$N$24))</f>
        <v/>
      </c>
      <c r="L21" s="518" t="str">
        <f ca="1">IF(K21="","",SUMIF(RRE!$J$13:$J$24,OFÍCIO!$I21,RRE!$O$13:$O$24))</f>
        <v/>
      </c>
    </row>
    <row r="22" spans="2:12" x14ac:dyDescent="0.25">
      <c r="B22" t="str">
        <f>IF(B11="GIGOV","Senhor Gerente","Senhor Superintendente")</f>
        <v>Senhor Gerente</v>
      </c>
      <c r="D22" s="49"/>
      <c r="E22" s="49"/>
      <c r="F22" s="49"/>
      <c r="G22" s="49"/>
      <c r="I22" s="516" t="str">
        <f ca="1">IF(ROW(I22)-ROW(L$5)&gt;MAX(RRE!$V$13:$V$24),"",INDEX(RRE!$J$13:$J$24,MATCH(ROW(I22)-ROW(I$5),RRE!$V$13:$V$24,0)))</f>
        <v/>
      </c>
      <c r="J22" s="517" t="str">
        <f ca="1">IF(I22="","",SUMIF(RRE!$J$13:$J$24,OFÍCIO!$I22,RRE!$L$13:$L$24))</f>
        <v/>
      </c>
      <c r="K22" s="517" t="str">
        <f ca="1">IF(J22="","",SUMIF(RRE!$J$13:$J$24,OFÍCIO!$I22,RRE!$N$13:$N$24))</f>
        <v/>
      </c>
      <c r="L22" s="518" t="str">
        <f ca="1">IF(K22="","",SUMIF(RRE!$J$13:$J$24,OFÍCIO!$I22,RRE!$O$13:$O$24))</f>
        <v/>
      </c>
    </row>
    <row r="23" spans="2:12" x14ac:dyDescent="0.25">
      <c r="B23" s="49"/>
      <c r="C23" s="49"/>
      <c r="D23" s="49"/>
      <c r="E23" s="49"/>
      <c r="F23" s="49"/>
      <c r="G23" s="49"/>
      <c r="I23" s="516" t="str">
        <f ca="1">IF(ROW(I23)-ROW(L$5)&gt;MAX(RRE!$V$13:$V$24),"",INDEX(RRE!$J$13:$J$24,MATCH(ROW(I23)-ROW(I$5),RRE!$V$13:$V$24,0)))</f>
        <v/>
      </c>
      <c r="J23" s="517" t="str">
        <f ca="1">IF(I23="","",SUMIF(RRE!$J$13:$J$24,OFÍCIO!$I23,RRE!$L$13:$L$24))</f>
        <v/>
      </c>
      <c r="K23" s="517" t="str">
        <f ca="1">IF(J23="","",SUMIF(RRE!$J$13:$J$24,OFÍCIO!$I23,RRE!$N$13:$N$24))</f>
        <v/>
      </c>
      <c r="L23" s="518" t="str">
        <f ca="1">IF(K23="","",SUMIF(RRE!$J$13:$J$24,OFÍCIO!$I23,RRE!$O$13:$O$24))</f>
        <v/>
      </c>
    </row>
    <row r="24" spans="2:12" ht="12.75" customHeight="1" x14ac:dyDescent="0.25">
      <c r="B24" s="725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25"/>
      <c r="D24" s="725"/>
      <c r="E24" s="725"/>
      <c r="F24" s="725"/>
      <c r="G24" s="725"/>
      <c r="I24" s="516" t="str">
        <f ca="1">IF(ROW(I24)-ROW(L$5)&gt;MAX(RRE!$V$13:$V$24),"",INDEX(RRE!$J$13:$J$24,MATCH(ROW(I24)-ROW(I$5),RRE!$V$13:$V$24,0)))</f>
        <v/>
      </c>
      <c r="J24" s="517" t="str">
        <f ca="1">IF(I24="","",SUMIF(RRE!$J$13:$J$24,OFÍCIO!$I24,RRE!$L$13:$L$24))</f>
        <v/>
      </c>
      <c r="K24" s="517" t="str">
        <f ca="1">IF(J24="","",SUMIF(RRE!$J$13:$J$24,OFÍCIO!$I24,RRE!$N$13:$N$24))</f>
        <v/>
      </c>
      <c r="L24" s="518" t="str">
        <f ca="1">IF(K24="","",SUMIF(RRE!$J$13:$J$24,OFÍCIO!$I24,RRE!$O$13:$O$24))</f>
        <v/>
      </c>
    </row>
    <row r="25" spans="2:12" x14ac:dyDescent="0.25">
      <c r="B25" s="725"/>
      <c r="C25" s="725"/>
      <c r="D25" s="725"/>
      <c r="E25" s="725"/>
      <c r="F25" s="725"/>
      <c r="G25" s="725"/>
      <c r="I25" s="516" t="str">
        <f ca="1">IF(ROW(I25)-ROW(L$5)&gt;MAX(RRE!$V$13:$V$24),"",INDEX(RRE!$J$13:$J$24,MATCH(ROW(I25)-ROW(I$5),RRE!$V$13:$V$24,0)))</f>
        <v/>
      </c>
      <c r="J25" s="517" t="str">
        <f ca="1">IF(I25="","",SUMIF(RRE!$J$13:$J$24,OFÍCIO!$I25,RRE!$L$13:$L$24))</f>
        <v/>
      </c>
      <c r="K25" s="517" t="str">
        <f ca="1">IF(J25="","",SUMIF(RRE!$J$13:$J$24,OFÍCIO!$I25,RRE!$N$13:$N$24))</f>
        <v/>
      </c>
      <c r="L25" s="518" t="str">
        <f ca="1">IF(K25="","",SUMIF(RRE!$J$13:$J$24,OFÍCIO!$I25,RRE!$O$13:$O$24))</f>
        <v/>
      </c>
    </row>
    <row r="26" spans="2:12" x14ac:dyDescent="0.25">
      <c r="B26" s="725"/>
      <c r="C26" s="725"/>
      <c r="D26" s="725"/>
      <c r="E26" s="725"/>
      <c r="F26" s="725"/>
      <c r="G26" s="725"/>
      <c r="I26" s="516" t="str">
        <f ca="1">IF(ROW(I26)-ROW(L$5)&gt;MAX(RRE!$V$13:$V$24),"",INDEX(RRE!$J$13:$J$24,MATCH(ROW(I26)-ROW(I$5),RRE!$V$13:$V$24,0)))</f>
        <v/>
      </c>
      <c r="J26" s="517" t="str">
        <f ca="1">IF(I26="","",SUMIF(RRE!$J$13:$J$24,OFÍCIO!$I26,RRE!$L$13:$L$24))</f>
        <v/>
      </c>
      <c r="K26" s="517" t="str">
        <f ca="1">IF(J26="","",SUMIF(RRE!$J$13:$J$24,OFÍCIO!$I26,RRE!$N$13:$N$24))</f>
        <v/>
      </c>
      <c r="L26" s="518" t="str">
        <f ca="1">IF(K26="","",SUMIF(RRE!$J$13:$J$24,OFÍCIO!$I26,RRE!$O$13:$O$24))</f>
        <v/>
      </c>
    </row>
    <row r="27" spans="2:12" x14ac:dyDescent="0.25">
      <c r="B27" s="49"/>
      <c r="C27" s="49"/>
      <c r="D27" s="49"/>
      <c r="E27" s="49"/>
      <c r="F27" s="49"/>
      <c r="G27" s="49"/>
      <c r="I27" s="516" t="str">
        <f ca="1">IF(ROW(I27)-ROW(L$5)&gt;MAX(RRE!$V$13:$V$24),"",INDEX(RRE!$J$13:$J$24,MATCH(ROW(I27)-ROW(I$5),RRE!$V$13:$V$24,0)))</f>
        <v/>
      </c>
      <c r="J27" s="517" t="str">
        <f ca="1">IF(I27="","",SUMIF(RRE!$J$13:$J$24,OFÍCIO!$I27,RRE!$L$13:$L$24))</f>
        <v/>
      </c>
      <c r="K27" s="517" t="str">
        <f ca="1">IF(J27="","",SUMIF(RRE!$J$13:$J$24,OFÍCIO!$I27,RRE!$N$13:$N$24))</f>
        <v/>
      </c>
      <c r="L27" s="518" t="str">
        <f ca="1">IF(K27="","",SUMIF(RRE!$J$13:$J$24,OFÍCIO!$I27,RRE!$O$13:$O$24))</f>
        <v/>
      </c>
    </row>
    <row r="28" spans="2:12" ht="12.75" customHeight="1" x14ac:dyDescent="0.25">
      <c r="B28" s="726"/>
      <c r="C28" s="726"/>
      <c r="D28" s="731" t="s">
        <v>395</v>
      </c>
      <c r="E28" s="731" t="str">
        <f ca="1">"Evolução da "&amp;RRE.Numero&amp;"ª Medição"</f>
        <v>Evolução da 1ª Medição</v>
      </c>
      <c r="F28" s="732" t="s">
        <v>396</v>
      </c>
      <c r="G28" s="732"/>
      <c r="I28" s="516" t="str">
        <f ca="1">IF(ROW(I28)-ROW(L$5)&gt;MAX(RRE!$V$13:$V$24),"",INDEX(RRE!$J$13:$J$24,MATCH(ROW(I28)-ROW(I$5),RRE!$V$13:$V$24,0)))</f>
        <v/>
      </c>
      <c r="J28" s="517" t="str">
        <f ca="1">IF(I28="","",SUMIF(RRE!$J$13:$J$24,OFÍCIO!$I28,RRE!$L$13:$L$24))</f>
        <v/>
      </c>
      <c r="K28" s="517" t="str">
        <f ca="1">IF(J28="","",SUMIF(RRE!$J$13:$J$24,OFÍCIO!$I28,RRE!$N$13:$N$24))</f>
        <v/>
      </c>
      <c r="L28" s="518" t="str">
        <f ca="1">IF(K28="","",SUMIF(RRE!$J$13:$J$24,OFÍCIO!$I28,RRE!$O$13:$O$24))</f>
        <v/>
      </c>
    </row>
    <row r="29" spans="2:12" x14ac:dyDescent="0.25">
      <c r="B29" s="726"/>
      <c r="C29" s="726"/>
      <c r="D29" s="731"/>
      <c r="E29" s="731"/>
      <c r="F29" s="732"/>
      <c r="G29" s="732"/>
      <c r="I29" s="516" t="str">
        <f ca="1">IF(ROW(I29)-ROW(L$5)&gt;MAX(RRE!$V$13:$V$24),"",INDEX(RRE!$J$13:$J$24,MATCH(ROW(I29)-ROW(I$5),RRE!$V$13:$V$24,0)))</f>
        <v/>
      </c>
      <c r="J29" s="517" t="str">
        <f ca="1">IF(I29="","",SUMIF(RRE!$J$13:$J$24,OFÍCIO!$I29,RRE!$L$13:$L$24))</f>
        <v/>
      </c>
      <c r="K29" s="517" t="str">
        <f ca="1">IF(J29="","",SUMIF(RRE!$J$13:$J$24,OFÍCIO!$I29,RRE!$N$13:$N$24))</f>
        <v/>
      </c>
      <c r="L29" s="518" t="str">
        <f ca="1">IF(K29="","",SUMIF(RRE!$J$13:$J$24,OFÍCIO!$I29,RRE!$O$13:$O$24))</f>
        <v/>
      </c>
    </row>
    <row r="30" spans="2:12" x14ac:dyDescent="0.25">
      <c r="B30" s="720" t="str">
        <f>IF(import.recurso="FGTS","Financiamento:","Repasse:")</f>
        <v>Repasse:</v>
      </c>
      <c r="C30" s="720"/>
      <c r="D30" s="447">
        <f ca="1">RRE!L25</f>
        <v>99449.489999999991</v>
      </c>
      <c r="E30" s="447">
        <f ca="1">RRE!N25</f>
        <v>0</v>
      </c>
      <c r="F30" s="721">
        <f ca="1">RRE!O25</f>
        <v>0</v>
      </c>
      <c r="G30" s="721"/>
      <c r="I30" s="516" t="str">
        <f ca="1">IF(ROW(I30)-ROW(L$5)&gt;MAX(RRE!$V$13:$V$24),"",INDEX(RRE!$J$13:$J$24,MATCH(ROW(I30)-ROW(I$5),RRE!$V$13:$V$24,0)))</f>
        <v/>
      </c>
      <c r="J30" s="517" t="str">
        <f ca="1">IF(I30="","",SUMIF(RRE!$J$13:$J$24,OFÍCIO!$I30,RRE!$L$13:$L$24))</f>
        <v/>
      </c>
      <c r="K30" s="517" t="str">
        <f ca="1">IF(J30="","",SUMIF(RRE!$J$13:$J$24,OFÍCIO!$I30,RRE!$N$13:$N$24))</f>
        <v/>
      </c>
      <c r="L30" s="518" t="str">
        <f ca="1">IF(K30="","",SUMIF(RRE!$J$13:$J$24,OFÍCIO!$I30,RRE!$O$13:$O$24))</f>
        <v/>
      </c>
    </row>
    <row r="31" spans="2:12" x14ac:dyDescent="0.25">
      <c r="B31" s="720" t="s">
        <v>397</v>
      </c>
      <c r="C31" s="720"/>
      <c r="D31" s="447">
        <f ca="1">RRE!L26</f>
        <v>441.96</v>
      </c>
      <c r="E31" s="447">
        <f ca="1">RRE!N26</f>
        <v>0</v>
      </c>
      <c r="F31" s="721">
        <f ca="1">RRE!O26</f>
        <v>0</v>
      </c>
      <c r="G31" s="721"/>
      <c r="I31" s="516" t="str">
        <f ca="1">IF(ROW(I31)-ROW(L$5)&gt;MAX(RRE!$V$13:$V$24),"",INDEX(RRE!$J$13:$J$24,MATCH(ROW(I31)-ROW(I$5),RRE!$V$13:$V$24,0)))</f>
        <v/>
      </c>
      <c r="J31" s="517" t="str">
        <f ca="1">IF(I31="","",SUMIF(RRE!$J$13:$J$24,OFÍCIO!$I31,RRE!$L$13:$L$24))</f>
        <v/>
      </c>
      <c r="K31" s="517" t="str">
        <f ca="1">IF(J31="","",SUMIF(RRE!$J$13:$J$24,OFÍCIO!$I31,RRE!$N$13:$N$24))</f>
        <v/>
      </c>
      <c r="L31" s="518" t="str">
        <f ca="1">IF(K31="","",SUMIF(RRE!$J$13:$J$24,OFÍCIO!$I31,RRE!$O$13:$O$24))</f>
        <v/>
      </c>
    </row>
    <row r="32" spans="2:12" x14ac:dyDescent="0.25">
      <c r="B32" s="720" t="s">
        <v>285</v>
      </c>
      <c r="C32" s="720"/>
      <c r="D32" s="447">
        <f ca="1">RRE!L27</f>
        <v>0</v>
      </c>
      <c r="E32" s="447">
        <f ca="1">RRE!N27</f>
        <v>0</v>
      </c>
      <c r="F32" s="721">
        <f ca="1">RRE!O27</f>
        <v>0</v>
      </c>
      <c r="G32" s="721"/>
      <c r="I32" s="516" t="str">
        <f ca="1">IF(ROW(I32)-ROW(L$5)&gt;MAX(RRE!$V$13:$V$24),"",INDEX(RRE!$J$13:$J$24,MATCH(ROW(I32)-ROW(I$5),RRE!$V$13:$V$24,0)))</f>
        <v/>
      </c>
      <c r="J32" s="517" t="str">
        <f ca="1">IF(I32="","",SUMIF(RRE!$J$13:$J$24,OFÍCIO!$I32,RRE!$L$13:$L$24))</f>
        <v/>
      </c>
      <c r="K32" s="517" t="str">
        <f ca="1">IF(J32="","",SUMIF(RRE!$J$13:$J$24,OFÍCIO!$I32,RRE!$N$13:$N$24))</f>
        <v/>
      </c>
      <c r="L32" s="518" t="str">
        <f ca="1">IF(K32="","",SUMIF(RRE!$J$13:$J$24,OFÍCIO!$I32,RRE!$O$13:$O$24))</f>
        <v/>
      </c>
    </row>
    <row r="33" spans="2:12" x14ac:dyDescent="0.25">
      <c r="B33" s="720" t="s">
        <v>286</v>
      </c>
      <c r="C33" s="720"/>
      <c r="D33" s="447">
        <f ca="1">RRE!L28</f>
        <v>99891.45</v>
      </c>
      <c r="E33" s="447">
        <f ca="1">RRE!N28</f>
        <v>0</v>
      </c>
      <c r="F33" s="721">
        <f ca="1">RRE!O28</f>
        <v>0</v>
      </c>
      <c r="G33" s="721"/>
      <c r="I33" s="516" t="str">
        <f ca="1">IF(ROW(I33)-ROW(L$5)&gt;MAX(RRE!$V$13:$V$24),"",INDEX(RRE!$J$13:$J$24,MATCH(ROW(I33)-ROW(I$5),RRE!$V$13:$V$24,0)))</f>
        <v/>
      </c>
      <c r="J33" s="517" t="str">
        <f ca="1">IF(I33="","",SUMIF(RRE!$J$13:$J$24,OFÍCIO!$I33,RRE!$L$13:$L$24))</f>
        <v/>
      </c>
      <c r="K33" s="517" t="str">
        <f ca="1">IF(J33="","",SUMIF(RRE!$J$13:$J$24,OFÍCIO!$I33,RRE!$N$13:$N$24))</f>
        <v/>
      </c>
      <c r="L33" s="518" t="str">
        <f ca="1">IF(K33="","",SUMIF(RRE!$J$13:$J$24,OFÍCIO!$I33,RRE!$O$13:$O$24))</f>
        <v/>
      </c>
    </row>
    <row r="34" spans="2:12" x14ac:dyDescent="0.25">
      <c r="B34" s="722" t="s">
        <v>398</v>
      </c>
      <c r="C34" s="722"/>
      <c r="D34" s="448" t="s">
        <v>166</v>
      </c>
      <c r="E34" s="449">
        <f ca="1">RRE!$N$28/(RRE!$L$28+10^-12)</f>
        <v>0</v>
      </c>
      <c r="F34" s="723">
        <f ca="1">RRE!P24</f>
        <v>0</v>
      </c>
      <c r="G34" s="723"/>
      <c r="I34" s="516" t="str">
        <f ca="1">IF(ROW(I34)-ROW(L$5)&gt;MAX(RRE!$V$13:$V$24),"",INDEX(RRE!$J$13:$J$24,MATCH(ROW(I34)-ROW(I$5),RRE!$V$13:$V$24,0)))</f>
        <v/>
      </c>
      <c r="J34" s="517" t="str">
        <f ca="1">IF(I34="","",SUMIF(RRE!$J$13:$J$24,OFÍCIO!$I34,RRE!$L$13:$L$24))</f>
        <v/>
      </c>
      <c r="K34" s="517" t="str">
        <f ca="1">IF(J34="","",SUMIF(RRE!$J$13:$J$24,OFÍCIO!$I34,RRE!$N$13:$N$24))</f>
        <v/>
      </c>
      <c r="L34" s="518" t="str">
        <f ca="1">IF(K34="","",SUMIF(RRE!$J$13:$J$24,OFÍCIO!$I34,RRE!$O$13:$O$24))</f>
        <v/>
      </c>
    </row>
    <row r="35" spans="2:12" x14ac:dyDescent="0.25">
      <c r="B35" s="194"/>
      <c r="C35" s="49"/>
      <c r="D35" s="49"/>
      <c r="E35" s="49"/>
      <c r="F35" s="49"/>
      <c r="G35" s="49"/>
      <c r="I35" s="516" t="str">
        <f ca="1">IF(ROW(I35)-ROW(L$5)&gt;MAX(RRE!$V$13:$V$24),"",INDEX(RRE!$J$13:$J$24,MATCH(ROW(I35)-ROW(I$5),RRE!$V$13:$V$24,0)))</f>
        <v/>
      </c>
      <c r="J35" s="517" t="str">
        <f ca="1">IF(I35="","",SUMIF(RRE!$J$13:$J$24,OFÍCIO!$I35,RRE!$L$13:$L$24))</f>
        <v/>
      </c>
      <c r="K35" s="517" t="str">
        <f ca="1">IF(J35="","",SUMIF(RRE!$J$13:$J$24,OFÍCIO!$I35,RRE!$N$13:$N$24))</f>
        <v/>
      </c>
      <c r="L35" s="518" t="str">
        <f ca="1">IF(K35="","",SUMIF(RRE!$J$13:$J$24,OFÍCIO!$I35,RRE!$O$13:$O$24))</f>
        <v/>
      </c>
    </row>
    <row r="36" spans="2:12" x14ac:dyDescent="0.25">
      <c r="B36" s="194"/>
      <c r="C36" s="194"/>
      <c r="D36" s="194"/>
      <c r="E36" s="194"/>
      <c r="F36" s="194"/>
      <c r="G36" s="49"/>
      <c r="I36" s="516" t="str">
        <f ca="1">IF(ROW(I36)-ROW(L$5)&gt;MAX(RRE!$V$13:$V$24),"",INDEX(RRE!$J$13:$J$24,MATCH(ROW(I36)-ROW(I$5),RRE!$V$13:$V$24,0)))</f>
        <v/>
      </c>
      <c r="J36" s="517" t="str">
        <f ca="1">IF(I36="","",SUMIF(RRE!$J$13:$J$24,OFÍCIO!$I36,RRE!$L$13:$L$24))</f>
        <v/>
      </c>
      <c r="K36" s="517" t="str">
        <f ca="1">IF(J36="","",SUMIF(RRE!$J$13:$J$24,OFÍCIO!$I36,RRE!$N$13:$N$24))</f>
        <v/>
      </c>
      <c r="L36" s="518" t="str">
        <f ca="1">IF(K36="","",SUMIF(RRE!$J$13:$J$24,OFÍCIO!$I36,RRE!$O$13:$O$24))</f>
        <v/>
      </c>
    </row>
    <row r="37" spans="2:12" x14ac:dyDescent="0.25">
      <c r="B37" s="724" t="str">
        <f ca="1">IF(RRE.Numero&gt;1,"2. Encaminhamos ainda a documentação relativa à prestação de contas da etapa físico-financeira anterior.","")</f>
        <v/>
      </c>
      <c r="C37" s="724"/>
      <c r="D37" s="724"/>
      <c r="E37" s="724"/>
      <c r="F37" s="724"/>
      <c r="G37" s="724"/>
      <c r="I37" s="516" t="str">
        <f ca="1">IF(ROW(I37)-ROW(L$5)&gt;MAX(RRE!$V$13:$V$24),"",INDEX(RRE!$J$13:$J$24,MATCH(ROW(I37)-ROW(I$5),RRE!$V$13:$V$24,0)))</f>
        <v/>
      </c>
      <c r="J37" s="517" t="str">
        <f ca="1">IF(I37="","",SUMIF(RRE!$J$13:$J$24,OFÍCIO!$I37,RRE!$L$13:$L$24))</f>
        <v/>
      </c>
      <c r="K37" s="517" t="str">
        <f ca="1">IF(J37="","",SUMIF(RRE!$J$13:$J$24,OFÍCIO!$I37,RRE!$N$13:$N$24))</f>
        <v/>
      </c>
      <c r="L37" s="518" t="str">
        <f ca="1">IF(K37="","",SUMIF(RRE!$J$13:$J$24,OFÍCIO!$I37,RRE!$O$13:$O$24))</f>
        <v/>
      </c>
    </row>
    <row r="38" spans="2:12" x14ac:dyDescent="0.25">
      <c r="B38" s="724"/>
      <c r="C38" s="724"/>
      <c r="D38" s="724"/>
      <c r="E38" s="724"/>
      <c r="F38" s="724"/>
      <c r="G38" s="724"/>
      <c r="I38" s="516" t="str">
        <f ca="1">IF(ROW(I38)-ROW(L$5)&gt;MAX(RRE!$V$13:$V$24),"",INDEX(RRE!$J$13:$J$24,MATCH(ROW(I38)-ROW(I$5),RRE!$V$13:$V$24,0)))</f>
        <v/>
      </c>
      <c r="J38" s="517" t="str">
        <f ca="1">IF(I38="","",SUMIF(RRE!$J$13:$J$24,OFÍCIO!$I38,RRE!$L$13:$L$24))</f>
        <v/>
      </c>
      <c r="K38" s="517" t="str">
        <f ca="1">IF(J38="","",SUMIF(RRE!$J$13:$J$24,OFÍCIO!$I38,RRE!$N$13:$N$24))</f>
        <v/>
      </c>
      <c r="L38" s="518" t="str">
        <f ca="1">IF(K38="","",SUMIF(RRE!$J$13:$J$24,OFÍCIO!$I38,RRE!$O$13:$O$24))</f>
        <v/>
      </c>
    </row>
    <row r="39" spans="2:12" ht="12.75" customHeight="1" x14ac:dyDescent="0.25">
      <c r="B39" s="724" t="str">
        <f ca="1">IF(AND(RRE.Numero&gt;1,NOT(ISBLANK(Import.TransfereGOV))),"3. Na oportunidade, informamos que a execução financeira da parcela anterior está devidamente comprovada no TransfereGOV.","")</f>
        <v/>
      </c>
      <c r="C39" s="724"/>
      <c r="D39" s="724"/>
      <c r="E39" s="724"/>
      <c r="F39" s="724"/>
      <c r="G39" s="724"/>
      <c r="I39" s="516" t="str">
        <f ca="1">IF(ROW(I39)-ROW(L$5)&gt;MAX(RRE!$V$13:$V$24),"",INDEX(RRE!$J$13:$J$24,MATCH(ROW(I39)-ROW(I$5),RRE!$V$13:$V$24,0)))</f>
        <v/>
      </c>
      <c r="J39" s="517" t="str">
        <f ca="1">IF(I39="","",SUMIF(RRE!$J$13:$J$24,OFÍCIO!$I39,RRE!$L$13:$L$24))</f>
        <v/>
      </c>
      <c r="K39" s="517" t="str">
        <f ca="1">IF(J39="","",SUMIF(RRE!$J$13:$J$24,OFÍCIO!$I39,RRE!$N$13:$N$24))</f>
        <v/>
      </c>
      <c r="L39" s="518" t="str">
        <f ca="1">IF(K39="","",SUMIF(RRE!$J$13:$J$24,OFÍCIO!$I39,RRE!$O$13:$O$24))</f>
        <v/>
      </c>
    </row>
    <row r="40" spans="2:12" x14ac:dyDescent="0.25">
      <c r="B40" s="724"/>
      <c r="C40" s="724"/>
      <c r="D40" s="724"/>
      <c r="E40" s="724"/>
      <c r="F40" s="724"/>
      <c r="G40" s="724"/>
      <c r="I40" s="516" t="str">
        <f ca="1">IF(ROW(I40)-ROW(L$5)&gt;MAX(RRE!$V$13:$V$24),"",INDEX(RRE!$J$13:$J$24,MATCH(ROW(I40)-ROW(I$5),RRE!$V$13:$V$24,0)))</f>
        <v/>
      </c>
      <c r="J40" s="517" t="str">
        <f ca="1">IF(I40="","",SUMIF(RRE!$J$13:$J$24,OFÍCIO!$I40,RRE!$L$13:$L$24))</f>
        <v/>
      </c>
      <c r="K40" s="517" t="str">
        <f ca="1">IF(J40="","",SUMIF(RRE!$J$13:$J$24,OFÍCIO!$I40,RRE!$N$13:$N$24))</f>
        <v/>
      </c>
      <c r="L40" s="518" t="str">
        <f ca="1">IF(K40="","",SUMIF(RRE!$J$13:$J$24,OFÍCIO!$I40,RRE!$O$13:$O$24))</f>
        <v/>
      </c>
    </row>
    <row r="41" spans="2:12" x14ac:dyDescent="0.25">
      <c r="B41" s="450"/>
      <c r="C41" s="445"/>
      <c r="D41" s="445"/>
      <c r="E41" s="445"/>
      <c r="F41" s="445"/>
      <c r="G41" s="445"/>
      <c r="I41" s="516" t="str">
        <f ca="1">IF(ROW(I41)-ROW(L$5)&gt;MAX(RRE!$V$13:$V$24),"",INDEX(RRE!$J$13:$J$24,MATCH(ROW(I41)-ROW(I$5),RRE!$V$13:$V$24,0)))</f>
        <v/>
      </c>
      <c r="J41" s="517" t="str">
        <f ca="1">IF(I41="","",SUMIF(RRE!$J$13:$J$24,OFÍCIO!$I41,RRE!$L$13:$L$24))</f>
        <v/>
      </c>
      <c r="K41" s="517" t="str">
        <f ca="1">IF(J41="","",SUMIF(RRE!$J$13:$J$24,OFÍCIO!$I41,RRE!$N$13:$N$24))</f>
        <v/>
      </c>
      <c r="L41" s="518" t="str">
        <f ca="1">IF(K41="","",SUMIF(RRE!$J$13:$J$24,OFÍCIO!$I41,RRE!$O$13:$O$24))</f>
        <v/>
      </c>
    </row>
    <row r="42" spans="2:12" ht="12.75" customHeight="1" x14ac:dyDescent="0.25">
      <c r="B42" s="724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24"/>
      <c r="D42" s="724"/>
      <c r="E42" s="724"/>
      <c r="F42" s="724"/>
      <c r="G42" s="724"/>
      <c r="I42" s="516" t="str">
        <f ca="1">IF(ROW(I42)-ROW(L$5)&gt;MAX(RRE!$V$13:$V$24),"",INDEX(RRE!$J$13:$J$24,MATCH(ROW(I42)-ROW(I$5),RRE!$V$13:$V$24,0)))</f>
        <v/>
      </c>
      <c r="J42" s="517" t="str">
        <f ca="1">IF(I42="","",SUMIF(RRE!$J$13:$J$24,OFÍCIO!$I42,RRE!$L$13:$L$24))</f>
        <v/>
      </c>
      <c r="K42" s="517" t="str">
        <f ca="1">IF(J42="","",SUMIF(RRE!$J$13:$J$24,OFÍCIO!$I42,RRE!$N$13:$N$24))</f>
        <v/>
      </c>
      <c r="L42" s="518" t="str">
        <f ca="1">IF(K42="","",SUMIF(RRE!$J$13:$J$24,OFÍCIO!$I42,RRE!$O$13:$O$24))</f>
        <v/>
      </c>
    </row>
    <row r="43" spans="2:12" x14ac:dyDescent="0.25">
      <c r="B43" s="724"/>
      <c r="C43" s="724"/>
      <c r="D43" s="724"/>
      <c r="E43" s="724"/>
      <c r="F43" s="724"/>
      <c r="G43" s="724"/>
      <c r="I43" s="516" t="str">
        <f ca="1">IF(ROW(I43)-ROW(L$5)&gt;MAX(RRE!$V$13:$V$24),"",INDEX(RRE!$J$13:$J$24,MATCH(ROW(I43)-ROW(I$5),RRE!$V$13:$V$24,0)))</f>
        <v/>
      </c>
      <c r="J43" s="517" t="str">
        <f ca="1">IF(I43="","",SUMIF(RRE!$J$13:$J$24,OFÍCIO!$I43,RRE!$L$13:$L$24))</f>
        <v/>
      </c>
      <c r="K43" s="517" t="str">
        <f ca="1">IF(J43="","",SUMIF(RRE!$J$13:$J$24,OFÍCIO!$I43,RRE!$N$13:$N$24))</f>
        <v/>
      </c>
      <c r="L43" s="518" t="str">
        <f ca="1">IF(K43="","",SUMIF(RRE!$J$13:$J$24,OFÍCIO!$I43,RRE!$O$13:$O$24))</f>
        <v/>
      </c>
    </row>
    <row r="44" spans="2:12" x14ac:dyDescent="0.25">
      <c r="B44" s="724"/>
      <c r="C44" s="724"/>
      <c r="D44" s="724"/>
      <c r="E44" s="724"/>
      <c r="F44" s="724"/>
      <c r="G44" s="724"/>
      <c r="I44" s="516" t="str">
        <f ca="1">IF(ROW(I44)-ROW(L$5)&gt;MAX(RRE!$V$13:$V$24),"",INDEX(RRE!$J$13:$J$24,MATCH(ROW(I44)-ROW(I$5),RRE!$V$13:$V$24,0)))</f>
        <v/>
      </c>
      <c r="J44" s="517" t="str">
        <f ca="1">IF(I44="","",SUMIF(RRE!$J$13:$J$24,OFÍCIO!$I44,RRE!$L$13:$L$24))</f>
        <v/>
      </c>
      <c r="K44" s="517" t="str">
        <f ca="1">IF(J44="","",SUMIF(RRE!$J$13:$J$24,OFÍCIO!$I44,RRE!$N$13:$N$24))</f>
        <v/>
      </c>
      <c r="L44" s="518" t="str">
        <f ca="1">IF(K44="","",SUMIF(RRE!$J$13:$J$24,OFÍCIO!$I44,RRE!$O$13:$O$24))</f>
        <v/>
      </c>
    </row>
    <row r="45" spans="2:12" x14ac:dyDescent="0.25">
      <c r="B45" s="724"/>
      <c r="C45" s="724"/>
      <c r="D45" s="724"/>
      <c r="E45" s="724"/>
      <c r="F45" s="724"/>
      <c r="G45" s="724"/>
      <c r="I45" s="516" t="str">
        <f ca="1">IF(ROW(I45)-ROW(L$5)&gt;MAX(RRE!$V$13:$V$24),"",INDEX(RRE!$J$13:$J$24,MATCH(ROW(I45)-ROW(I$5),RRE!$V$13:$V$24,0)))</f>
        <v/>
      </c>
      <c r="J45" s="517" t="str">
        <f ca="1">IF(I45="","",SUMIF(RRE!$J$13:$J$24,OFÍCIO!$I45,RRE!$L$13:$L$24))</f>
        <v/>
      </c>
      <c r="K45" s="517" t="str">
        <f ca="1">IF(J45="","",SUMIF(RRE!$J$13:$J$24,OFÍCIO!$I45,RRE!$N$13:$N$24))</f>
        <v/>
      </c>
      <c r="L45" s="518" t="str">
        <f ca="1">IF(K45="","",SUMIF(RRE!$J$13:$J$24,OFÍCIO!$I45,RRE!$O$13:$O$24))</f>
        <v/>
      </c>
    </row>
    <row r="46" spans="2:12" ht="13.8" thickBot="1" x14ac:dyDescent="0.3">
      <c r="B46" s="724"/>
      <c r="C46" s="724"/>
      <c r="D46" s="724"/>
      <c r="E46" s="724"/>
      <c r="F46" s="724"/>
      <c r="G46" s="724"/>
      <c r="I46" s="519" t="str">
        <f ca="1">IF(ROW(I46)-ROW(L$5)&gt;MAX(RRE!$V$13:$V$24),"",INDEX(RRE!$J$13:$J$24,MATCH(ROW(I46)-ROW(I$5),RRE!$V$13:$V$24,0)))</f>
        <v/>
      </c>
      <c r="J46" s="520" t="str">
        <f ca="1">IF(I46="","",SUMIF(RRE!$J$13:$J$24,OFÍCIO!$I46,RRE!$L$13:$L$24))</f>
        <v/>
      </c>
      <c r="K46" s="520" t="str">
        <f ca="1">IF(J46="","",SUMIF(RRE!$J$13:$J$24,OFÍCIO!$I46,RRE!$N$13:$N$24))</f>
        <v/>
      </c>
      <c r="L46" s="521" t="str">
        <f ca="1">IF(K46="","",SUMIF(RRE!$J$13:$J$24,OFÍCIO!$I46,RRE!$O$13:$O$24))</f>
        <v/>
      </c>
    </row>
    <row r="47" spans="2:12" x14ac:dyDescent="0.25">
      <c r="G47" s="317"/>
    </row>
    <row r="48" spans="2:12" x14ac:dyDescent="0.25">
      <c r="G48" s="317"/>
    </row>
    <row r="49" spans="2:7" x14ac:dyDescent="0.25">
      <c r="B49" s="49" t="s">
        <v>399</v>
      </c>
      <c r="G49" s="317"/>
    </row>
    <row r="50" spans="2:7" x14ac:dyDescent="0.25">
      <c r="B50" s="317"/>
      <c r="C50" s="317"/>
      <c r="D50" s="317"/>
      <c r="E50" s="317"/>
      <c r="F50" s="317"/>
      <c r="G50" s="317"/>
    </row>
    <row r="51" spans="2:7" x14ac:dyDescent="0.25">
      <c r="B51" s="49"/>
      <c r="C51" s="49"/>
      <c r="D51" s="49"/>
      <c r="E51" s="49"/>
      <c r="F51" s="49"/>
      <c r="G51" s="49"/>
    </row>
    <row r="52" spans="2:7" x14ac:dyDescent="0.25">
      <c r="B52" s="49"/>
      <c r="C52" s="49"/>
      <c r="D52" s="49"/>
      <c r="E52" s="49"/>
      <c r="F52" s="49"/>
      <c r="G52" s="49"/>
    </row>
    <row r="53" spans="2:7" x14ac:dyDescent="0.25">
      <c r="B53" s="451"/>
      <c r="C53" s="451"/>
      <c r="D53" s="451"/>
      <c r="E53" s="49"/>
      <c r="F53" s="49"/>
      <c r="G53" s="49"/>
    </row>
    <row r="54" spans="2:7" x14ac:dyDescent="0.25">
      <c r="B54" s="718" t="str">
        <f>DADOS!$F$28</f>
        <v>JOSÉ FRANCISCO MATOS E SILVA</v>
      </c>
      <c r="C54" s="718"/>
      <c r="D54" s="718"/>
      <c r="E54" s="718"/>
      <c r="F54" s="718"/>
      <c r="G54" s="718"/>
    </row>
    <row r="55" spans="2:7" x14ac:dyDescent="0.25">
      <c r="B55" s="718" t="str">
        <f>DADOS!$F$29</f>
        <v>PREFEITO MUNICIPAL</v>
      </c>
      <c r="C55" s="718"/>
      <c r="D55" s="718"/>
      <c r="E55" s="718"/>
      <c r="F55" s="718"/>
      <c r="G55" s="718"/>
    </row>
    <row r="56" spans="2:7" x14ac:dyDescent="0.25">
      <c r="B56" s="719"/>
      <c r="C56" s="719"/>
      <c r="D56" s="719"/>
      <c r="E56" s="719"/>
      <c r="F56" s="719"/>
      <c r="G56" s="719"/>
    </row>
  </sheetData>
  <sheetProtection algorithmName="SHA-512" hashValue="YjMpdP9dKpnIqsVwTsTIA5x706cY8tKJvN7tE5lyTjtIcQSlcjNYzn6xcO0VKi49G5iTMh9nnmrNB7ZnZ/SpZg==" saltValue="QTskv9jCpvOmE7LhXhCtgw==" spinCount="100000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 xr:uid="{00000000-0002-0000-0D00-000000000000}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&amp;LPMv3.0.6&amp;R&amp;P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E1:AR61"/>
  <sheetViews>
    <sheetView showGridLines="0" zoomScale="90" zoomScaleNormal="90" workbookViewId="0">
      <pane ySplit="2" topLeftCell="A3" activePane="bottomLeft" state="frozen"/>
      <selection pane="bottomLeft" activeCell="F47" sqref="F47"/>
    </sheetView>
  </sheetViews>
  <sheetFormatPr defaultRowHeight="13.2" x14ac:dyDescent="0.25"/>
  <cols>
    <col min="5" max="5" width="42.6640625" style="3" customWidth="1"/>
    <col min="6" max="6" width="53.33203125" style="3" customWidth="1"/>
    <col min="10" max="10" width="14.332031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5">
      <c r="E1" s="8" t="s">
        <v>5</v>
      </c>
      <c r="K1" s="9"/>
      <c r="L1" s="580" t="s">
        <v>6</v>
      </c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  <c r="AP1" s="580"/>
      <c r="AQ1" s="580"/>
      <c r="AR1" s="580"/>
    </row>
    <row r="2" spans="5:44" ht="12.75" customHeight="1" x14ac:dyDescent="0.25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4.4" x14ac:dyDescent="0.25">
      <c r="E3" s="579" t="s">
        <v>25</v>
      </c>
      <c r="F3" s="579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5">
      <c r="E4" s="14" t="s">
        <v>44</v>
      </c>
      <c r="F4" s="15" t="s">
        <v>455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5">
      <c r="E5" s="16" t="s">
        <v>59</v>
      </c>
      <c r="F5" s="17" t="s">
        <v>464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5">
      <c r="E6" s="16" t="s">
        <v>70</v>
      </c>
      <c r="F6" s="17" t="s">
        <v>465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5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5">
      <c r="E8" s="18" t="s">
        <v>441</v>
      </c>
      <c r="F8" s="19"/>
      <c r="J8" s="13" t="s">
        <v>13</v>
      </c>
      <c r="M8" t="s">
        <v>86</v>
      </c>
      <c r="N8" s="7" t="s">
        <v>29</v>
      </c>
      <c r="O8" t="s">
        <v>87</v>
      </c>
      <c r="P8" s="7" t="s">
        <v>29</v>
      </c>
      <c r="Q8" t="s">
        <v>88</v>
      </c>
      <c r="R8" s="7" t="s">
        <v>34</v>
      </c>
      <c r="S8" t="s">
        <v>89</v>
      </c>
      <c r="T8" s="7" t="s">
        <v>34</v>
      </c>
      <c r="U8" t="s">
        <v>90</v>
      </c>
      <c r="V8" s="7" t="s">
        <v>34</v>
      </c>
      <c r="Y8" t="s">
        <v>91</v>
      </c>
      <c r="Z8" s="7" t="s">
        <v>29</v>
      </c>
    </row>
    <row r="9" spans="5:44" x14ac:dyDescent="0.25">
      <c r="E9" s="18" t="str">
        <f>IF(F4="FGTS","Valor de Financiamento Contratado (R$):","Valor do Repasse Contratado (R$):")</f>
        <v>Valor do Repasse Contratado (R$):</v>
      </c>
      <c r="F9" s="20">
        <v>99449.49</v>
      </c>
      <c r="J9" s="13" t="s">
        <v>14</v>
      </c>
      <c r="S9" t="s">
        <v>92</v>
      </c>
      <c r="T9" s="7" t="s">
        <v>32</v>
      </c>
      <c r="U9" t="s">
        <v>93</v>
      </c>
      <c r="V9" s="7" t="s">
        <v>34</v>
      </c>
    </row>
    <row r="10" spans="5:44" x14ac:dyDescent="0.25">
      <c r="E10" s="18" t="s">
        <v>94</v>
      </c>
      <c r="F10" s="20"/>
      <c r="J10" s="13" t="s">
        <v>15</v>
      </c>
      <c r="S10" t="s">
        <v>95</v>
      </c>
      <c r="T10" s="7" t="s">
        <v>53</v>
      </c>
      <c r="U10" t="s">
        <v>96</v>
      </c>
      <c r="V10" s="7" t="s">
        <v>27</v>
      </c>
    </row>
    <row r="11" spans="5:44" x14ac:dyDescent="0.25">
      <c r="E11" s="18" t="s">
        <v>97</v>
      </c>
      <c r="F11" s="21"/>
      <c r="J11" s="13" t="s">
        <v>16</v>
      </c>
      <c r="S11" t="s">
        <v>98</v>
      </c>
      <c r="T11" s="7" t="s">
        <v>32</v>
      </c>
    </row>
    <row r="12" spans="5:44" x14ac:dyDescent="0.25">
      <c r="E12" s="18" t="s">
        <v>99</v>
      </c>
      <c r="F12" s="20"/>
      <c r="J12" s="13" t="s">
        <v>17</v>
      </c>
      <c r="S12" t="s">
        <v>35</v>
      </c>
      <c r="T12" s="7" t="s">
        <v>27</v>
      </c>
    </row>
    <row r="13" spans="5:44" x14ac:dyDescent="0.25">
      <c r="E13" s="22" t="s">
        <v>100</v>
      </c>
      <c r="F13" s="23"/>
      <c r="J13" s="13" t="s">
        <v>18</v>
      </c>
      <c r="S13" t="s">
        <v>101</v>
      </c>
      <c r="T13" s="7" t="s">
        <v>32</v>
      </c>
    </row>
    <row r="14" spans="5:44" x14ac:dyDescent="0.25">
      <c r="F14" s="24"/>
      <c r="J14" s="13" t="s">
        <v>19</v>
      </c>
    </row>
    <row r="15" spans="5:44" ht="14.4" x14ac:dyDescent="0.25">
      <c r="E15" s="579" t="s">
        <v>102</v>
      </c>
      <c r="F15" s="579"/>
      <c r="J15" s="13" t="s">
        <v>20</v>
      </c>
    </row>
    <row r="16" spans="5:44" x14ac:dyDescent="0.25">
      <c r="E16" s="25" t="s">
        <v>103</v>
      </c>
      <c r="F16" s="26" t="s">
        <v>472</v>
      </c>
      <c r="J16" s="13" t="s">
        <v>21</v>
      </c>
    </row>
    <row r="17" spans="5:10" x14ac:dyDescent="0.25">
      <c r="E17" s="18" t="s">
        <v>104</v>
      </c>
      <c r="F17" s="27"/>
      <c r="J17" s="13" t="s">
        <v>22</v>
      </c>
    </row>
    <row r="18" spans="5:10" x14ac:dyDescent="0.25">
      <c r="E18" s="18" t="s">
        <v>105</v>
      </c>
      <c r="F18" s="28" t="s">
        <v>456</v>
      </c>
      <c r="J18" s="13" t="s">
        <v>23</v>
      </c>
    </row>
    <row r="19" spans="5:10" x14ac:dyDescent="0.25">
      <c r="E19" s="29" t="s">
        <v>106</v>
      </c>
      <c r="F19" s="30">
        <v>45536</v>
      </c>
      <c r="J19" s="13" t="s">
        <v>24</v>
      </c>
    </row>
    <row r="20" spans="5:10" x14ac:dyDescent="0.25">
      <c r="F20" s="31"/>
      <c r="J20" s="13"/>
    </row>
    <row r="21" spans="5:10" ht="14.4" x14ac:dyDescent="0.25">
      <c r="E21" s="579" t="s">
        <v>107</v>
      </c>
      <c r="F21" s="579"/>
      <c r="J21" s="13"/>
    </row>
    <row r="22" spans="5:10" x14ac:dyDescent="0.25">
      <c r="E22" s="16" t="s">
        <v>108</v>
      </c>
      <c r="F22" s="32" t="s">
        <v>457</v>
      </c>
    </row>
    <row r="23" spans="5:10" x14ac:dyDescent="0.25">
      <c r="E23" s="18" t="s">
        <v>109</v>
      </c>
      <c r="F23" s="19" t="s">
        <v>458</v>
      </c>
    </row>
    <row r="24" spans="5:10" x14ac:dyDescent="0.25">
      <c r="E24" s="18" t="s">
        <v>110</v>
      </c>
      <c r="F24" s="575" t="s">
        <v>491</v>
      </c>
    </row>
    <row r="25" spans="5:10" ht="13.8" thickBot="1" x14ac:dyDescent="0.3">
      <c r="E25" s="22" t="s">
        <v>111</v>
      </c>
      <c r="F25" s="33">
        <f ca="1">TODAY()</f>
        <v>45580</v>
      </c>
    </row>
    <row r="27" spans="5:10" ht="14.4" x14ac:dyDescent="0.25">
      <c r="E27" s="579" t="s">
        <v>112</v>
      </c>
      <c r="F27" s="579"/>
    </row>
    <row r="28" spans="5:10" x14ac:dyDescent="0.25">
      <c r="E28" s="14" t="s">
        <v>108</v>
      </c>
      <c r="F28" s="34" t="s">
        <v>459</v>
      </c>
    </row>
    <row r="29" spans="5:10" x14ac:dyDescent="0.25">
      <c r="E29" s="22" t="s">
        <v>113</v>
      </c>
      <c r="F29" s="35" t="s">
        <v>460</v>
      </c>
    </row>
    <row r="30" spans="5:10" ht="16.2" thickBot="1" x14ac:dyDescent="0.3">
      <c r="E30" s="8"/>
    </row>
    <row r="31" spans="5:10" ht="13.8" thickBot="1" x14ac:dyDescent="0.3">
      <c r="E31" s="572" t="s">
        <v>438</v>
      </c>
      <c r="F31" s="573" t="s">
        <v>439</v>
      </c>
    </row>
    <row r="32" spans="5:10" ht="12.75" customHeight="1" x14ac:dyDescent="0.25">
      <c r="E32" s="8"/>
    </row>
    <row r="33" spans="5:6" ht="12.75" customHeight="1" x14ac:dyDescent="0.25">
      <c r="E33" s="8" t="s">
        <v>114</v>
      </c>
    </row>
    <row r="34" spans="5:6" ht="15.6" x14ac:dyDescent="0.25">
      <c r="E34" s="8"/>
    </row>
    <row r="35" spans="5:6" ht="12.75" customHeight="1" x14ac:dyDescent="0.25">
      <c r="E35" s="579" t="s">
        <v>115</v>
      </c>
      <c r="F35" s="579"/>
    </row>
    <row r="36" spans="5:6" x14ac:dyDescent="0.25">
      <c r="E36" s="14" t="s">
        <v>116</v>
      </c>
      <c r="F36" s="36"/>
    </row>
    <row r="37" spans="5:6" x14ac:dyDescent="0.25">
      <c r="E37" s="16" t="s">
        <v>117</v>
      </c>
      <c r="F37" s="17"/>
    </row>
    <row r="38" spans="5:6" x14ac:dyDescent="0.25">
      <c r="E38" s="18" t="s">
        <v>118</v>
      </c>
      <c r="F38" s="19"/>
    </row>
    <row r="39" spans="5:6" x14ac:dyDescent="0.25">
      <c r="E39" s="18" t="s">
        <v>119</v>
      </c>
      <c r="F39" s="19"/>
    </row>
    <row r="40" spans="5:6" x14ac:dyDescent="0.25">
      <c r="E40" s="18" t="s">
        <v>120</v>
      </c>
      <c r="F40" s="28" t="s">
        <v>461</v>
      </c>
    </row>
    <row r="41" spans="5:6" x14ac:dyDescent="0.25">
      <c r="E41" s="29" t="s">
        <v>121</v>
      </c>
      <c r="F41" s="37">
        <v>45536</v>
      </c>
    </row>
    <row r="42" spans="5:6" ht="15.6" x14ac:dyDescent="0.25">
      <c r="E42" s="8"/>
    </row>
    <row r="43" spans="5:6" ht="12.75" customHeight="1" x14ac:dyDescent="0.25">
      <c r="E43" s="8"/>
    </row>
    <row r="44" spans="5:6" ht="12.75" customHeight="1" x14ac:dyDescent="0.25">
      <c r="E44" s="8" t="s">
        <v>122</v>
      </c>
    </row>
    <row r="45" spans="5:6" ht="15.6" x14ac:dyDescent="0.25">
      <c r="E45" s="8"/>
    </row>
    <row r="46" spans="5:6" ht="12.75" customHeight="1" x14ac:dyDescent="0.25">
      <c r="E46" s="579" t="s">
        <v>123</v>
      </c>
      <c r="F46" s="579"/>
    </row>
    <row r="47" spans="5:6" x14ac:dyDescent="0.25">
      <c r="E47" s="14" t="s">
        <v>124</v>
      </c>
      <c r="F47" s="36"/>
    </row>
    <row r="48" spans="5:6" x14ac:dyDescent="0.25">
      <c r="E48" s="29" t="s">
        <v>125</v>
      </c>
      <c r="F48" s="38">
        <f ca="1">TODAY()</f>
        <v>45580</v>
      </c>
    </row>
    <row r="49" spans="5:6" ht="15.6" x14ac:dyDescent="0.25">
      <c r="E49" s="8"/>
    </row>
    <row r="50" spans="5:6" ht="12.75" customHeight="1" x14ac:dyDescent="0.25">
      <c r="E50" s="579" t="s">
        <v>126</v>
      </c>
      <c r="F50" s="579"/>
    </row>
    <row r="51" spans="5:6" x14ac:dyDescent="0.25">
      <c r="E51" s="14" t="s">
        <v>108</v>
      </c>
      <c r="F51" s="39" t="s">
        <v>457</v>
      </c>
    </row>
    <row r="52" spans="5:6" x14ac:dyDescent="0.25">
      <c r="E52" s="18" t="s">
        <v>127</v>
      </c>
      <c r="F52" s="19" t="s">
        <v>462</v>
      </c>
    </row>
    <row r="53" spans="5:6" x14ac:dyDescent="0.25">
      <c r="E53" s="18" t="s">
        <v>128</v>
      </c>
      <c r="F53" s="19" t="s">
        <v>463</v>
      </c>
    </row>
    <row r="54" spans="5:6" ht="13.8" thickBot="1" x14ac:dyDescent="0.3">
      <c r="E54" s="22" t="s">
        <v>129</v>
      </c>
      <c r="F54" s="576" t="s">
        <v>491</v>
      </c>
    </row>
    <row r="55" spans="5:6" x14ac:dyDescent="0.25">
      <c r="F55" s="31"/>
    </row>
    <row r="57" spans="5:6" ht="15.6" x14ac:dyDescent="0.25">
      <c r="E57" s="8" t="s">
        <v>130</v>
      </c>
    </row>
    <row r="58" spans="5:6" ht="16.2" thickBot="1" x14ac:dyDescent="0.3">
      <c r="E58" s="8"/>
    </row>
    <row r="59" spans="5:6" ht="15" thickBot="1" x14ac:dyDescent="0.3">
      <c r="E59" s="579" t="s">
        <v>131</v>
      </c>
      <c r="F59" s="579"/>
    </row>
    <row r="60" spans="5:6" x14ac:dyDescent="0.25">
      <c r="E60" s="14" t="s">
        <v>108</v>
      </c>
      <c r="F60" s="39"/>
    </row>
    <row r="61" spans="5:6" ht="13.8" thickBot="1" x14ac:dyDescent="0.3">
      <c r="E61" s="29" t="s">
        <v>132</v>
      </c>
      <c r="F61" s="40"/>
    </row>
  </sheetData>
  <sheetProtection algorithmName="SHA-512" hashValue="qhS/ShjVl0+iA4u/StJPADXZyyqWi5zwH0VBtDEuJX/uBAKcz7JKS5I8lzesfnvIOedvcSZU9CgCLO5EWPt0UQ==" saltValue="rK4r+LATfY57KJ9egRg7Kg==" spinCount="100000" sheet="1" objects="1" scenarios="1" autoFilter="0"/>
  <mergeCells count="9">
    <mergeCell ref="E50:F50"/>
    <mergeCell ref="E59:F59"/>
    <mergeCell ref="L1:AR1"/>
    <mergeCell ref="E3:F3"/>
    <mergeCell ref="E15:F15"/>
    <mergeCell ref="E21:F21"/>
    <mergeCell ref="E27:F27"/>
    <mergeCell ref="E35:F35"/>
    <mergeCell ref="E46:F46"/>
  </mergeCells>
  <phoneticPr fontId="38" type="noConversion"/>
  <conditionalFormatting sqref="E57:F58">
    <cfRule type="expression" dxfId="236" priority="2" stopIfTrue="1">
      <formula>CAIXA.Modo=FALSE</formula>
    </cfRule>
  </conditionalFormatting>
  <conditionalFormatting sqref="E59:F61">
    <cfRule type="expression" dxfId="235" priority="3" stopIfTrue="1">
      <formula>CAIXA.Modo=FALSE</formula>
    </cfRule>
  </conditionalFormatting>
  <dataValidations count="7">
    <dataValidation type="date" allowBlank="1" showErrorMessage="1" errorTitle="Dados inválidos" error="Digite somente datas válidas no formato mm/aaaa." sqref="F19 F25 F36 F41 F47:F48" xr:uid="{00000000-0002-0000-0100-000000000000}">
      <formula1>36526</formula1>
      <formula2>72686</formula2>
    </dataValidation>
    <dataValidation type="list" allowBlank="1" showErrorMessage="1" sqref="F18" xr:uid="{00000000-0002-0000-0100-000001000000}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 xr:uid="{00000000-0002-0000-0100-000002000000}">
      <formula1>0</formula1>
      <formula2>1</formula2>
    </dataValidation>
    <dataValidation type="list" allowBlank="1" showErrorMessage="1" sqref="F4" xr:uid="{00000000-0002-0000-0100-000003000000}">
      <formula1>"(SELECIONAR),OGU,FGTS"</formula1>
      <formula2>0</formula2>
    </dataValidation>
    <dataValidation type="decimal" operator="greaterThan" allowBlank="1" showErrorMessage="1" error="Digite um valor maior do que 0." sqref="F12" xr:uid="{00000000-0002-0000-0100-000004000000}">
      <formula1>0</formula1>
      <formula2>0</formula2>
    </dataValidation>
    <dataValidation type="list" allowBlank="1" showErrorMessage="1" sqref="F40" xr:uid="{00000000-0002-0000-0100-000005000000}">
      <formula1>"(SELECIONAR),INDEFINIDO / NÃO SE APLICA,EMPREITADA POR PREÇO GLOBAL,EMPREITADA POR PREÇO UNITÁRIO,EMPREITADA INTEGRAL,TAREFA,CONTRATAÇÃO INTEGRADA,ADM. DIRETA"</formula1>
      <formula2>0</formula2>
    </dataValidation>
    <dataValidation type="list" allowBlank="1" showErrorMessage="1" sqref="F31" xr:uid="{00000000-0002-0000-0100-000006000000}">
      <formula1>"Tradicional,TransfereGOV"</formula1>
    </dataValidation>
  </dataValidations>
  <pageMargins left="0.78740157480314998" right="0.78740157480314998" top="0.78740157480314998" bottom="0.78740157480314998" header="5.7086614173228396" footer="0.59055118110236204"/>
  <pageSetup paperSize="9" scale="66" firstPageNumber="0" fitToHeight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3:E52"/>
  <sheetViews>
    <sheetView showGridLines="0" zoomScale="90" zoomScaleNormal="90" workbookViewId="0">
      <pane ySplit="3" topLeftCell="A4" activePane="bottomLeft" state="frozen"/>
      <selection pane="bottomLeft"/>
    </sheetView>
  </sheetViews>
  <sheetFormatPr defaultRowHeight="13.2" x14ac:dyDescent="0.25"/>
  <cols>
    <col min="1" max="1" width="8.6640625" customWidth="1"/>
    <col min="2" max="2" width="5.6640625" customWidth="1"/>
    <col min="3" max="3" width="3.6640625" customWidth="1"/>
  </cols>
  <sheetData>
    <row r="3" spans="1:4" ht="36.75" customHeight="1" x14ac:dyDescent="0.45">
      <c r="B3" s="41" t="s">
        <v>133</v>
      </c>
    </row>
    <row r="5" spans="1:4" ht="18" x14ac:dyDescent="0.35">
      <c r="A5" s="42"/>
      <c r="B5" s="43"/>
      <c r="C5" s="43"/>
      <c r="D5" s="44"/>
    </row>
    <row r="6" spans="1:4" ht="18" x14ac:dyDescent="0.35">
      <c r="A6" s="45" t="s">
        <v>134</v>
      </c>
      <c r="B6" s="46"/>
      <c r="C6" s="46"/>
      <c r="D6" s="3"/>
    </row>
    <row r="7" spans="1:4" ht="14.4" x14ac:dyDescent="0.3">
      <c r="A7" s="4"/>
      <c r="B7" s="47" t="s">
        <v>135</v>
      </c>
      <c r="C7" s="47"/>
      <c r="D7" s="3"/>
    </row>
    <row r="8" spans="1:4" ht="14.4" x14ac:dyDescent="0.3">
      <c r="A8" s="4"/>
      <c r="B8" s="47"/>
      <c r="C8" s="48" t="str">
        <f>IF(D8&lt;&gt;"","▪","")</f>
        <v>▪</v>
      </c>
      <c r="D8" s="3" t="s">
        <v>136</v>
      </c>
    </row>
    <row r="9" spans="1:4" ht="14.4" x14ac:dyDescent="0.3">
      <c r="A9" s="4"/>
      <c r="B9" s="47"/>
      <c r="C9" s="48" t="str">
        <f>IF(D9&lt;&gt;"","▪","")</f>
        <v/>
      </c>
      <c r="D9" s="3"/>
    </row>
    <row r="10" spans="1:4" ht="18" x14ac:dyDescent="0.35">
      <c r="A10" s="562" t="s">
        <v>411</v>
      </c>
      <c r="B10" s="563"/>
      <c r="C10" s="563"/>
      <c r="D10" s="564"/>
    </row>
    <row r="11" spans="1:4" ht="14.4" x14ac:dyDescent="0.3">
      <c r="A11" s="4"/>
      <c r="B11" s="47" t="s">
        <v>135</v>
      </c>
      <c r="C11" s="47"/>
      <c r="D11" s="3"/>
    </row>
    <row r="12" spans="1:4" ht="14.4" x14ac:dyDescent="0.3">
      <c r="A12" s="4"/>
      <c r="B12" s="47"/>
      <c r="C12" s="48" t="str">
        <f>IF(D12&lt;&gt;"","▪","")</f>
        <v>▪</v>
      </c>
      <c r="D12" s="3" t="s">
        <v>414</v>
      </c>
    </row>
    <row r="13" spans="1:4" ht="14.4" x14ac:dyDescent="0.3">
      <c r="A13" s="4"/>
      <c r="B13" s="47" t="s">
        <v>412</v>
      </c>
      <c r="C13" s="47"/>
      <c r="D13" s="3"/>
    </row>
    <row r="14" spans="1:4" ht="14.4" x14ac:dyDescent="0.3">
      <c r="A14" s="475"/>
      <c r="B14" s="47"/>
      <c r="C14" s="48" t="str">
        <f>IF(D14&lt;&gt;"","▪","")</f>
        <v>▪</v>
      </c>
      <c r="D14" s="3" t="s">
        <v>415</v>
      </c>
    </row>
    <row r="15" spans="1:4" ht="14.4" x14ac:dyDescent="0.25">
      <c r="A15" s="475"/>
      <c r="C15" s="48" t="str">
        <f>IF(D15&lt;&gt;"","▪","")</f>
        <v>▪</v>
      </c>
      <c r="D15" s="3" t="s">
        <v>416</v>
      </c>
    </row>
    <row r="16" spans="1:4" x14ac:dyDescent="0.25">
      <c r="A16" s="479"/>
    </row>
    <row r="17" spans="1:4" ht="18" x14ac:dyDescent="0.35">
      <c r="A17" s="562" t="s">
        <v>418</v>
      </c>
      <c r="B17" s="563"/>
      <c r="C17" s="563"/>
      <c r="D17" s="564"/>
    </row>
    <row r="18" spans="1:4" ht="14.4" x14ac:dyDescent="0.3">
      <c r="A18" s="4"/>
      <c r="B18" s="47" t="s">
        <v>135</v>
      </c>
      <c r="C18" s="47"/>
      <c r="D18" s="3"/>
    </row>
    <row r="19" spans="1:4" ht="14.4" x14ac:dyDescent="0.3">
      <c r="A19" s="4"/>
      <c r="B19" s="47"/>
      <c r="C19" s="48" t="str">
        <f>IF(D19&lt;&gt;"","▪","")</f>
        <v>▪</v>
      </c>
      <c r="D19" s="3" t="s">
        <v>414</v>
      </c>
    </row>
    <row r="20" spans="1:4" ht="14.4" x14ac:dyDescent="0.3">
      <c r="A20" s="4"/>
      <c r="B20" s="47"/>
      <c r="C20" s="48" t="str">
        <f>IF(D20&lt;&gt;"","▪","")</f>
        <v>▪</v>
      </c>
      <c r="D20" s="3" t="s">
        <v>427</v>
      </c>
    </row>
    <row r="21" spans="1:4" ht="14.4" x14ac:dyDescent="0.3">
      <c r="A21" s="475"/>
      <c r="B21" s="47" t="s">
        <v>425</v>
      </c>
      <c r="C21" s="47"/>
      <c r="D21" s="3"/>
    </row>
    <row r="22" spans="1:4" ht="14.4" x14ac:dyDescent="0.3">
      <c r="A22" s="475"/>
      <c r="B22" s="47"/>
      <c r="C22" s="48" t="str">
        <f>IF(D22&lt;&gt;"","▪","")</f>
        <v>▪</v>
      </c>
      <c r="D22" s="3" t="s">
        <v>426</v>
      </c>
    </row>
    <row r="23" spans="1:4" ht="14.4" x14ac:dyDescent="0.3">
      <c r="A23" s="475"/>
      <c r="B23" s="47" t="s">
        <v>419</v>
      </c>
      <c r="C23" s="47"/>
      <c r="D23" s="3"/>
    </row>
    <row r="24" spans="1:4" ht="14.4" x14ac:dyDescent="0.3">
      <c r="A24" s="475"/>
      <c r="B24" s="47"/>
      <c r="C24" s="48" t="str">
        <f>IF(D24&lt;&gt;"","▪","")</f>
        <v>▪</v>
      </c>
      <c r="D24" s="3" t="s">
        <v>423</v>
      </c>
    </row>
    <row r="25" spans="1:4" ht="14.4" x14ac:dyDescent="0.3">
      <c r="A25" s="475"/>
      <c r="B25" s="47" t="s">
        <v>420</v>
      </c>
      <c r="C25" s="47"/>
      <c r="D25" s="3"/>
    </row>
    <row r="26" spans="1:4" ht="14.4" x14ac:dyDescent="0.3">
      <c r="A26" s="475"/>
      <c r="B26" s="47"/>
      <c r="C26" s="48" t="str">
        <f>IF(D26&lt;&gt;"","▪","")</f>
        <v>▪</v>
      </c>
      <c r="D26" s="3" t="s">
        <v>422</v>
      </c>
    </row>
    <row r="27" spans="1:4" ht="14.4" x14ac:dyDescent="0.3">
      <c r="A27" s="475"/>
      <c r="B27" s="47" t="s">
        <v>424</v>
      </c>
      <c r="C27" s="47"/>
      <c r="D27" s="3"/>
    </row>
    <row r="28" spans="1:4" ht="14.4" x14ac:dyDescent="0.3">
      <c r="A28" s="475"/>
      <c r="B28" s="47"/>
      <c r="C28" s="48" t="str">
        <f>IF(D28&lt;&gt;"","▪","")</f>
        <v>▪</v>
      </c>
      <c r="D28" s="3" t="s">
        <v>421</v>
      </c>
    </row>
    <row r="29" spans="1:4" x14ac:dyDescent="0.25">
      <c r="A29" s="479"/>
    </row>
    <row r="30" spans="1:4" ht="18" x14ac:dyDescent="0.35">
      <c r="A30" s="562" t="s">
        <v>428</v>
      </c>
      <c r="B30" s="563"/>
      <c r="C30" s="563"/>
      <c r="D30" s="564"/>
    </row>
    <row r="31" spans="1:4" ht="14.4" x14ac:dyDescent="0.3">
      <c r="A31" s="4"/>
      <c r="B31" s="47" t="s">
        <v>135</v>
      </c>
      <c r="C31" s="47"/>
      <c r="D31" s="3"/>
    </row>
    <row r="32" spans="1:4" ht="14.4" x14ac:dyDescent="0.3">
      <c r="A32" s="4"/>
      <c r="B32" s="47"/>
      <c r="C32" s="48" t="str">
        <f>IF(D32&lt;&gt;"","▪","")</f>
        <v>▪</v>
      </c>
      <c r="D32" s="3" t="s">
        <v>427</v>
      </c>
    </row>
    <row r="33" spans="1:5" ht="14.4" x14ac:dyDescent="0.3">
      <c r="A33" s="4"/>
      <c r="B33" s="47" t="s">
        <v>429</v>
      </c>
      <c r="C33" s="48"/>
      <c r="D33" s="3"/>
    </row>
    <row r="34" spans="1:5" ht="14.4" x14ac:dyDescent="0.3">
      <c r="A34" s="4"/>
      <c r="B34" s="47"/>
      <c r="C34" s="48" t="str">
        <f>IF(D34&lt;&gt;"","▪","")</f>
        <v>▪</v>
      </c>
      <c r="D34" s="3" t="s">
        <v>430</v>
      </c>
    </row>
    <row r="35" spans="1:5" ht="14.4" x14ac:dyDescent="0.3">
      <c r="A35" s="4"/>
      <c r="B35" s="47"/>
      <c r="C35" s="47"/>
      <c r="D35" s="47"/>
      <c r="E35" s="47"/>
    </row>
    <row r="36" spans="1:5" x14ac:dyDescent="0.25">
      <c r="A36" s="479"/>
    </row>
    <row r="37" spans="1:5" ht="18" x14ac:dyDescent="0.35">
      <c r="A37" s="562" t="s">
        <v>431</v>
      </c>
      <c r="B37" s="563"/>
      <c r="C37" s="563"/>
      <c r="D37" s="564"/>
    </row>
    <row r="38" spans="1:5" ht="14.4" x14ac:dyDescent="0.3">
      <c r="A38" s="4"/>
      <c r="B38" s="47" t="s">
        <v>212</v>
      </c>
      <c r="C38" s="47"/>
      <c r="D38" s="3"/>
    </row>
    <row r="39" spans="1:5" ht="14.4" x14ac:dyDescent="0.3">
      <c r="A39" s="4"/>
      <c r="B39" s="47"/>
      <c r="C39" s="48" t="str">
        <f>IF(D39&lt;&gt;"","▪","")</f>
        <v>▪</v>
      </c>
      <c r="D39" s="3" t="s">
        <v>432</v>
      </c>
    </row>
    <row r="40" spans="1:5" ht="14.4" x14ac:dyDescent="0.3">
      <c r="A40" s="4"/>
      <c r="B40" s="47" t="s">
        <v>419</v>
      </c>
      <c r="C40" s="47"/>
      <c r="D40" s="3"/>
    </row>
    <row r="41" spans="1:5" ht="14.4" x14ac:dyDescent="0.3">
      <c r="A41" s="4"/>
      <c r="B41" s="47"/>
      <c r="C41" s="48" t="str">
        <f>IF(D41&lt;&gt;"","▪","")</f>
        <v>▪</v>
      </c>
      <c r="D41" s="3" t="s">
        <v>433</v>
      </c>
    </row>
    <row r="42" spans="1:5" ht="14.4" x14ac:dyDescent="0.3">
      <c r="A42" s="4"/>
      <c r="B42" s="47" t="s">
        <v>420</v>
      </c>
      <c r="C42" s="47"/>
      <c r="D42" s="3"/>
      <c r="E42" s="47"/>
    </row>
    <row r="43" spans="1:5" ht="14.4" x14ac:dyDescent="0.3">
      <c r="A43" s="4"/>
      <c r="B43" s="47"/>
      <c r="C43" s="48" t="str">
        <f>IF(D43&lt;&gt;"","▪","")</f>
        <v>▪</v>
      </c>
      <c r="D43" s="3" t="s">
        <v>434</v>
      </c>
    </row>
    <row r="44" spans="1:5" ht="14.4" x14ac:dyDescent="0.3">
      <c r="A44" s="4"/>
      <c r="B44" s="47"/>
      <c r="C44" s="47"/>
      <c r="D44" s="47"/>
    </row>
    <row r="45" spans="1:5" ht="18" x14ac:dyDescent="0.35">
      <c r="A45" s="562" t="s">
        <v>435</v>
      </c>
      <c r="B45" s="563"/>
      <c r="C45" s="563"/>
      <c r="D45" s="564"/>
    </row>
    <row r="46" spans="1:5" ht="14.4" x14ac:dyDescent="0.3">
      <c r="A46" s="4"/>
      <c r="B46" s="47" t="s">
        <v>135</v>
      </c>
      <c r="C46" s="47"/>
      <c r="D46" s="3"/>
    </row>
    <row r="47" spans="1:5" ht="14.4" x14ac:dyDescent="0.3">
      <c r="A47" s="4"/>
      <c r="B47" s="47"/>
      <c r="C47" s="48" t="str">
        <f>IF(D47&lt;&gt;"","▪","")</f>
        <v>▪</v>
      </c>
      <c r="D47" s="3" t="s">
        <v>436</v>
      </c>
    </row>
    <row r="48" spans="1:5" ht="14.4" x14ac:dyDescent="0.3">
      <c r="A48" s="4"/>
      <c r="B48" s="47"/>
      <c r="C48" s="47"/>
      <c r="D48" s="47"/>
    </row>
    <row r="49" spans="1:4" ht="18" x14ac:dyDescent="0.35">
      <c r="A49" s="562" t="s">
        <v>440</v>
      </c>
      <c r="B49" s="563"/>
      <c r="C49" s="563"/>
      <c r="D49" s="564"/>
    </row>
    <row r="50" spans="1:4" ht="14.4" x14ac:dyDescent="0.3">
      <c r="A50" s="4"/>
      <c r="B50" s="47" t="s">
        <v>135</v>
      </c>
      <c r="C50" s="47"/>
      <c r="D50" s="3"/>
    </row>
    <row r="51" spans="1:4" ht="14.4" x14ac:dyDescent="0.3">
      <c r="A51" s="4"/>
      <c r="B51" s="47"/>
      <c r="C51" s="48" t="str">
        <f>IF(D51&lt;&gt;"","▪","")</f>
        <v>▪</v>
      </c>
      <c r="D51" s="3" t="s">
        <v>443</v>
      </c>
    </row>
    <row r="52" spans="1:4" ht="14.4" x14ac:dyDescent="0.3">
      <c r="A52" s="4"/>
      <c r="B52" s="47"/>
      <c r="C52" s="48" t="str">
        <f>IF(D52&lt;&gt;"","▪","")</f>
        <v>▪</v>
      </c>
      <c r="D52" s="3" t="s">
        <v>444</v>
      </c>
    </row>
  </sheetData>
  <sheetProtection algorithmName="SHA-512" hashValue="GC6aTY4P3+MgUUaaLQr7h0CNDYXN8M3ZMYAUt6aL0dD73B0tM8IsJMu1rlkcLSClvINKcCdfIJYgR1tTOZ4AQA==" saltValue="lkrPr3lBUuggvMEOMJPFDg==" spinCount="100000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&amp;LPMv3.0.6&amp;R&amp;P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 filterMode="1">
    <pageSetUpPr fitToPage="1"/>
  </sheetPr>
  <dimension ref="A1:Z146"/>
  <sheetViews>
    <sheetView showGridLines="0" zoomScale="90" zoomScaleNormal="90" zoomScaleSheetLayoutView="100" workbookViewId="0">
      <pane ySplit="11" topLeftCell="A15" activePane="bottomLeft" state="frozen"/>
      <selection activeCell="E1" sqref="E1"/>
      <selection pane="bottomLeft" activeCell="S26" sqref="S26"/>
    </sheetView>
  </sheetViews>
  <sheetFormatPr defaultRowHeight="13.2" x14ac:dyDescent="0.25"/>
  <cols>
    <col min="1" max="4" width="5.6640625" style="49" hidden="1" customWidth="1"/>
    <col min="5" max="5" width="11.33203125" style="49" hidden="1" customWidth="1"/>
    <col min="6" max="6" width="11.44140625" style="49" hidden="1" customWidth="1"/>
    <col min="7" max="7" width="11.88671875" style="49" hidden="1" customWidth="1"/>
    <col min="8" max="8" width="10.6640625" customWidth="1"/>
    <col min="9" max="9" width="3.6640625" customWidth="1"/>
    <col min="10" max="15" width="10.6640625" style="49" customWidth="1"/>
    <col min="16" max="16" width="12.88671875" style="49" customWidth="1"/>
    <col min="17" max="19" width="10.6640625" style="49" customWidth="1"/>
  </cols>
  <sheetData>
    <row r="1" spans="1:19" ht="15.6" x14ac:dyDescent="0.3">
      <c r="E1" s="50" t="s">
        <v>137</v>
      </c>
      <c r="F1" s="50" t="s">
        <v>138</v>
      </c>
      <c r="G1" s="50" t="s">
        <v>139</v>
      </c>
      <c r="O1" s="51" t="str">
        <f>"Quadro de Composição do BDI"</f>
        <v>Quadro de Composição do BDI</v>
      </c>
      <c r="R1" s="605" t="s">
        <v>140</v>
      </c>
      <c r="S1" s="605"/>
    </row>
    <row r="2" spans="1:19" x14ac:dyDescent="0.25">
      <c r="A2" s="49" t="s">
        <v>141</v>
      </c>
      <c r="B2" s="53" t="s">
        <v>142</v>
      </c>
      <c r="C2" s="49" t="str">
        <f t="shared" ref="C2:C49" si="0">CONCATENATE(A2,"-",B2)</f>
        <v>Construção e Reforma de Edifícios-AC</v>
      </c>
      <c r="E2" s="54">
        <v>0.03</v>
      </c>
      <c r="F2" s="54">
        <v>0.04</v>
      </c>
      <c r="G2" s="54">
        <v>5.5E-2</v>
      </c>
      <c r="R2" s="606" t="s">
        <v>143</v>
      </c>
      <c r="S2" s="606"/>
    </row>
    <row r="3" spans="1:19" x14ac:dyDescent="0.25">
      <c r="A3" s="49" t="str">
        <f>A2</f>
        <v>Construção e Reforma de Edifícios</v>
      </c>
      <c r="B3" s="53" t="s">
        <v>144</v>
      </c>
      <c r="C3" s="49" t="str">
        <f t="shared" si="0"/>
        <v>Construção e Reforma de Edifícios-SG</v>
      </c>
      <c r="E3" s="54">
        <v>8.0000000000000002E-3</v>
      </c>
      <c r="F3" s="54">
        <v>8.0000000000000002E-3</v>
      </c>
      <c r="G3" s="54">
        <v>0.01</v>
      </c>
    </row>
    <row r="4" spans="1:19" x14ac:dyDescent="0.25">
      <c r="A4" s="49" t="str">
        <f>A3</f>
        <v>Construção e Reforma de Edifícios</v>
      </c>
      <c r="B4" s="53" t="s">
        <v>145</v>
      </c>
      <c r="C4" s="49" t="str">
        <f t="shared" si="0"/>
        <v>Construção e Reforma de Edifícios-R</v>
      </c>
      <c r="E4" s="54">
        <v>9.7000000000000003E-3</v>
      </c>
      <c r="F4" s="54">
        <v>1.2699999999999999E-2</v>
      </c>
      <c r="G4" s="54">
        <v>1.2699999999999999E-2</v>
      </c>
      <c r="J4" s="601" t="s">
        <v>146</v>
      </c>
      <c r="K4" s="601"/>
      <c r="L4" s="601" t="s">
        <v>445</v>
      </c>
      <c r="M4" s="601"/>
      <c r="N4" s="601" t="s">
        <v>147</v>
      </c>
      <c r="O4" s="601"/>
      <c r="P4" s="601"/>
      <c r="Q4" s="601"/>
      <c r="R4" s="601"/>
      <c r="S4" s="601"/>
    </row>
    <row r="5" spans="1:19" ht="12.75" customHeight="1" x14ac:dyDescent="0.25">
      <c r="A5" s="49" t="str">
        <f>A4</f>
        <v>Construção e Reforma de Edifícios</v>
      </c>
      <c r="B5" s="53" t="s">
        <v>148</v>
      </c>
      <c r="C5" s="49" t="str">
        <f t="shared" si="0"/>
        <v>Construção e Reforma de Edifícios-DF</v>
      </c>
      <c r="E5" s="54">
        <v>5.8999999999999999E-3</v>
      </c>
      <c r="F5" s="54">
        <v>1.23E-2</v>
      </c>
      <c r="G5" s="54">
        <v>1.3899999999999999E-2</v>
      </c>
      <c r="J5" s="604">
        <f>Import.CR</f>
        <v>0</v>
      </c>
      <c r="K5" s="604"/>
      <c r="L5" s="604">
        <f>Import.TransfereGOV</f>
        <v>0</v>
      </c>
      <c r="M5" s="604"/>
      <c r="N5" s="604" t="str">
        <f>Import.Proponente</f>
        <v>PREFEITURA MUNICIPAL DE BOM JARDIM DE MINAS</v>
      </c>
      <c r="O5" s="604"/>
      <c r="P5" s="604"/>
      <c r="Q5" s="604"/>
      <c r="R5" s="604"/>
      <c r="S5" s="604"/>
    </row>
    <row r="6" spans="1:19" x14ac:dyDescent="0.25">
      <c r="A6" s="49" t="str">
        <f>A5</f>
        <v>Construção e Reforma de Edifícios</v>
      </c>
      <c r="B6" s="53" t="s">
        <v>149</v>
      </c>
      <c r="C6" s="49" t="str">
        <f t="shared" si="0"/>
        <v>Construção e Reforma de Edifícios-L</v>
      </c>
      <c r="E6" s="54">
        <v>6.1600000000000002E-2</v>
      </c>
      <c r="F6" s="54">
        <v>7.400000000000001E-2</v>
      </c>
      <c r="G6" s="54">
        <v>8.9600000000000013E-2</v>
      </c>
      <c r="I6" s="594" t="s">
        <v>209</v>
      </c>
      <c r="J6" s="57"/>
      <c r="K6" s="57"/>
      <c r="L6" s="57"/>
      <c r="M6" s="57"/>
      <c r="N6" s="57"/>
      <c r="O6" s="57"/>
      <c r="P6" s="57"/>
      <c r="Q6" s="57"/>
      <c r="R6" s="57"/>
      <c r="S6" s="57"/>
    </row>
    <row r="7" spans="1:19" ht="26.4" x14ac:dyDescent="0.25">
      <c r="A7" s="49" t="str">
        <f>A6</f>
        <v>Construção e Reforma de Edifícios</v>
      </c>
      <c r="B7" s="58" t="s">
        <v>150</v>
      </c>
      <c r="C7" s="49" t="str">
        <f t="shared" si="0"/>
        <v>Construção e Reforma de Edifícios-BDI PAD</v>
      </c>
      <c r="E7" s="54">
        <v>0.2034</v>
      </c>
      <c r="F7" s="54">
        <v>0.22120000000000001</v>
      </c>
      <c r="G7" s="54">
        <v>0.25</v>
      </c>
      <c r="I7" s="594"/>
      <c r="J7" s="601" t="s">
        <v>151</v>
      </c>
      <c r="K7" s="601"/>
      <c r="L7" s="601"/>
      <c r="M7" s="601"/>
      <c r="N7" s="601"/>
      <c r="O7" s="601"/>
      <c r="P7" s="601"/>
      <c r="Q7" s="601"/>
      <c r="R7" s="601"/>
      <c r="S7" s="601"/>
    </row>
    <row r="8" spans="1:19" x14ac:dyDescent="0.25">
      <c r="A8" s="49" t="s">
        <v>152</v>
      </c>
      <c r="B8" s="53" t="s">
        <v>142</v>
      </c>
      <c r="C8" s="49" t="str">
        <f t="shared" si="0"/>
        <v>Construção de Praças Urbanas, Rodovias, Ferrovias e recapeamento e pavimentação de vias urbanas-AC</v>
      </c>
      <c r="E8" s="54">
        <v>3.7999999999999999E-2</v>
      </c>
      <c r="F8" s="54">
        <v>4.0099999999999997E-2</v>
      </c>
      <c r="G8" s="54">
        <v>4.6699999999999998E-2</v>
      </c>
      <c r="I8" s="594"/>
      <c r="J8" s="609" t="str">
        <f>Import.Apelido&amp;" / "&amp;Import.DescLote</f>
        <v xml:space="preserve">REFORMA - COLÉGIO TABOÃO / </v>
      </c>
      <c r="K8" s="609"/>
      <c r="L8" s="609"/>
      <c r="M8" s="609"/>
      <c r="N8" s="609"/>
      <c r="O8" s="609"/>
      <c r="P8" s="609"/>
      <c r="Q8" s="609"/>
      <c r="R8" s="609"/>
      <c r="S8" s="609"/>
    </row>
    <row r="9" spans="1:19" x14ac:dyDescent="0.25">
      <c r="A9" s="49" t="s">
        <v>152</v>
      </c>
      <c r="B9" s="53" t="s">
        <v>144</v>
      </c>
      <c r="C9" s="49" t="str">
        <f t="shared" si="0"/>
        <v>Construção de Praças Urbanas, Rodovias, Ferrovias e recapeamento e pavimentação de vias urbanas-SG</v>
      </c>
      <c r="E9" s="54">
        <v>3.2000000000000002E-3</v>
      </c>
      <c r="F9" s="54">
        <v>4.0000000000000001E-3</v>
      </c>
      <c r="G9" s="54">
        <v>7.4000000000000003E-3</v>
      </c>
      <c r="I9" s="594"/>
      <c r="J9" s="57"/>
      <c r="K9" s="57"/>
      <c r="L9" s="57"/>
      <c r="M9" s="57"/>
      <c r="N9" s="57"/>
      <c r="O9" s="57"/>
      <c r="P9" s="57"/>
      <c r="Q9" s="57"/>
      <c r="R9" s="57"/>
      <c r="S9" s="57"/>
    </row>
    <row r="10" spans="1:19" ht="12.75" customHeight="1" x14ac:dyDescent="0.25">
      <c r="A10" s="49" t="s">
        <v>152</v>
      </c>
      <c r="B10" s="53" t="s">
        <v>145</v>
      </c>
      <c r="C10" s="49" t="str">
        <f t="shared" si="0"/>
        <v>Construção de Praças Urbanas, Rodovias, Ferrovias e recapeamento e pavimentação de vias urbanas-R</v>
      </c>
      <c r="E10" s="54">
        <v>5.0000000000000001E-3</v>
      </c>
      <c r="F10" s="54">
        <v>5.6000000000000008E-3</v>
      </c>
      <c r="G10" s="54">
        <v>9.7000000000000003E-3</v>
      </c>
      <c r="I10" s="594"/>
      <c r="J10" s="610" t="s">
        <v>153</v>
      </c>
      <c r="K10" s="610"/>
      <c r="L10" s="610"/>
      <c r="M10" s="610"/>
      <c r="N10" s="610"/>
      <c r="O10" s="610"/>
      <c r="P10" s="610"/>
      <c r="Q10" s="610"/>
      <c r="R10" s="608">
        <v>1</v>
      </c>
      <c r="S10" s="608"/>
    </row>
    <row r="11" spans="1:19" ht="12.75" customHeight="1" x14ac:dyDescent="0.25">
      <c r="A11" s="49" t="s">
        <v>152</v>
      </c>
      <c r="B11" s="53" t="s">
        <v>148</v>
      </c>
      <c r="C11" s="49" t="str">
        <f t="shared" si="0"/>
        <v>Construção de Praças Urbanas, Rodovias, Ferrovias e recapeamento e pavimentação de vias urbanas-DF</v>
      </c>
      <c r="E11" s="54">
        <v>1.0200000000000001E-2</v>
      </c>
      <c r="F11" s="54">
        <v>1.11E-2</v>
      </c>
      <c r="G11" s="54">
        <v>1.21E-2</v>
      </c>
      <c r="I11" s="107" t="s">
        <v>217</v>
      </c>
      <c r="J11" s="607" t="s">
        <v>154</v>
      </c>
      <c r="K11" s="607"/>
      <c r="L11" s="607"/>
      <c r="M11" s="607"/>
      <c r="N11" s="607"/>
      <c r="O11" s="607"/>
      <c r="P11" s="607"/>
      <c r="Q11" s="607"/>
      <c r="R11" s="608">
        <v>0.05</v>
      </c>
      <c r="S11" s="608"/>
    </row>
    <row r="12" spans="1:19" x14ac:dyDescent="0.25">
      <c r="A12" s="49" t="s">
        <v>152</v>
      </c>
      <c r="B12" s="53" t="s">
        <v>149</v>
      </c>
      <c r="C12" s="49" t="str">
        <f t="shared" si="0"/>
        <v>Construção de Praças Urbanas, Rodovias, Ferrovias e recapeamento e pavimentação de vias urbanas-L</v>
      </c>
      <c r="E12" s="54">
        <v>6.6400000000000001E-2</v>
      </c>
      <c r="F12" s="54">
        <v>7.2999999999999995E-2</v>
      </c>
      <c r="G12" s="54">
        <v>8.6899999999999991E-2</v>
      </c>
      <c r="I12" t="s">
        <v>246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</row>
    <row r="13" spans="1:19" ht="26.4" x14ac:dyDescent="0.25">
      <c r="A13" s="49" t="s">
        <v>152</v>
      </c>
      <c r="B13" s="58" t="s">
        <v>150</v>
      </c>
      <c r="C13" s="49" t="str">
        <f t="shared" si="0"/>
        <v>Construção de Praças Urbanas, Rodovias, Ferrovias e recapeamento e pavimentação de vias urbanas-BDI PAD</v>
      </c>
      <c r="E13" s="54">
        <v>0.19600000000000001</v>
      </c>
      <c r="F13" s="54">
        <v>0.2097</v>
      </c>
      <c r="G13" s="54">
        <v>0.24230000000000002</v>
      </c>
      <c r="I13" t="s">
        <v>246</v>
      </c>
    </row>
    <row r="14" spans="1:19" ht="15.6" x14ac:dyDescent="0.3">
      <c r="A14" s="49" t="s">
        <v>155</v>
      </c>
      <c r="B14" s="53" t="s">
        <v>142</v>
      </c>
      <c r="C14" s="49" t="str">
        <f t="shared" si="0"/>
        <v>Construção de Redes de Abastecimento de Água, Coleta de Esgoto-AC</v>
      </c>
      <c r="E14" s="54">
        <v>3.4300000000000004E-2</v>
      </c>
      <c r="F14" s="54">
        <v>4.9299999999999997E-2</v>
      </c>
      <c r="G14" s="54">
        <v>6.7099999999999993E-2</v>
      </c>
      <c r="I14" t="s">
        <v>246</v>
      </c>
      <c r="J14" s="603" t="s">
        <v>156</v>
      </c>
      <c r="K14" s="603"/>
      <c r="L14" s="603"/>
      <c r="M14" s="603"/>
      <c r="N14" s="603"/>
      <c r="O14" s="603"/>
      <c r="P14" s="603"/>
      <c r="Q14" s="603"/>
      <c r="R14" s="603"/>
      <c r="S14" s="603"/>
    </row>
    <row r="15" spans="1:19" x14ac:dyDescent="0.25">
      <c r="A15" s="49" t="str">
        <f>A14</f>
        <v>Construção de Redes de Abastecimento de Água, Coleta de Esgoto</v>
      </c>
      <c r="B15" s="53" t="s">
        <v>144</v>
      </c>
      <c r="C15" s="49" t="str">
        <f t="shared" si="0"/>
        <v>Construção de Redes de Abastecimento de Água, Coleta de Esgoto-SG</v>
      </c>
      <c r="E15" s="54">
        <v>2.8000000000000004E-3</v>
      </c>
      <c r="F15" s="54">
        <v>4.8999999999999998E-3</v>
      </c>
      <c r="G15" s="54">
        <v>7.4999999999999997E-3</v>
      </c>
      <c r="I15" t="s">
        <v>246</v>
      </c>
    </row>
    <row r="16" spans="1:19" x14ac:dyDescent="0.25">
      <c r="A16" s="49" t="str">
        <f>A15</f>
        <v>Construção de Redes de Abastecimento de Água, Coleta de Esgoto</v>
      </c>
      <c r="B16" s="53" t="s">
        <v>145</v>
      </c>
      <c r="C16" s="49" t="str">
        <f t="shared" si="0"/>
        <v>Construção de Redes de Abastecimento de Água, Coleta de Esgoto-R</v>
      </c>
      <c r="E16" s="54">
        <v>0.01</v>
      </c>
      <c r="F16" s="54">
        <v>1.3899999999999999E-2</v>
      </c>
      <c r="G16" s="54">
        <v>1.7399999999999999E-2</v>
      </c>
      <c r="I16" t="s">
        <v>246</v>
      </c>
      <c r="J16" s="601" t="s">
        <v>157</v>
      </c>
      <c r="K16" s="601"/>
      <c r="L16" s="601"/>
      <c r="M16" s="601"/>
      <c r="N16" s="601"/>
      <c r="O16" s="601"/>
      <c r="P16" s="601"/>
      <c r="Q16" s="601"/>
      <c r="R16" s="601"/>
      <c r="S16" s="601"/>
    </row>
    <row r="17" spans="1:26" x14ac:dyDescent="0.25">
      <c r="A17" s="49" t="str">
        <f>A16</f>
        <v>Construção de Redes de Abastecimento de Água, Coleta de Esgoto</v>
      </c>
      <c r="B17" s="53" t="s">
        <v>148</v>
      </c>
      <c r="C17" s="49" t="str">
        <f t="shared" si="0"/>
        <v>Construção de Redes de Abastecimento de Água, Coleta de Esgoto-DF</v>
      </c>
      <c r="E17" s="54">
        <v>9.3999999999999986E-3</v>
      </c>
      <c r="F17" s="54">
        <v>9.8999999999999991E-3</v>
      </c>
      <c r="G17" s="54">
        <v>1.1699999999999999E-2</v>
      </c>
      <c r="I17" t="s">
        <v>246</v>
      </c>
      <c r="J17" s="602" t="s">
        <v>141</v>
      </c>
      <c r="K17" s="602"/>
      <c r="L17" s="602"/>
      <c r="M17" s="602"/>
      <c r="N17" s="602"/>
      <c r="O17" s="602"/>
      <c r="P17" s="602"/>
      <c r="Q17" s="602"/>
      <c r="R17" s="602"/>
      <c r="S17" s="602"/>
    </row>
    <row r="18" spans="1:26" x14ac:dyDescent="0.25">
      <c r="A18" s="49" t="str">
        <f>A17</f>
        <v>Construção de Redes de Abastecimento de Água, Coleta de Esgoto</v>
      </c>
      <c r="B18" s="53" t="s">
        <v>149</v>
      </c>
      <c r="C18" s="49" t="str">
        <f t="shared" si="0"/>
        <v>Construção de Redes de Abastecimento de Água, Coleta de Esgoto-L</v>
      </c>
      <c r="E18" s="54">
        <v>6.7400000000000002E-2</v>
      </c>
      <c r="F18" s="54">
        <v>8.0399999999999985E-2</v>
      </c>
      <c r="G18" s="54">
        <v>9.4E-2</v>
      </c>
      <c r="I18" t="s">
        <v>246</v>
      </c>
    </row>
    <row r="19" spans="1:26" ht="12.75" customHeight="1" x14ac:dyDescent="0.25">
      <c r="A19" s="49" t="str">
        <f>A18</f>
        <v>Construção de Redes de Abastecimento de Água, Coleta de Esgoto</v>
      </c>
      <c r="B19" s="58" t="s">
        <v>150</v>
      </c>
      <c r="C19" s="49" t="str">
        <f t="shared" si="0"/>
        <v>Construção de Redes de Abastecimento de Água, Coleta de Esgoto-BDI PAD</v>
      </c>
      <c r="E19" s="54">
        <v>0.20760000000000001</v>
      </c>
      <c r="F19" s="54">
        <v>0.24179999999999999</v>
      </c>
      <c r="G19" s="54">
        <v>0.26440000000000002</v>
      </c>
      <c r="I19" t="s">
        <v>246</v>
      </c>
      <c r="J19" s="600" t="s">
        <v>158</v>
      </c>
      <c r="K19" s="600"/>
      <c r="L19" s="600"/>
      <c r="M19" s="600"/>
      <c r="N19" s="600"/>
      <c r="O19" s="600"/>
      <c r="P19" s="600"/>
      <c r="Q19" s="600"/>
      <c r="R19" s="600" t="s">
        <v>159</v>
      </c>
      <c r="S19" s="591" t="s">
        <v>160</v>
      </c>
      <c r="U19" s="591" t="s">
        <v>161</v>
      </c>
      <c r="V19" s="591"/>
      <c r="W19" s="591"/>
      <c r="X19" s="599" t="s">
        <v>162</v>
      </c>
      <c r="Y19" s="599" t="s">
        <v>163</v>
      </c>
      <c r="Z19" s="599" t="s">
        <v>164</v>
      </c>
    </row>
    <row r="20" spans="1:26" ht="12.75" customHeight="1" x14ac:dyDescent="0.25">
      <c r="A20" s="49" t="s">
        <v>165</v>
      </c>
      <c r="B20" s="53" t="s">
        <v>142</v>
      </c>
      <c r="C20" s="49" t="str">
        <f t="shared" si="0"/>
        <v>Construção e Manutenção de Estações e Redes de Distribuição de Energia Elétrica-AC</v>
      </c>
      <c r="E20" s="54">
        <v>5.2900000000000003E-2</v>
      </c>
      <c r="F20" s="54">
        <v>5.9200000000000003E-2</v>
      </c>
      <c r="G20" s="54">
        <v>7.9299999999999995E-2</v>
      </c>
      <c r="I20" t="s">
        <v>246</v>
      </c>
      <c r="J20" s="600"/>
      <c r="K20" s="600"/>
      <c r="L20" s="600"/>
      <c r="M20" s="600"/>
      <c r="N20" s="600"/>
      <c r="O20" s="600"/>
      <c r="P20" s="600"/>
      <c r="Q20" s="600"/>
      <c r="R20" s="600"/>
      <c r="S20" s="591"/>
      <c r="U20" s="591"/>
      <c r="V20" s="591"/>
      <c r="W20" s="591"/>
      <c r="X20" s="599"/>
      <c r="Y20" s="599"/>
      <c r="Z20" s="599"/>
    </row>
    <row r="21" spans="1:26" ht="15" customHeight="1" x14ac:dyDescent="0.25">
      <c r="A21" s="49" t="str">
        <f>A20</f>
        <v>Construção e Manutenção de Estações e Redes de Distribuição de Energia Elétrica</v>
      </c>
      <c r="B21" s="53" t="s">
        <v>144</v>
      </c>
      <c r="C21" s="49" t="str">
        <f t="shared" si="0"/>
        <v>Construção e Manutenção de Estações e Redes de Distribuição de Energia Elétrica-SG</v>
      </c>
      <c r="E21" s="54">
        <v>2.5000000000000001E-3</v>
      </c>
      <c r="F21" s="54">
        <v>5.1000000000000004E-3</v>
      </c>
      <c r="G21" s="54">
        <v>5.6000000000000008E-3</v>
      </c>
      <c r="I21" t="s">
        <v>246</v>
      </c>
      <c r="J21" s="589" t="str">
        <f>IF($J$17=$A$146,"Encargos Sociais incidentes sobre a mão de obra","Administração Central")</f>
        <v>Administração Central</v>
      </c>
      <c r="K21" s="589"/>
      <c r="L21" s="589"/>
      <c r="M21" s="589"/>
      <c r="N21" s="589"/>
      <c r="O21" s="589"/>
      <c r="P21" s="589"/>
      <c r="Q21" s="589"/>
      <c r="R21" s="60" t="str">
        <f>IF($J17=$A$146,"K1","AC")</f>
        <v>AC</v>
      </c>
      <c r="S21" s="61">
        <v>0.03</v>
      </c>
      <c r="U21" s="590" t="s">
        <v>166</v>
      </c>
      <c r="V21" s="590"/>
      <c r="W21" s="590"/>
      <c r="X21" s="62">
        <f>VLOOKUP(CONCATENATE(J17,"-",R21),$C$2:$G$136,3,FALSE)</f>
        <v>0.03</v>
      </c>
      <c r="Y21" s="62">
        <f>VLOOKUP(CONCATENATE(J17,"-",R21),$C$2:$G$136,4,FALSE)</f>
        <v>0.04</v>
      </c>
      <c r="Z21" s="62">
        <f>VLOOKUP(CONCATENATE(J17,"-",R21),$C$2:$G$136,5,FALSE)</f>
        <v>5.5E-2</v>
      </c>
    </row>
    <row r="22" spans="1:26" ht="15" customHeight="1" x14ac:dyDescent="0.25">
      <c r="A22" s="49" t="str">
        <f>A21</f>
        <v>Construção e Manutenção de Estações e Redes de Distribuição de Energia Elétrica</v>
      </c>
      <c r="B22" s="53" t="s">
        <v>145</v>
      </c>
      <c r="C22" s="49" t="str">
        <f t="shared" si="0"/>
        <v>Construção e Manutenção de Estações e Redes de Distribuição de Energia Elétrica-R</v>
      </c>
      <c r="E22" s="54">
        <v>0.01</v>
      </c>
      <c r="F22" s="54">
        <v>1.4800000000000001E-2</v>
      </c>
      <c r="G22" s="54">
        <v>1.9699999999999999E-2</v>
      </c>
      <c r="I22" t="s">
        <v>246</v>
      </c>
      <c r="J22" s="589" t="str">
        <f>IF($J$17=$A$146,"Administração Central da empresa ou consultoria - overhead","Seguro e Garantia")</f>
        <v>Seguro e Garantia</v>
      </c>
      <c r="K22" s="589"/>
      <c r="L22" s="589"/>
      <c r="M22" s="589"/>
      <c r="N22" s="589"/>
      <c r="O22" s="589"/>
      <c r="P22" s="589"/>
      <c r="Q22" s="589"/>
      <c r="R22" s="60" t="str">
        <f>IF($J17=$A$146,"K2","SG")</f>
        <v>SG</v>
      </c>
      <c r="S22" s="61">
        <v>8.0000000000000002E-3</v>
      </c>
      <c r="U22" s="590" t="s">
        <v>166</v>
      </c>
      <c r="V22" s="590"/>
      <c r="W22" s="590"/>
      <c r="X22" s="62">
        <f>VLOOKUP(CONCATENATE(J17,"-",R22),$C$2:$G$136,3,FALSE)</f>
        <v>8.0000000000000002E-3</v>
      </c>
      <c r="Y22" s="62">
        <f>VLOOKUP(CONCATENATE(J17,"-",R22),$C$2:$G$136,4,FALSE)</f>
        <v>8.0000000000000002E-3</v>
      </c>
      <c r="Z22" s="62">
        <f>VLOOKUP(CONCATENATE(J17,"-",R22),$C$2:$G$136,5,FALSE)</f>
        <v>0.01</v>
      </c>
    </row>
    <row r="23" spans="1:26" ht="15" customHeight="1" x14ac:dyDescent="0.25">
      <c r="A23" s="49" t="str">
        <f>A22</f>
        <v>Construção e Manutenção de Estações e Redes de Distribuição de Energia Elétrica</v>
      </c>
      <c r="B23" s="53" t="s">
        <v>148</v>
      </c>
      <c r="C23" s="49" t="str">
        <f t="shared" si="0"/>
        <v>Construção e Manutenção de Estações e Redes de Distribuição de Energia Elétrica-DF</v>
      </c>
      <c r="E23" s="54">
        <v>1.01E-2</v>
      </c>
      <c r="F23" s="54">
        <v>1.0700000000000001E-2</v>
      </c>
      <c r="G23" s="54">
        <v>1.11E-2</v>
      </c>
      <c r="I23" t="s">
        <v>246</v>
      </c>
      <c r="J23" s="589" t="str">
        <f>IF($J$17=$A$146,"","Risco")</f>
        <v>Risco</v>
      </c>
      <c r="K23" s="589"/>
      <c r="L23" s="589"/>
      <c r="M23" s="589"/>
      <c r="N23" s="589"/>
      <c r="O23" s="589"/>
      <c r="P23" s="589"/>
      <c r="Q23" s="589"/>
      <c r="R23" s="60" t="str">
        <f>IF($J17=$A$146,"","R")</f>
        <v>R</v>
      </c>
      <c r="S23" s="61">
        <v>9.7000000000000003E-3</v>
      </c>
      <c r="U23" s="590" t="s">
        <v>166</v>
      </c>
      <c r="V23" s="590"/>
      <c r="W23" s="590"/>
      <c r="X23" s="62">
        <f>VLOOKUP(CONCATENATE(J17,"-",R23),$C$2:$G$136,3,FALSE)</f>
        <v>9.7000000000000003E-3</v>
      </c>
      <c r="Y23" s="62">
        <f>VLOOKUP(CONCATENATE(J17,"-",R23),$C$2:$G$136,4,FALSE)</f>
        <v>1.2699999999999999E-2</v>
      </c>
      <c r="Z23" s="62">
        <f>VLOOKUP(CONCATENATE(J17,"-",R23),$C$2:$G$136,5,FALSE)</f>
        <v>1.2699999999999999E-2</v>
      </c>
    </row>
    <row r="24" spans="1:26" ht="15" customHeight="1" x14ac:dyDescent="0.25">
      <c r="A24" s="49" t="str">
        <f>A23</f>
        <v>Construção e Manutenção de Estações e Redes de Distribuição de Energia Elétrica</v>
      </c>
      <c r="B24" s="53" t="s">
        <v>149</v>
      </c>
      <c r="C24" s="49" t="str">
        <f t="shared" si="0"/>
        <v>Construção e Manutenção de Estações e Redes de Distribuição de Energia Elétrica-L</v>
      </c>
      <c r="E24" s="54">
        <v>0.08</v>
      </c>
      <c r="F24" s="54">
        <v>8.3100000000000007E-2</v>
      </c>
      <c r="G24" s="54">
        <v>9.5100000000000004E-2</v>
      </c>
      <c r="I24" t="s">
        <v>246</v>
      </c>
      <c r="J24" s="589" t="str">
        <f>IF($J$17=$A$146,"","Despesas Financeiras")</f>
        <v>Despesas Financeiras</v>
      </c>
      <c r="K24" s="589"/>
      <c r="L24" s="589"/>
      <c r="M24" s="589"/>
      <c r="N24" s="589"/>
      <c r="O24" s="589"/>
      <c r="P24" s="589"/>
      <c r="Q24" s="589"/>
      <c r="R24" s="60" t="str">
        <f>IF($J17=$A$146,"","DF")</f>
        <v>DF</v>
      </c>
      <c r="S24" s="61">
        <v>6.0000000000000001E-3</v>
      </c>
      <c r="U24" s="590" t="s">
        <v>166</v>
      </c>
      <c r="V24" s="590"/>
      <c r="W24" s="590"/>
      <c r="X24" s="62">
        <f>VLOOKUP(CONCATENATE(J17,"-",R24),$C$2:$G$136,3,FALSE)</f>
        <v>5.8999999999999999E-3</v>
      </c>
      <c r="Y24" s="62">
        <f>VLOOKUP(CONCATENATE(J17,"-",R24),$C$2:$G$136,4,FALSE)</f>
        <v>1.23E-2</v>
      </c>
      <c r="Z24" s="62">
        <f>VLOOKUP(CONCATENATE(J17,"-",R24),$C$2:$G$136,5,FALSE)</f>
        <v>1.3899999999999999E-2</v>
      </c>
    </row>
    <row r="25" spans="1:26" ht="15" customHeight="1" x14ac:dyDescent="0.25">
      <c r="A25" s="49" t="str">
        <f>A24</f>
        <v>Construção e Manutenção de Estações e Redes de Distribuição de Energia Elétrica</v>
      </c>
      <c r="B25" s="58" t="s">
        <v>150</v>
      </c>
      <c r="C25" s="49" t="str">
        <f t="shared" si="0"/>
        <v>Construção e Manutenção de Estações e Redes de Distribuição de Energia Elétrica-BDI PAD</v>
      </c>
      <c r="E25" s="54">
        <v>0.24</v>
      </c>
      <c r="F25" s="54">
        <v>0.25840000000000002</v>
      </c>
      <c r="G25" s="54">
        <v>0.27860000000000001</v>
      </c>
      <c r="I25" t="s">
        <v>246</v>
      </c>
      <c r="J25" s="589" t="str">
        <f>IF($J$17=$A$146,"Margem bruta da empresa de consultoria","Lucro")</f>
        <v>Lucro</v>
      </c>
      <c r="K25" s="589"/>
      <c r="L25" s="589"/>
      <c r="M25" s="589"/>
      <c r="N25" s="589"/>
      <c r="O25" s="589"/>
      <c r="P25" s="589"/>
      <c r="Q25" s="589"/>
      <c r="R25" s="60" t="str">
        <f>IF($J17=$A$146,"K3","L")</f>
        <v>L</v>
      </c>
      <c r="S25" s="61">
        <v>5.8999999999999997E-2</v>
      </c>
      <c r="U25" s="590" t="s">
        <v>166</v>
      </c>
      <c r="V25" s="590"/>
      <c r="W25" s="590"/>
      <c r="X25" s="62">
        <f>VLOOKUP(CONCATENATE(J17,"-",R25),$C$2:$G$136,3,FALSE)</f>
        <v>6.1600000000000002E-2</v>
      </c>
      <c r="Y25" s="62">
        <f>VLOOKUP(CONCATENATE(J17,"-",R25),$C$2:$G$136,4,FALSE)</f>
        <v>7.400000000000001E-2</v>
      </c>
      <c r="Z25" s="62">
        <f>VLOOKUP(CONCATENATE(J17,"-",R25),$C$2:$G$136,5,FALSE)</f>
        <v>8.9600000000000013E-2</v>
      </c>
    </row>
    <row r="26" spans="1:26" ht="15" customHeight="1" x14ac:dyDescent="0.25">
      <c r="A26" s="49" t="s">
        <v>167</v>
      </c>
      <c r="B26" s="53" t="s">
        <v>142</v>
      </c>
      <c r="C26" s="49" t="str">
        <f t="shared" si="0"/>
        <v>Obras Portuárias, Marítimas e Fluviais-AC</v>
      </c>
      <c r="E26" s="54">
        <v>0.04</v>
      </c>
      <c r="F26" s="54">
        <v>5.5199999999999999E-2</v>
      </c>
      <c r="G26" s="54">
        <v>7.85E-2</v>
      </c>
      <c r="I26" t="s">
        <v>246</v>
      </c>
      <c r="J26" s="589" t="s">
        <v>168</v>
      </c>
      <c r="K26" s="589"/>
      <c r="L26" s="589"/>
      <c r="M26" s="589"/>
      <c r="N26" s="589"/>
      <c r="O26" s="589"/>
      <c r="P26" s="589"/>
      <c r="Q26" s="589"/>
      <c r="R26" s="60" t="s">
        <v>169</v>
      </c>
      <c r="S26" s="61">
        <v>2.5000000000000001E-2</v>
      </c>
      <c r="U26" s="590" t="s">
        <v>166</v>
      </c>
      <c r="V26" s="590"/>
      <c r="W26" s="590"/>
      <c r="X26" s="62">
        <v>3.6499999999999998E-2</v>
      </c>
      <c r="Y26" s="62">
        <v>3.6499999999999998E-2</v>
      </c>
      <c r="Z26" s="62">
        <v>3.6499999999999998E-2</v>
      </c>
    </row>
    <row r="27" spans="1:26" ht="15" customHeight="1" x14ac:dyDescent="0.25">
      <c r="A27" s="49" t="str">
        <f>A26</f>
        <v>Obras Portuárias, Marítimas e Fluviais</v>
      </c>
      <c r="B27" s="53" t="s">
        <v>144</v>
      </c>
      <c r="C27" s="49" t="str">
        <f t="shared" si="0"/>
        <v>Obras Portuárias, Marítimas e Fluviais-SG</v>
      </c>
      <c r="E27" s="54">
        <v>8.1000000000000013E-3</v>
      </c>
      <c r="F27" s="54">
        <v>1.2199999999999999E-2</v>
      </c>
      <c r="G27" s="54">
        <v>1.9900000000000001E-2</v>
      </c>
      <c r="I27" t="s">
        <v>246</v>
      </c>
      <c r="J27" s="589" t="s">
        <v>170</v>
      </c>
      <c r="K27" s="589"/>
      <c r="L27" s="589"/>
      <c r="M27" s="589"/>
      <c r="N27" s="589"/>
      <c r="O27" s="589"/>
      <c r="P27" s="589"/>
      <c r="Q27" s="589"/>
      <c r="R27" s="60" t="s">
        <v>171</v>
      </c>
      <c r="S27" s="62">
        <f ca="1">IF(AND($J17&lt;&gt;$A$145,COUNTA(OFFSET(S20,1,0,6))&gt;0),$R$11*$R$10,0)</f>
        <v>0.05</v>
      </c>
      <c r="U27" s="590" t="s">
        <v>166</v>
      </c>
      <c r="V27" s="590"/>
      <c r="W27" s="590"/>
      <c r="X27" s="62">
        <v>0</v>
      </c>
      <c r="Y27" s="62">
        <v>2.5000000000000001E-2</v>
      </c>
      <c r="Z27" s="62">
        <v>0.05</v>
      </c>
    </row>
    <row r="28" spans="1:26" ht="15" customHeight="1" x14ac:dyDescent="0.25">
      <c r="A28" s="49" t="str">
        <f>A27</f>
        <v>Obras Portuárias, Marítimas e Fluviais</v>
      </c>
      <c r="B28" s="53" t="s">
        <v>145</v>
      </c>
      <c r="C28" s="49" t="str">
        <f t="shared" si="0"/>
        <v>Obras Portuárias, Marítimas e Fluviais-R</v>
      </c>
      <c r="E28" s="54">
        <v>1.46E-2</v>
      </c>
      <c r="F28" s="54">
        <v>2.3199999999999998E-2</v>
      </c>
      <c r="G28" s="54">
        <v>3.1600000000000003E-2</v>
      </c>
      <c r="I28" t="s">
        <v>246</v>
      </c>
      <c r="J28" s="589" t="s">
        <v>172</v>
      </c>
      <c r="K28" s="589"/>
      <c r="L28" s="589"/>
      <c r="M28" s="589"/>
      <c r="N28" s="589"/>
      <c r="O28" s="589"/>
      <c r="P28" s="589"/>
      <c r="Q28" s="589"/>
      <c r="R28" s="60" t="s">
        <v>173</v>
      </c>
      <c r="S28" s="62">
        <f ca="1">IF(BDI.Opcao&lt;&gt;"Desonerado",0,IF(AND($J17&lt;&gt;$A$145,COUNTA(OFFSET(S20,1,0,6))&gt;0),4.5%,0%))</f>
        <v>4.4999999999999998E-2</v>
      </c>
      <c r="U28" s="590" t="s">
        <v>166</v>
      </c>
      <c r="V28" s="590"/>
      <c r="W28" s="590"/>
      <c r="X28" s="63">
        <v>0</v>
      </c>
      <c r="Y28" s="63">
        <v>4.4999999999999998E-2</v>
      </c>
      <c r="Z28" s="63">
        <v>4.4999999999999998E-2</v>
      </c>
    </row>
    <row r="29" spans="1:26" ht="15" customHeight="1" x14ac:dyDescent="0.25">
      <c r="A29" s="49" t="str">
        <f>A28</f>
        <v>Obras Portuárias, Marítimas e Fluviais</v>
      </c>
      <c r="B29" s="53" t="s">
        <v>148</v>
      </c>
      <c r="C29" s="49" t="str">
        <f t="shared" si="0"/>
        <v>Obras Portuárias, Marítimas e Fluviais-DF</v>
      </c>
      <c r="E29" s="54">
        <v>9.3999999999999986E-3</v>
      </c>
      <c r="F29" s="54">
        <v>1.0200000000000001E-2</v>
      </c>
      <c r="G29" s="54">
        <v>1.3300000000000001E-2</v>
      </c>
      <c r="I29" t="s">
        <v>246</v>
      </c>
      <c r="J29" s="589" t="s">
        <v>174</v>
      </c>
      <c r="K29" s="589"/>
      <c r="L29" s="589"/>
      <c r="M29" s="589"/>
      <c r="N29" s="589"/>
      <c r="O29" s="589"/>
      <c r="P29" s="589"/>
      <c r="Q29" s="589"/>
      <c r="R29" s="64" t="s">
        <v>150</v>
      </c>
      <c r="S29" s="62">
        <f ca="1">IF($J17=$A$145,0,ROUND((((1+S21+S22+S23)*(1+S24)*(1+S25)/(1-(S26+S27)))-1),4))</f>
        <v>0.20669999999999999</v>
      </c>
      <c r="U29" s="591" t="str">
        <f ca="1">IF(OR($J$17=$A$146,$J$17=$A$145,AND(S29&gt;=X29,S29&lt;=Z29)),"OK","FORA DO INTERVALO")</f>
        <v>OK</v>
      </c>
      <c r="V29" s="591"/>
      <c r="W29" s="591"/>
      <c r="X29" s="62">
        <f>IF($J17=$A$145,0,VLOOKUP(CONCATENATE($J17,"-",$R29),$C$2:$G$136,3,FALSE))</f>
        <v>0.2034</v>
      </c>
      <c r="Y29" s="62">
        <f>IF($J17=$A$145,0,VLOOKUP(CONCATENATE($J17,"-",$R29),$C$2:$G$136,4,FALSE))</f>
        <v>0.22120000000000001</v>
      </c>
      <c r="Z29" s="62">
        <f>IF($J17=$A$145,0,VLOOKUP(CONCATENATE($J17,"-",$R29),$C$2:$G$136,5,FALSE))</f>
        <v>0.25</v>
      </c>
    </row>
    <row r="30" spans="1:26" ht="15" customHeight="1" x14ac:dyDescent="0.25">
      <c r="A30" s="49" t="str">
        <f>A29</f>
        <v>Obras Portuárias, Marítimas e Fluviais</v>
      </c>
      <c r="B30" s="53" t="s">
        <v>149</v>
      </c>
      <c r="C30" s="49" t="str">
        <f t="shared" si="0"/>
        <v>Obras Portuárias, Marítimas e Fluviais-L</v>
      </c>
      <c r="E30" s="54">
        <v>7.1399999999999991E-2</v>
      </c>
      <c r="F30" s="54">
        <v>8.4000000000000005E-2</v>
      </c>
      <c r="G30" s="54">
        <v>0.1043</v>
      </c>
      <c r="I30" t="s">
        <v>246</v>
      </c>
      <c r="J30" s="592" t="s">
        <v>175</v>
      </c>
      <c r="K30" s="592"/>
      <c r="L30" s="592"/>
      <c r="M30" s="592"/>
      <c r="N30" s="592"/>
      <c r="O30" s="592"/>
      <c r="P30" s="592"/>
      <c r="Q30" s="592"/>
      <c r="R30" s="65" t="s">
        <v>176</v>
      </c>
      <c r="S30" s="66">
        <f ca="1">IF($J17=$A$145,0,ROUND((((1+S21+S22+S23)*(1+S24)*(1+S25)/(1-(S26+S27+S28)))-1),4))</f>
        <v>0.26840000000000003</v>
      </c>
    </row>
    <row r="31" spans="1:26" ht="26.4" x14ac:dyDescent="0.25">
      <c r="A31" s="49" t="str">
        <f>A30</f>
        <v>Obras Portuárias, Marítimas e Fluviais</v>
      </c>
      <c r="B31" s="58" t="s">
        <v>150</v>
      </c>
      <c r="C31" s="49" t="str">
        <f t="shared" si="0"/>
        <v>Obras Portuárias, Marítimas e Fluviais-BDI PAD</v>
      </c>
      <c r="E31" s="54">
        <v>0.22800000000000001</v>
      </c>
      <c r="F31" s="54">
        <v>0.27479999999999999</v>
      </c>
      <c r="G31" s="54">
        <v>0.3095</v>
      </c>
      <c r="I31" t="s">
        <v>246</v>
      </c>
    </row>
    <row r="32" spans="1:26" ht="15.6" x14ac:dyDescent="0.25">
      <c r="A32" s="49" t="s">
        <v>177</v>
      </c>
      <c r="B32" s="53" t="s">
        <v>142</v>
      </c>
      <c r="C32" s="49" t="str">
        <f t="shared" si="0"/>
        <v>Fornecimento de Materiais e Equipamentos (aquisição indireta - em conjunto com licitação de obras)-AC</v>
      </c>
      <c r="E32" s="54">
        <v>1.4999999999999999E-2</v>
      </c>
      <c r="F32" s="54">
        <v>3.4500000000000003E-2</v>
      </c>
      <c r="G32" s="54">
        <v>4.4900000000000002E-2</v>
      </c>
      <c r="I32" t="s">
        <v>246</v>
      </c>
      <c r="J32" s="67" t="str">
        <f ca="1">IF(U29&lt;&gt;"ok","X","")</f>
        <v/>
      </c>
      <c r="K32" s="593" t="str">
        <f ca="1">IF(U29&lt;&gt;"ok","Anexo: Relatório Técnico Circunstanciado justificando a adoção do percentual de cada parcela do BDI.","")</f>
        <v/>
      </c>
      <c r="L32" s="593"/>
      <c r="M32" s="593"/>
      <c r="N32" s="593"/>
      <c r="O32" s="593"/>
      <c r="P32" s="593"/>
      <c r="Q32" s="593"/>
      <c r="R32" s="593"/>
      <c r="S32" s="593"/>
    </row>
    <row r="33" spans="1:19" x14ac:dyDescent="0.25">
      <c r="A33" s="49" t="str">
        <f>A32</f>
        <v>Fornecimento de Materiais e Equipamentos (aquisição indireta - em conjunto com licitação de obras)</v>
      </c>
      <c r="B33" s="53" t="s">
        <v>144</v>
      </c>
      <c r="C33" s="49" t="str">
        <f t="shared" si="0"/>
        <v>Fornecimento de Materiais e Equipamentos (aquisição indireta - em conjunto com licitação de obras)-SG</v>
      </c>
      <c r="E33" s="54">
        <v>3.0000000000000001E-3</v>
      </c>
      <c r="F33" s="54">
        <v>4.7999999999999996E-3</v>
      </c>
      <c r="G33" s="54">
        <v>8.199999999999999E-3</v>
      </c>
      <c r="I33" t="s">
        <v>246</v>
      </c>
    </row>
    <row r="34" spans="1:19" x14ac:dyDescent="0.25">
      <c r="A34" s="49" t="str">
        <f>A33</f>
        <v>Fornecimento de Materiais e Equipamentos (aquisição indireta - em conjunto com licitação de obras)</v>
      </c>
      <c r="B34" s="53" t="s">
        <v>145</v>
      </c>
      <c r="C34" s="49" t="str">
        <f t="shared" si="0"/>
        <v>Fornecimento de Materiais e Equipamentos (aquisição indireta - em conjunto com licitação de obras)-R</v>
      </c>
      <c r="E34" s="54">
        <v>5.6000000000000008E-3</v>
      </c>
      <c r="F34" s="54">
        <v>8.5000000000000006E-3</v>
      </c>
      <c r="G34" s="54">
        <v>8.8999999999999999E-3</v>
      </c>
      <c r="I34" t="s">
        <v>246</v>
      </c>
      <c r="J34" s="595" t="s">
        <v>178</v>
      </c>
      <c r="K34" s="595"/>
      <c r="L34" s="595"/>
      <c r="M34" s="595"/>
      <c r="N34" s="595"/>
      <c r="O34" s="595"/>
      <c r="P34" s="595"/>
      <c r="Q34" s="595"/>
      <c r="R34" s="595"/>
      <c r="S34" s="595"/>
    </row>
    <row r="35" spans="1:19" ht="15.6" x14ac:dyDescent="0.3">
      <c r="A35" s="49" t="str">
        <f>A34</f>
        <v>Fornecimento de Materiais e Equipamentos (aquisição indireta - em conjunto com licitação de obras)</v>
      </c>
      <c r="B35" s="53" t="s">
        <v>148</v>
      </c>
      <c r="C35" s="49" t="str">
        <f t="shared" si="0"/>
        <v>Fornecimento de Materiais e Equipamentos (aquisição indireta - em conjunto com licitação de obras)-DF</v>
      </c>
      <c r="E35" s="54">
        <v>8.5000000000000006E-3</v>
      </c>
      <c r="F35" s="54">
        <v>8.5000000000000006E-3</v>
      </c>
      <c r="G35" s="54">
        <v>1.11E-2</v>
      </c>
      <c r="I35" t="s">
        <v>246</v>
      </c>
      <c r="J35" s="68"/>
      <c r="K35" s="68"/>
      <c r="L35" s="68"/>
      <c r="M35" s="596" t="s">
        <v>179</v>
      </c>
      <c r="N35" s="597" t="str">
        <f>IF($J17=$A$146,"(1+K1+K2)*(1+K3)","(1+AC + S + R + G)*(1 + DF)*(1+L)")</f>
        <v>(1+AC + S + R + G)*(1 + DF)*(1+L)</v>
      </c>
      <c r="O35" s="597"/>
      <c r="P35" s="597"/>
      <c r="Q35" s="598" t="s">
        <v>180</v>
      </c>
      <c r="R35" s="68"/>
      <c r="S35" s="68"/>
    </row>
    <row r="36" spans="1:19" ht="15.6" x14ac:dyDescent="0.25">
      <c r="A36" s="49" t="str">
        <f>A35</f>
        <v>Fornecimento de Materiais e Equipamentos (aquisição indireta - em conjunto com licitação de obras)</v>
      </c>
      <c r="B36" s="53" t="s">
        <v>149</v>
      </c>
      <c r="C36" s="49" t="str">
        <f t="shared" si="0"/>
        <v>Fornecimento de Materiais e Equipamentos (aquisição indireta - em conjunto com licitação de obras)-L</v>
      </c>
      <c r="E36" s="54">
        <v>3.5000000000000003E-2</v>
      </c>
      <c r="F36" s="54">
        <v>5.1100000000000007E-2</v>
      </c>
      <c r="G36" s="54">
        <v>6.2199999999999998E-2</v>
      </c>
      <c r="I36" t="s">
        <v>246</v>
      </c>
      <c r="J36" s="68"/>
      <c r="K36" s="68"/>
      <c r="L36" s="68"/>
      <c r="M36" s="596"/>
      <c r="N36" s="588" t="s">
        <v>181</v>
      </c>
      <c r="O36" s="588"/>
      <c r="P36" s="588"/>
      <c r="Q36" s="598"/>
      <c r="R36" s="68"/>
      <c r="S36" s="68"/>
    </row>
    <row r="37" spans="1:19" ht="15" customHeight="1" x14ac:dyDescent="0.25">
      <c r="A37" s="49" t="str">
        <f>A36</f>
        <v>Fornecimento de Materiais e Equipamentos (aquisição indireta - em conjunto com licitação de obras)</v>
      </c>
      <c r="B37" s="58" t="s">
        <v>150</v>
      </c>
      <c r="C37" s="49" t="str">
        <f t="shared" si="0"/>
        <v>Fornecimento de Materiais e Equipamentos (aquisição indireta - em conjunto com licitação de obras)-BDI PAD</v>
      </c>
      <c r="E37" s="54">
        <v>0.111</v>
      </c>
      <c r="F37" s="54">
        <v>0.14019999999999999</v>
      </c>
      <c r="G37" s="54">
        <v>0.16800000000000001</v>
      </c>
      <c r="I37" t="s">
        <v>246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</row>
    <row r="38" spans="1:19" ht="50.1" customHeight="1" x14ac:dyDescent="0.25">
      <c r="A38" s="49" t="s">
        <v>182</v>
      </c>
      <c r="B38" s="58" t="s">
        <v>142</v>
      </c>
      <c r="C38" s="49" t="str">
        <f t="shared" si="0"/>
        <v>Fornecimento de Materiais e Equipamentos (aquisição direta)-AC</v>
      </c>
      <c r="E38" s="54" t="s">
        <v>166</v>
      </c>
      <c r="F38" s="54" t="s">
        <v>166</v>
      </c>
      <c r="G38" s="54" t="s">
        <v>166</v>
      </c>
      <c r="I38" t="s">
        <v>246</v>
      </c>
      <c r="J38" s="582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5%.</v>
      </c>
      <c r="K38" s="582"/>
      <c r="L38" s="582"/>
      <c r="M38" s="582"/>
      <c r="N38" s="582"/>
      <c r="O38" s="582"/>
      <c r="P38" s="582"/>
      <c r="Q38" s="582"/>
      <c r="R38" s="582"/>
      <c r="S38" s="582"/>
    </row>
    <row r="39" spans="1:19" x14ac:dyDescent="0.25">
      <c r="A39" s="49" t="s">
        <v>182</v>
      </c>
      <c r="B39" s="58" t="s">
        <v>144</v>
      </c>
      <c r="C39" s="49" t="str">
        <f t="shared" si="0"/>
        <v>Fornecimento de Materiais e Equipamentos (aquisição direta)-SG</v>
      </c>
      <c r="E39" s="54" t="s">
        <v>166</v>
      </c>
      <c r="F39" s="54" t="s">
        <v>166</v>
      </c>
      <c r="G39" s="54" t="s">
        <v>166</v>
      </c>
      <c r="I39" t="s">
        <v>246</v>
      </c>
    </row>
    <row r="40" spans="1:19" ht="50.1" customHeight="1" x14ac:dyDescent="0.25">
      <c r="A40" s="49" t="s">
        <v>182</v>
      </c>
      <c r="B40" s="58" t="s">
        <v>145</v>
      </c>
      <c r="C40" s="49" t="str">
        <f t="shared" si="0"/>
        <v>Fornecimento de Materiais e Equipamentos (aquisição direta)-R</v>
      </c>
      <c r="E40" s="54" t="s">
        <v>166</v>
      </c>
      <c r="F40" s="54" t="s">
        <v>166</v>
      </c>
      <c r="G40" s="54" t="s">
        <v>166</v>
      </c>
      <c r="I40" t="s">
        <v>246</v>
      </c>
      <c r="J40" s="582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40" s="582"/>
      <c r="L40" s="582"/>
      <c r="M40" s="582"/>
      <c r="N40" s="582"/>
      <c r="O40" s="582"/>
      <c r="P40" s="582"/>
      <c r="Q40" s="582"/>
      <c r="R40" s="582"/>
      <c r="S40" s="582"/>
    </row>
    <row r="41" spans="1:19" x14ac:dyDescent="0.25">
      <c r="A41" s="49" t="s">
        <v>182</v>
      </c>
      <c r="B41" s="58" t="s">
        <v>148</v>
      </c>
      <c r="C41" s="49" t="str">
        <f t="shared" si="0"/>
        <v>Fornecimento de Materiais e Equipamentos (aquisição direta)-DF</v>
      </c>
      <c r="E41" s="54" t="s">
        <v>166</v>
      </c>
      <c r="F41" s="54" t="s">
        <v>166</v>
      </c>
      <c r="G41" s="54" t="s">
        <v>166</v>
      </c>
      <c r="I41" t="s">
        <v>246</v>
      </c>
    </row>
    <row r="42" spans="1:19" x14ac:dyDescent="0.25">
      <c r="A42" s="49" t="s">
        <v>182</v>
      </c>
      <c r="B42" s="58" t="s">
        <v>149</v>
      </c>
      <c r="C42" s="49" t="str">
        <f t="shared" si="0"/>
        <v>Fornecimento de Materiais e Equipamentos (aquisição direta)-L</v>
      </c>
      <c r="E42" s="54" t="s">
        <v>166</v>
      </c>
      <c r="F42" s="54" t="s">
        <v>166</v>
      </c>
      <c r="G42" s="54" t="s">
        <v>166</v>
      </c>
      <c r="I42" t="s">
        <v>246</v>
      </c>
      <c r="J42" s="49" t="s">
        <v>187</v>
      </c>
    </row>
    <row r="43" spans="1:19" ht="99.9" customHeight="1" x14ac:dyDescent="0.25">
      <c r="A43" s="49" t="s">
        <v>182</v>
      </c>
      <c r="B43" s="58" t="s">
        <v>150</v>
      </c>
      <c r="C43" s="49" t="str">
        <f t="shared" si="0"/>
        <v>Fornecimento de Materiais e Equipamentos (aquisição direta)-BDI PAD</v>
      </c>
      <c r="E43" s="54" t="s">
        <v>166</v>
      </c>
      <c r="F43" s="54" t="s">
        <v>166</v>
      </c>
      <c r="G43" s="54" t="s">
        <v>166</v>
      </c>
      <c r="I43" t="s">
        <v>246</v>
      </c>
      <c r="J43" s="583"/>
      <c r="K43" s="583"/>
      <c r="L43" s="583"/>
      <c r="M43" s="583"/>
      <c r="N43" s="583"/>
      <c r="O43" s="583"/>
      <c r="P43" s="583"/>
      <c r="Q43" s="583"/>
      <c r="R43" s="583"/>
      <c r="S43" s="583"/>
    </row>
    <row r="44" spans="1:19" x14ac:dyDescent="0.25">
      <c r="A44" s="49" t="s">
        <v>183</v>
      </c>
      <c r="B44" s="53" t="s">
        <v>184</v>
      </c>
      <c r="C44" s="49" t="str">
        <f t="shared" si="0"/>
        <v>Estudos e Projetos, Planos e Gerenciamento e outros correlatos-K1</v>
      </c>
      <c r="E44" s="54" t="s">
        <v>166</v>
      </c>
      <c r="F44" s="54" t="s">
        <v>166</v>
      </c>
      <c r="G44" s="54" t="s">
        <v>166</v>
      </c>
      <c r="I44" t="s">
        <v>246</v>
      </c>
    </row>
    <row r="45" spans="1:19" x14ac:dyDescent="0.25">
      <c r="A45" s="49" t="str">
        <f>A44</f>
        <v>Estudos e Projetos, Planos e Gerenciamento e outros correlatos</v>
      </c>
      <c r="B45" s="53" t="s">
        <v>185</v>
      </c>
      <c r="C45" s="49" t="str">
        <f t="shared" si="0"/>
        <v>Estudos e Projetos, Planos e Gerenciamento e outros correlatos-K2</v>
      </c>
      <c r="E45" s="54" t="s">
        <v>166</v>
      </c>
      <c r="F45" s="54">
        <v>0.2</v>
      </c>
      <c r="G45" s="54" t="s">
        <v>166</v>
      </c>
      <c r="I45" t="s">
        <v>246</v>
      </c>
      <c r="J45" s="584" t="str">
        <f>Import.Município</f>
        <v>BOM JARDIM DE MINAS - MG</v>
      </c>
      <c r="K45" s="584"/>
      <c r="L45" s="584"/>
      <c r="M45" s="584"/>
      <c r="P45" s="585">
        <f ca="1">DADOS!$F$25</f>
        <v>45580</v>
      </c>
      <c r="Q45" s="585"/>
      <c r="R45" s="585"/>
      <c r="S45" s="585"/>
    </row>
    <row r="46" spans="1:19" x14ac:dyDescent="0.25">
      <c r="A46" s="49" t="str">
        <f>A45</f>
        <v>Estudos e Projetos, Planos e Gerenciamento e outros correlatos</v>
      </c>
      <c r="B46" s="53"/>
      <c r="C46" s="49" t="str">
        <f t="shared" si="0"/>
        <v>Estudos e Projetos, Planos e Gerenciamento e outros correlatos-</v>
      </c>
      <c r="E46" s="54" t="s">
        <v>166</v>
      </c>
      <c r="F46" s="54" t="s">
        <v>166</v>
      </c>
      <c r="G46" s="54" t="s">
        <v>166</v>
      </c>
      <c r="I46" t="s">
        <v>246</v>
      </c>
      <c r="J46" s="586" t="s">
        <v>188</v>
      </c>
      <c r="K46" s="586"/>
      <c r="L46" s="586"/>
      <c r="M46" s="586"/>
      <c r="O46" s="73"/>
      <c r="P46" s="74" t="s">
        <v>189</v>
      </c>
      <c r="Q46" s="75"/>
      <c r="R46" s="75"/>
      <c r="S46" s="75"/>
    </row>
    <row r="47" spans="1:19" ht="30" customHeight="1" x14ac:dyDescent="0.25">
      <c r="A47" s="49" t="str">
        <f>A46</f>
        <v>Estudos e Projetos, Planos e Gerenciamento e outros correlatos</v>
      </c>
      <c r="B47" s="53"/>
      <c r="C47" s="49" t="str">
        <f t="shared" si="0"/>
        <v>Estudos e Projetos, Planos e Gerenciamento e outros correlatos-</v>
      </c>
      <c r="E47" s="54" t="s">
        <v>166</v>
      </c>
      <c r="F47" s="54" t="s">
        <v>166</v>
      </c>
      <c r="G47" s="54" t="s">
        <v>166</v>
      </c>
      <c r="I47" t="s">
        <v>246</v>
      </c>
    </row>
    <row r="48" spans="1:19" ht="13.8" x14ac:dyDescent="0.25">
      <c r="A48" s="49" t="str">
        <f>A47</f>
        <v>Estudos e Projetos, Planos e Gerenciamento e outros correlatos</v>
      </c>
      <c r="B48" s="53" t="s">
        <v>186</v>
      </c>
      <c r="C48" s="49" t="str">
        <f t="shared" si="0"/>
        <v>Estudos e Projetos, Planos e Gerenciamento e outros correlatos-K3</v>
      </c>
      <c r="E48" s="54" t="s">
        <v>166</v>
      </c>
      <c r="F48" s="54">
        <v>0.12</v>
      </c>
      <c r="G48" s="54" t="s">
        <v>166</v>
      </c>
      <c r="I48" t="s">
        <v>246</v>
      </c>
      <c r="J48" s="587"/>
      <c r="K48" s="587"/>
      <c r="L48" s="587"/>
      <c r="M48" s="587"/>
      <c r="N48" s="76"/>
    </row>
    <row r="49" spans="1:26" ht="12.75" customHeight="1" x14ac:dyDescent="0.25">
      <c r="A49" s="49" t="str">
        <f>A48</f>
        <v>Estudos e Projetos, Planos e Gerenciamento e outros correlatos</v>
      </c>
      <c r="B49" s="58" t="s">
        <v>150</v>
      </c>
      <c r="C49" s="49" t="str">
        <f t="shared" si="0"/>
        <v>Estudos e Projetos, Planos e Gerenciamento e outros correlatos-BDI PAD</v>
      </c>
      <c r="E49" s="54" t="s">
        <v>166</v>
      </c>
      <c r="F49" s="54" t="s">
        <v>166</v>
      </c>
      <c r="G49" s="54" t="s">
        <v>166</v>
      </c>
      <c r="I49" t="s">
        <v>246</v>
      </c>
      <c r="J49" s="581" t="s">
        <v>190</v>
      </c>
      <c r="K49" s="581"/>
      <c r="L49" s="581"/>
      <c r="M49" s="581"/>
    </row>
    <row r="50" spans="1:26" ht="13.8" x14ac:dyDescent="0.25">
      <c r="B50" s="58"/>
      <c r="E50" s="54"/>
      <c r="F50" s="54"/>
      <c r="G50" s="54"/>
      <c r="I50" t="s">
        <v>246</v>
      </c>
      <c r="J50" s="77" t="s">
        <v>108</v>
      </c>
      <c r="K50" s="78" t="str">
        <f t="array" ref="K50:K52">Import.RespOrçamento</f>
        <v>RENNAN ROBERTO DUARTE DA SILVA</v>
      </c>
      <c r="L50" s="79"/>
      <c r="M50" s="79"/>
      <c r="N50" s="76"/>
    </row>
    <row r="51" spans="1:26" ht="13.8" x14ac:dyDescent="0.25">
      <c r="A51"/>
      <c r="B51"/>
      <c r="C51"/>
      <c r="D51"/>
      <c r="E51"/>
      <c r="F51"/>
      <c r="G51"/>
      <c r="I51" t="s">
        <v>246</v>
      </c>
      <c r="J51" s="77" t="s">
        <v>109</v>
      </c>
      <c r="K51" s="78" t="str">
        <v>RJ2019107419D MG</v>
      </c>
      <c r="L51" s="79"/>
      <c r="M51" s="79"/>
      <c r="N51" s="76"/>
    </row>
    <row r="52" spans="1:26" ht="13.8" x14ac:dyDescent="0.25">
      <c r="A52"/>
      <c r="B52"/>
      <c r="C52"/>
      <c r="D52"/>
      <c r="E52"/>
      <c r="F52"/>
      <c r="G52"/>
      <c r="I52" t="s">
        <v>246</v>
      </c>
      <c r="J52" s="77" t="s">
        <v>110</v>
      </c>
      <c r="K52" s="78" t="str">
        <v>MG20243409885</v>
      </c>
      <c r="L52" s="79"/>
      <c r="M52" s="79"/>
      <c r="N52" s="76"/>
    </row>
    <row r="53" spans="1:26" ht="13.8" x14ac:dyDescent="0.25">
      <c r="A53"/>
      <c r="B53"/>
      <c r="C53"/>
      <c r="D53"/>
      <c r="E53"/>
      <c r="F53"/>
      <c r="G53"/>
      <c r="I53" t="s">
        <v>246</v>
      </c>
      <c r="J53" s="77"/>
      <c r="K53" s="80"/>
      <c r="L53" s="79"/>
      <c r="M53" s="79"/>
      <c r="N53" s="76"/>
    </row>
    <row r="54" spans="1:26" ht="15.6" hidden="1" x14ac:dyDescent="0.3">
      <c r="A54"/>
      <c r="B54"/>
      <c r="C54"/>
      <c r="D54"/>
      <c r="E54"/>
      <c r="F54"/>
      <c r="G54"/>
      <c r="I54" t="str">
        <f ca="1">IF($S$69=0,"","F")</f>
        <v/>
      </c>
      <c r="J54" s="603" t="s">
        <v>191</v>
      </c>
      <c r="K54" s="603"/>
      <c r="L54" s="603"/>
      <c r="M54" s="603"/>
      <c r="N54" s="603"/>
      <c r="O54" s="603"/>
      <c r="P54" s="603"/>
      <c r="Q54" s="603"/>
      <c r="R54" s="603"/>
      <c r="S54" s="603"/>
    </row>
    <row r="55" spans="1:26" hidden="1" x14ac:dyDescent="0.25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5">
      <c r="A56"/>
      <c r="B56"/>
      <c r="C56"/>
      <c r="D56"/>
      <c r="E56"/>
      <c r="F56"/>
      <c r="G56"/>
      <c r="I56" t="str">
        <f t="shared" ca="1" si="1"/>
        <v/>
      </c>
      <c r="J56" s="601" t="s">
        <v>157</v>
      </c>
      <c r="K56" s="601"/>
      <c r="L56" s="601"/>
      <c r="M56" s="601"/>
      <c r="N56" s="601"/>
      <c r="O56" s="601"/>
      <c r="P56" s="601"/>
      <c r="Q56" s="601"/>
      <c r="R56" s="601"/>
      <c r="S56" s="601"/>
    </row>
    <row r="57" spans="1:26" hidden="1" x14ac:dyDescent="0.25">
      <c r="A57"/>
      <c r="B57"/>
      <c r="C57"/>
      <c r="D57"/>
      <c r="E57"/>
      <c r="F57"/>
      <c r="G57"/>
      <c r="I57" t="str">
        <f t="shared" ca="1" si="1"/>
        <v/>
      </c>
      <c r="J57" s="602" t="s">
        <v>408</v>
      </c>
      <c r="K57" s="602"/>
      <c r="L57" s="602"/>
      <c r="M57" s="602"/>
      <c r="N57" s="602"/>
      <c r="O57" s="602"/>
      <c r="P57" s="602"/>
      <c r="Q57" s="602"/>
      <c r="R57" s="602"/>
      <c r="S57" s="602"/>
    </row>
    <row r="58" spans="1:26" hidden="1" x14ac:dyDescent="0.25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5">
      <c r="A59"/>
      <c r="B59"/>
      <c r="C59"/>
      <c r="D59"/>
      <c r="E59"/>
      <c r="F59"/>
      <c r="G59"/>
      <c r="I59" t="str">
        <f t="shared" ca="1" si="1"/>
        <v/>
      </c>
      <c r="J59" s="600" t="s">
        <v>158</v>
      </c>
      <c r="K59" s="600"/>
      <c r="L59" s="600"/>
      <c r="M59" s="600"/>
      <c r="N59" s="600"/>
      <c r="O59" s="600"/>
      <c r="P59" s="600"/>
      <c r="Q59" s="600"/>
      <c r="R59" s="600" t="s">
        <v>159</v>
      </c>
      <c r="S59" s="591" t="s">
        <v>160</v>
      </c>
      <c r="U59" s="591" t="s">
        <v>161</v>
      </c>
      <c r="V59" s="591"/>
      <c r="W59" s="591"/>
      <c r="X59" s="599" t="s">
        <v>162</v>
      </c>
      <c r="Y59" s="599" t="s">
        <v>163</v>
      </c>
      <c r="Z59" s="599" t="s">
        <v>164</v>
      </c>
    </row>
    <row r="60" spans="1:26" ht="12.75" hidden="1" customHeight="1" x14ac:dyDescent="0.25">
      <c r="A60"/>
      <c r="B60"/>
      <c r="C60"/>
      <c r="D60"/>
      <c r="E60"/>
      <c r="F60"/>
      <c r="G60"/>
      <c r="I60" t="str">
        <f t="shared" ca="1" si="1"/>
        <v/>
      </c>
      <c r="J60" s="600"/>
      <c r="K60" s="600"/>
      <c r="L60" s="600"/>
      <c r="M60" s="600"/>
      <c r="N60" s="600"/>
      <c r="O60" s="600"/>
      <c r="P60" s="600"/>
      <c r="Q60" s="600"/>
      <c r="R60" s="600"/>
      <c r="S60" s="591"/>
      <c r="U60" s="591"/>
      <c r="V60" s="591"/>
      <c r="W60" s="591"/>
      <c r="X60" s="599"/>
      <c r="Y60" s="599"/>
      <c r="Z60" s="599"/>
    </row>
    <row r="61" spans="1:26" ht="15" hidden="1" customHeight="1" x14ac:dyDescent="0.25">
      <c r="A61"/>
      <c r="B61"/>
      <c r="C61"/>
      <c r="D61"/>
      <c r="E61"/>
      <c r="F61"/>
      <c r="G61"/>
      <c r="I61" t="str">
        <f t="shared" ca="1" si="1"/>
        <v/>
      </c>
      <c r="J61" s="589" t="str">
        <f>IF($J$17=$A$146,"Encargos Sociais incidentes sobre a mão de obra","Administração Central")</f>
        <v>Administração Central</v>
      </c>
      <c r="K61" s="589"/>
      <c r="L61" s="589"/>
      <c r="M61" s="589"/>
      <c r="N61" s="589"/>
      <c r="O61" s="589"/>
      <c r="P61" s="589"/>
      <c r="Q61" s="589"/>
      <c r="R61" s="60" t="str">
        <f>IF($J57=$A$146,"K1","AC")</f>
        <v>AC</v>
      </c>
      <c r="S61" s="61"/>
      <c r="U61" s="590" t="s">
        <v>166</v>
      </c>
      <c r="V61" s="590"/>
      <c r="W61" s="590"/>
      <c r="X61" s="62" t="e">
        <f>VLOOKUP(CONCATENATE(J57,"-",R61),$C$2:$G$136,3,FALSE)</f>
        <v>#N/A</v>
      </c>
      <c r="Y61" s="62" t="e">
        <f>VLOOKUP(CONCATENATE(J57,"-",R61),$C$2:$G$136,4,FALSE)</f>
        <v>#N/A</v>
      </c>
      <c r="Z61" s="62" t="e">
        <f>VLOOKUP(CONCATENATE(J57,"-",R61),$C$2:$G$136,5,FALSE)</f>
        <v>#N/A</v>
      </c>
    </row>
    <row r="62" spans="1:26" ht="15" hidden="1" customHeight="1" x14ac:dyDescent="0.25">
      <c r="A62"/>
      <c r="B62"/>
      <c r="C62"/>
      <c r="D62"/>
      <c r="E62"/>
      <c r="F62"/>
      <c r="G62"/>
      <c r="I62" t="str">
        <f t="shared" ca="1" si="1"/>
        <v/>
      </c>
      <c r="J62" s="589" t="str">
        <f>IF($J$17=$A$146,"Administração Central da empresa ou consultoria - overhead","Seguro e Garantia")</f>
        <v>Seguro e Garantia</v>
      </c>
      <c r="K62" s="589"/>
      <c r="L62" s="589"/>
      <c r="M62" s="589"/>
      <c r="N62" s="589"/>
      <c r="O62" s="589"/>
      <c r="P62" s="589"/>
      <c r="Q62" s="589"/>
      <c r="R62" s="60" t="str">
        <f>IF($J57=$A$146,"K2","SG")</f>
        <v>SG</v>
      </c>
      <c r="S62" s="61"/>
      <c r="U62" s="590" t="s">
        <v>166</v>
      </c>
      <c r="V62" s="590"/>
      <c r="W62" s="590"/>
      <c r="X62" s="62" t="e">
        <f>VLOOKUP(CONCATENATE(J57,"-",R62),$C$2:$G$136,3,FALSE)</f>
        <v>#N/A</v>
      </c>
      <c r="Y62" s="62" t="e">
        <f>VLOOKUP(CONCATENATE(J57,"-",R62),$C$2:$G$136,4,FALSE)</f>
        <v>#N/A</v>
      </c>
      <c r="Z62" s="62" t="e">
        <f>VLOOKUP(CONCATENATE(J57,"-",R62),$C$2:$G$136,5,FALSE)</f>
        <v>#N/A</v>
      </c>
    </row>
    <row r="63" spans="1:26" ht="15" hidden="1" customHeight="1" x14ac:dyDescent="0.25">
      <c r="A63"/>
      <c r="B63"/>
      <c r="C63"/>
      <c r="D63"/>
      <c r="E63"/>
      <c r="F63"/>
      <c r="G63"/>
      <c r="I63" t="str">
        <f t="shared" ca="1" si="1"/>
        <v/>
      </c>
      <c r="J63" s="589" t="str">
        <f>IF($J$17=$A$146,"","Risco")</f>
        <v>Risco</v>
      </c>
      <c r="K63" s="589"/>
      <c r="L63" s="589"/>
      <c r="M63" s="589"/>
      <c r="N63" s="589"/>
      <c r="O63" s="589"/>
      <c r="P63" s="589"/>
      <c r="Q63" s="589"/>
      <c r="R63" s="60" t="str">
        <f>IF($J57=$A$146,"","R")</f>
        <v>R</v>
      </c>
      <c r="S63" s="61"/>
      <c r="U63" s="590" t="s">
        <v>166</v>
      </c>
      <c r="V63" s="590"/>
      <c r="W63" s="590"/>
      <c r="X63" s="62" t="e">
        <f>VLOOKUP(CONCATENATE(J57,"-",R63),$C$2:$G$136,3,FALSE)</f>
        <v>#N/A</v>
      </c>
      <c r="Y63" s="62" t="e">
        <f>VLOOKUP(CONCATENATE(J57,"-",R63),$C$2:$G$136,4,FALSE)</f>
        <v>#N/A</v>
      </c>
      <c r="Z63" s="62" t="e">
        <f>VLOOKUP(CONCATENATE(J57,"-",R63),$C$2:$G$136,5,FALSE)</f>
        <v>#N/A</v>
      </c>
    </row>
    <row r="64" spans="1:26" ht="15" hidden="1" customHeight="1" x14ac:dyDescent="0.25">
      <c r="A64"/>
      <c r="B64"/>
      <c r="C64"/>
      <c r="D64"/>
      <c r="E64"/>
      <c r="F64"/>
      <c r="G64"/>
      <c r="I64" t="str">
        <f t="shared" ca="1" si="1"/>
        <v/>
      </c>
      <c r="J64" s="589" t="str">
        <f>IF($J$17=$A$146,"","Despesas Financeiras")</f>
        <v>Despesas Financeiras</v>
      </c>
      <c r="K64" s="589"/>
      <c r="L64" s="589"/>
      <c r="M64" s="589"/>
      <c r="N64" s="589"/>
      <c r="O64" s="589"/>
      <c r="P64" s="589"/>
      <c r="Q64" s="589"/>
      <c r="R64" s="60" t="str">
        <f>IF($J57=$A$146,"","DF")</f>
        <v>DF</v>
      </c>
      <c r="S64" s="61"/>
      <c r="U64" s="590" t="s">
        <v>166</v>
      </c>
      <c r="V64" s="590"/>
      <c r="W64" s="590"/>
      <c r="X64" s="62" t="e">
        <f>VLOOKUP(CONCATENATE(J57,"-",R64),$C$2:$G$136,3,FALSE)</f>
        <v>#N/A</v>
      </c>
      <c r="Y64" s="62" t="e">
        <f>VLOOKUP(CONCATENATE(J57,"-",R64),$C$2:$G$136,4,FALSE)</f>
        <v>#N/A</v>
      </c>
      <c r="Z64" s="62" t="e">
        <f>VLOOKUP(CONCATENATE(J57,"-",R64),$C$2:$G$136,5,FALSE)</f>
        <v>#N/A</v>
      </c>
    </row>
    <row r="65" spans="1:26" ht="15" hidden="1" customHeight="1" x14ac:dyDescent="0.25">
      <c r="A65"/>
      <c r="B65"/>
      <c r="C65"/>
      <c r="D65"/>
      <c r="E65"/>
      <c r="F65"/>
      <c r="G65"/>
      <c r="I65" t="str">
        <f t="shared" ca="1" si="1"/>
        <v/>
      </c>
      <c r="J65" s="589" t="str">
        <f>IF($J$17=$A$146,"Margem bruta da empresa de consultoria","Lucro")</f>
        <v>Lucro</v>
      </c>
      <c r="K65" s="589"/>
      <c r="L65" s="589"/>
      <c r="M65" s="589"/>
      <c r="N65" s="589"/>
      <c r="O65" s="589"/>
      <c r="P65" s="589"/>
      <c r="Q65" s="589"/>
      <c r="R65" s="60" t="str">
        <f>IF($J57=$A$146,"K3","L")</f>
        <v>L</v>
      </c>
      <c r="S65" s="61"/>
      <c r="U65" s="590" t="s">
        <v>166</v>
      </c>
      <c r="V65" s="590"/>
      <c r="W65" s="590"/>
      <c r="X65" s="62" t="e">
        <f>VLOOKUP(CONCATENATE(J57,"-",R65),$C$2:$G$136,3,FALSE)</f>
        <v>#N/A</v>
      </c>
      <c r="Y65" s="62" t="e">
        <f>VLOOKUP(CONCATENATE(J57,"-",R65),$C$2:$G$136,4,FALSE)</f>
        <v>#N/A</v>
      </c>
      <c r="Z65" s="62" t="e">
        <f>VLOOKUP(CONCATENATE(J57,"-",R65),$C$2:$G$136,5,FALSE)</f>
        <v>#N/A</v>
      </c>
    </row>
    <row r="66" spans="1:26" ht="15" hidden="1" customHeight="1" x14ac:dyDescent="0.25">
      <c r="A66"/>
      <c r="B66"/>
      <c r="C66"/>
      <c r="D66"/>
      <c r="E66"/>
      <c r="F66"/>
      <c r="G66"/>
      <c r="I66" t="str">
        <f t="shared" ca="1" si="1"/>
        <v/>
      </c>
      <c r="J66" s="589" t="s">
        <v>168</v>
      </c>
      <c r="K66" s="589"/>
      <c r="L66" s="589"/>
      <c r="M66" s="589"/>
      <c r="N66" s="589"/>
      <c r="O66" s="589"/>
      <c r="P66" s="589"/>
      <c r="Q66" s="589"/>
      <c r="R66" s="60" t="s">
        <v>169</v>
      </c>
      <c r="S66" s="61"/>
      <c r="U66" s="590" t="s">
        <v>166</v>
      </c>
      <c r="V66" s="590"/>
      <c r="W66" s="590"/>
      <c r="X66" s="62">
        <v>3.6499999999999998E-2</v>
      </c>
      <c r="Y66" s="62">
        <v>3.6499999999999998E-2</v>
      </c>
      <c r="Z66" s="62">
        <v>3.6499999999999998E-2</v>
      </c>
    </row>
    <row r="67" spans="1:26" ht="15" hidden="1" customHeight="1" x14ac:dyDescent="0.25">
      <c r="A67"/>
      <c r="B67"/>
      <c r="C67"/>
      <c r="D67"/>
      <c r="E67"/>
      <c r="F67"/>
      <c r="G67"/>
      <c r="I67" t="str">
        <f t="shared" ca="1" si="1"/>
        <v/>
      </c>
      <c r="J67" s="589" t="s">
        <v>170</v>
      </c>
      <c r="K67" s="589"/>
      <c r="L67" s="589"/>
      <c r="M67" s="589"/>
      <c r="N67" s="589"/>
      <c r="O67" s="589"/>
      <c r="P67" s="589"/>
      <c r="Q67" s="589"/>
      <c r="R67" s="60" t="s">
        <v>171</v>
      </c>
      <c r="S67" s="62">
        <f ca="1">IF(AND($J57&lt;&gt;$A$145,COUNTA(OFFSET(S60,1,0,6))&gt;0),$R$11*$R$10,0)</f>
        <v>0</v>
      </c>
      <c r="U67" s="590" t="s">
        <v>166</v>
      </c>
      <c r="V67" s="590"/>
      <c r="W67" s="590"/>
      <c r="X67" s="62">
        <v>0</v>
      </c>
      <c r="Y67" s="62">
        <v>2.5000000000000001E-2</v>
      </c>
      <c r="Z67" s="62">
        <v>0.05</v>
      </c>
    </row>
    <row r="68" spans="1:26" ht="15" hidden="1" customHeight="1" x14ac:dyDescent="0.25">
      <c r="A68"/>
      <c r="B68"/>
      <c r="C68"/>
      <c r="D68"/>
      <c r="E68"/>
      <c r="F68"/>
      <c r="G68"/>
      <c r="I68" t="str">
        <f t="shared" ca="1" si="1"/>
        <v/>
      </c>
      <c r="J68" s="589" t="s">
        <v>172</v>
      </c>
      <c r="K68" s="589"/>
      <c r="L68" s="589"/>
      <c r="M68" s="589"/>
      <c r="N68" s="589"/>
      <c r="O68" s="589"/>
      <c r="P68" s="589"/>
      <c r="Q68" s="589"/>
      <c r="R68" s="60" t="s">
        <v>173</v>
      </c>
      <c r="S68" s="62">
        <f ca="1">IF(BDI.Opcao&lt;&gt;"Desonerado",0,IF(AND($J57&lt;&gt;$A$145,COUNTA(OFFSET(S60,1,0,6))&gt;0),4.5%,0%))</f>
        <v>0</v>
      </c>
      <c r="U68" s="590" t="s">
        <v>166</v>
      </c>
      <c r="V68" s="590"/>
      <c r="W68" s="590"/>
      <c r="X68" s="63">
        <v>0</v>
      </c>
      <c r="Y68" s="63">
        <v>4.4999999999999998E-2</v>
      </c>
      <c r="Z68" s="63">
        <v>4.4999999999999998E-2</v>
      </c>
    </row>
    <row r="69" spans="1:26" ht="15" hidden="1" customHeight="1" x14ac:dyDescent="0.25">
      <c r="A69"/>
      <c r="B69"/>
      <c r="C69"/>
      <c r="D69"/>
      <c r="E69"/>
      <c r="F69"/>
      <c r="G69"/>
      <c r="I69" t="str">
        <f t="shared" ca="1" si="1"/>
        <v/>
      </c>
      <c r="J69" s="589" t="s">
        <v>174</v>
      </c>
      <c r="K69" s="589"/>
      <c r="L69" s="589"/>
      <c r="M69" s="589"/>
      <c r="N69" s="589"/>
      <c r="O69" s="589"/>
      <c r="P69" s="589"/>
      <c r="Q69" s="589"/>
      <c r="R69" s="64" t="s">
        <v>150</v>
      </c>
      <c r="S69" s="62">
        <f ca="1">IF($J57=$A$145,0,ROUND((((1+S61+S62+S63)*(1+S64)*(1+S65)/(1-(S66+S67)))-1),4))</f>
        <v>0</v>
      </c>
      <c r="U69" s="591" t="e">
        <f ca="1">IF(OR($J$17=$A$146,$J$17=$A$145,AND(S69&gt;=X69,S69&lt;=Z69)),"OK","FORA DO INTERVALO")</f>
        <v>#N/A</v>
      </c>
      <c r="V69" s="591"/>
      <c r="W69" s="591"/>
      <c r="X69" s="62" t="e">
        <f>IF($J57=$A$145,0,VLOOKUP(CONCATENATE($J57,"-",$R69),$C$2:$G$136,3,FALSE))</f>
        <v>#N/A</v>
      </c>
      <c r="Y69" s="62" t="e">
        <f>IF($J57=$A$145,0,VLOOKUP(CONCATENATE($J57,"-",$R69),$C$2:$G$136,4,FALSE))</f>
        <v>#N/A</v>
      </c>
      <c r="Z69" s="62" t="e">
        <f>IF($J57=$A$145,0,VLOOKUP(CONCATENATE($J57,"-",$R69),$C$2:$G$136,5,FALSE))</f>
        <v>#N/A</v>
      </c>
    </row>
    <row r="70" spans="1:26" ht="15" hidden="1" customHeight="1" x14ac:dyDescent="0.25">
      <c r="A70"/>
      <c r="B70"/>
      <c r="C70"/>
      <c r="D70"/>
      <c r="E70"/>
      <c r="F70"/>
      <c r="G70"/>
      <c r="I70" t="str">
        <f t="shared" ca="1" si="1"/>
        <v/>
      </c>
      <c r="J70" s="592" t="s">
        <v>175</v>
      </c>
      <c r="K70" s="592"/>
      <c r="L70" s="592"/>
      <c r="M70" s="592"/>
      <c r="N70" s="592"/>
      <c r="O70" s="592"/>
      <c r="P70" s="592"/>
      <c r="Q70" s="592"/>
      <c r="R70" s="65" t="s">
        <v>176</v>
      </c>
      <c r="S70" s="66">
        <f ca="1">IF($J57=$A$145,0,ROUND((((1+S61+S62+S63)*(1+S64)*(1+S65)/(1-(S66+S67+S68)))-1),4))</f>
        <v>0</v>
      </c>
    </row>
    <row r="71" spans="1:26" ht="25.5" hidden="1" customHeight="1" x14ac:dyDescent="0.25">
      <c r="A71"/>
      <c r="B71"/>
      <c r="C71"/>
      <c r="D71"/>
      <c r="E71"/>
      <c r="F71"/>
      <c r="G71"/>
      <c r="I71" t="str">
        <f t="shared" ca="1" si="1"/>
        <v/>
      </c>
    </row>
    <row r="72" spans="1:26" ht="15.6" hidden="1" x14ac:dyDescent="0.25">
      <c r="A72"/>
      <c r="B72"/>
      <c r="C72"/>
      <c r="D72"/>
      <c r="E72"/>
      <c r="F72"/>
      <c r="G72"/>
      <c r="I72" t="str">
        <f t="shared" ca="1" si="1"/>
        <v/>
      </c>
      <c r="J72" s="67" t="e">
        <f ca="1">IF(U69&lt;&gt;"ok","X","")</f>
        <v>#N/A</v>
      </c>
      <c r="K72" s="593" t="e">
        <f ca="1">IF(U69&lt;&gt;"ok","Anexo: Relatório Técnico Circunstanciado justificando a adoção do percentual de cada parcela do BDI.","")</f>
        <v>#N/A</v>
      </c>
      <c r="L72" s="593"/>
      <c r="M72" s="593"/>
      <c r="N72" s="593"/>
      <c r="O72" s="593"/>
      <c r="P72" s="593"/>
      <c r="Q72" s="593"/>
      <c r="R72" s="593"/>
      <c r="S72" s="593"/>
    </row>
    <row r="73" spans="1:26" hidden="1" x14ac:dyDescent="0.25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5">
      <c r="A74"/>
      <c r="B74"/>
      <c r="C74"/>
      <c r="D74"/>
      <c r="E74"/>
      <c r="F74"/>
      <c r="G74"/>
      <c r="I74" t="str">
        <f t="shared" ca="1" si="1"/>
        <v/>
      </c>
      <c r="J74" s="595" t="s">
        <v>178</v>
      </c>
      <c r="K74" s="595"/>
      <c r="L74" s="595"/>
      <c r="M74" s="595"/>
      <c r="N74" s="595"/>
      <c r="O74" s="595"/>
      <c r="P74" s="595"/>
      <c r="Q74" s="595"/>
      <c r="R74" s="595"/>
      <c r="S74" s="595"/>
    </row>
    <row r="75" spans="1:26" ht="15.6" hidden="1" x14ac:dyDescent="0.3">
      <c r="A75"/>
      <c r="B75"/>
      <c r="C75"/>
      <c r="D75"/>
      <c r="E75"/>
      <c r="F75"/>
      <c r="G75"/>
      <c r="I75" t="str">
        <f t="shared" ca="1" si="1"/>
        <v/>
      </c>
      <c r="J75" s="68"/>
      <c r="K75" s="68"/>
      <c r="L75" s="68"/>
      <c r="M75" s="596" t="s">
        <v>179</v>
      </c>
      <c r="N75" s="597" t="str">
        <f>IF($J57=$A$146,"(1+K1+K2)*(1+K3)","(1+AC + S + R + G)*(1 + DF)*(1+L)")</f>
        <v>(1+AC + S + R + G)*(1 + DF)*(1+L)</v>
      </c>
      <c r="O75" s="597"/>
      <c r="P75" s="597"/>
      <c r="Q75" s="598" t="s">
        <v>180</v>
      </c>
      <c r="R75" s="68"/>
      <c r="S75" s="68"/>
    </row>
    <row r="76" spans="1:26" ht="15.6" hidden="1" x14ac:dyDescent="0.25">
      <c r="A76"/>
      <c r="B76"/>
      <c r="C76"/>
      <c r="D76"/>
      <c r="E76"/>
      <c r="F76"/>
      <c r="G76"/>
      <c r="I76" t="str">
        <f t="shared" ca="1" si="1"/>
        <v/>
      </c>
      <c r="J76" s="68"/>
      <c r="K76" s="68"/>
      <c r="L76" s="68"/>
      <c r="M76" s="596"/>
      <c r="N76" s="588" t="s">
        <v>181</v>
      </c>
      <c r="O76" s="588"/>
      <c r="P76" s="588"/>
      <c r="Q76" s="598"/>
      <c r="R76" s="68"/>
      <c r="S76" s="68"/>
    </row>
    <row r="77" spans="1:26" ht="15" hidden="1" customHeight="1" x14ac:dyDescent="0.25">
      <c r="A77"/>
      <c r="B77"/>
      <c r="C77"/>
      <c r="D77"/>
      <c r="E77"/>
      <c r="F77"/>
      <c r="G77"/>
      <c r="I77" t="str">
        <f t="shared" ca="1" si="1"/>
        <v/>
      </c>
      <c r="J77" s="68"/>
      <c r="K77" s="68"/>
      <c r="L77" s="68"/>
      <c r="M77" s="69"/>
      <c r="N77" s="71"/>
      <c r="O77" s="71"/>
      <c r="P77" s="71"/>
      <c r="Q77" s="70"/>
      <c r="R77" s="68"/>
      <c r="S77" s="68"/>
    </row>
    <row r="78" spans="1:26" ht="50.1" hidden="1" customHeight="1" x14ac:dyDescent="0.25">
      <c r="A78"/>
      <c r="B78"/>
      <c r="C78"/>
      <c r="D78"/>
      <c r="E78"/>
      <c r="F78"/>
      <c r="G78"/>
      <c r="I78" t="str">
        <f t="shared" ca="1" si="1"/>
        <v/>
      </c>
      <c r="J78" s="582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5%.</v>
      </c>
      <c r="K78" s="582"/>
      <c r="L78" s="582"/>
      <c r="M78" s="582"/>
      <c r="N78" s="582"/>
      <c r="O78" s="582"/>
      <c r="P78" s="582"/>
      <c r="Q78" s="582"/>
      <c r="R78" s="582"/>
      <c r="S78" s="582"/>
    </row>
    <row r="79" spans="1:26" hidden="1" x14ac:dyDescent="0.25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5">
      <c r="A80"/>
      <c r="B80"/>
      <c r="C80"/>
      <c r="D80"/>
      <c r="E80"/>
      <c r="F80"/>
      <c r="G80"/>
      <c r="I80" t="str">
        <f t="shared" ca="1" si="1"/>
        <v/>
      </c>
      <c r="J80" s="582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80" s="582"/>
      <c r="L80" s="582"/>
      <c r="M80" s="582"/>
      <c r="N80" s="582"/>
      <c r="O80" s="582"/>
      <c r="P80" s="582"/>
      <c r="Q80" s="582"/>
      <c r="R80" s="582"/>
      <c r="S80" s="582"/>
    </row>
    <row r="81" spans="1:19" hidden="1" x14ac:dyDescent="0.25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5">
      <c r="A82"/>
      <c r="B82"/>
      <c r="C82"/>
      <c r="D82"/>
      <c r="E82"/>
      <c r="F82"/>
      <c r="G82"/>
      <c r="I82" t="str">
        <f t="shared" ca="1" si="1"/>
        <v/>
      </c>
      <c r="J82" s="49" t="s">
        <v>187</v>
      </c>
    </row>
    <row r="83" spans="1:19" ht="99.9" hidden="1" customHeight="1" x14ac:dyDescent="0.25">
      <c r="A83"/>
      <c r="B83"/>
      <c r="C83"/>
      <c r="D83"/>
      <c r="E83"/>
      <c r="F83"/>
      <c r="G83"/>
      <c r="I83" t="str">
        <f t="shared" ca="1" si="1"/>
        <v/>
      </c>
      <c r="J83" s="583"/>
      <c r="K83" s="583"/>
      <c r="L83" s="583"/>
      <c r="M83" s="583"/>
      <c r="N83" s="583"/>
      <c r="O83" s="583"/>
      <c r="P83" s="583"/>
      <c r="Q83" s="583"/>
      <c r="R83" s="583"/>
      <c r="S83" s="583"/>
    </row>
    <row r="84" spans="1:19" hidden="1" x14ac:dyDescent="0.25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5">
      <c r="A85"/>
      <c r="B85"/>
      <c r="C85"/>
      <c r="D85"/>
      <c r="E85"/>
      <c r="F85"/>
      <c r="G85"/>
      <c r="I85" t="str">
        <f t="shared" ca="1" si="1"/>
        <v/>
      </c>
      <c r="J85" s="584" t="str">
        <f>Import.Município</f>
        <v>BOM JARDIM DE MINAS - MG</v>
      </c>
      <c r="K85" s="584"/>
      <c r="L85" s="584"/>
      <c r="M85" s="584"/>
      <c r="P85" s="585">
        <f ca="1">DADOS!$F$25</f>
        <v>45580</v>
      </c>
      <c r="Q85" s="585"/>
      <c r="R85" s="585"/>
      <c r="S85" s="585"/>
    </row>
    <row r="86" spans="1:19" hidden="1" x14ac:dyDescent="0.25">
      <c r="A86"/>
      <c r="B86"/>
      <c r="C86"/>
      <c r="D86"/>
      <c r="E86"/>
      <c r="F86"/>
      <c r="G86"/>
      <c r="I86" t="str">
        <f t="shared" ca="1" si="1"/>
        <v/>
      </c>
      <c r="J86" s="586" t="s">
        <v>188</v>
      </c>
      <c r="K86" s="586"/>
      <c r="L86" s="586"/>
      <c r="M86" s="586"/>
      <c r="O86" s="73"/>
      <c r="P86" s="74" t="s">
        <v>189</v>
      </c>
      <c r="Q86" s="75"/>
      <c r="R86" s="75"/>
      <c r="S86" s="75"/>
    </row>
    <row r="87" spans="1:19" ht="30" hidden="1" customHeight="1" x14ac:dyDescent="0.25">
      <c r="A87"/>
      <c r="B87"/>
      <c r="C87"/>
      <c r="D87"/>
      <c r="E87"/>
      <c r="F87"/>
      <c r="G87"/>
      <c r="I87" t="str">
        <f t="shared" ca="1" si="1"/>
        <v/>
      </c>
    </row>
    <row r="88" spans="1:19" ht="13.8" hidden="1" x14ac:dyDescent="0.25">
      <c r="A88"/>
      <c r="B88"/>
      <c r="C88"/>
      <c r="D88"/>
      <c r="E88"/>
      <c r="F88"/>
      <c r="G88"/>
      <c r="I88" t="str">
        <f t="shared" ca="1" si="1"/>
        <v/>
      </c>
      <c r="J88" s="587"/>
      <c r="K88" s="587"/>
      <c r="L88" s="587"/>
      <c r="M88" s="587"/>
      <c r="N88" s="76"/>
    </row>
    <row r="89" spans="1:19" hidden="1" x14ac:dyDescent="0.25">
      <c r="A89"/>
      <c r="B89"/>
      <c r="C89"/>
      <c r="D89"/>
      <c r="E89"/>
      <c r="F89"/>
      <c r="G89"/>
      <c r="I89" t="str">
        <f t="shared" ca="1" si="1"/>
        <v/>
      </c>
      <c r="J89" s="581" t="s">
        <v>190</v>
      </c>
      <c r="K89" s="581"/>
      <c r="L89" s="581"/>
      <c r="M89" s="581"/>
    </row>
    <row r="90" spans="1:19" ht="13.8" hidden="1" x14ac:dyDescent="0.25">
      <c r="A90"/>
      <c r="B90"/>
      <c r="C90"/>
      <c r="D90"/>
      <c r="E90"/>
      <c r="F90"/>
      <c r="G90"/>
      <c r="I90" t="str">
        <f t="shared" ca="1" si="1"/>
        <v/>
      </c>
      <c r="J90" s="77" t="s">
        <v>108</v>
      </c>
      <c r="K90" s="78" t="str">
        <f t="array" ref="K90:K92">Import.RespOrçamento</f>
        <v>RENNAN ROBERTO DUARTE DA SILVA</v>
      </c>
      <c r="L90" s="79"/>
      <c r="M90" s="79"/>
      <c r="N90" s="76"/>
    </row>
    <row r="91" spans="1:19" ht="13.8" hidden="1" x14ac:dyDescent="0.25">
      <c r="A91"/>
      <c r="B91"/>
      <c r="C91"/>
      <c r="D91"/>
      <c r="E91"/>
      <c r="F91"/>
      <c r="G91"/>
      <c r="I91" t="str">
        <f t="shared" ca="1" si="1"/>
        <v/>
      </c>
      <c r="J91" s="77" t="s">
        <v>109</v>
      </c>
      <c r="K91" s="78" t="str">
        <v>RJ2019107419D MG</v>
      </c>
      <c r="L91" s="79"/>
      <c r="M91" s="79"/>
      <c r="N91" s="76"/>
    </row>
    <row r="92" spans="1:19" ht="13.8" hidden="1" x14ac:dyDescent="0.25">
      <c r="A92"/>
      <c r="B92"/>
      <c r="C92"/>
      <c r="D92"/>
      <c r="E92"/>
      <c r="F92"/>
      <c r="G92"/>
      <c r="I92" t="str">
        <f t="shared" ca="1" si="1"/>
        <v/>
      </c>
      <c r="J92" s="77" t="s">
        <v>110</v>
      </c>
      <c r="K92" s="78" t="str">
        <v>MG20243409885</v>
      </c>
      <c r="L92" s="79"/>
      <c r="M92" s="79"/>
      <c r="N92" s="76"/>
    </row>
    <row r="93" spans="1:19" ht="13.8" hidden="1" x14ac:dyDescent="0.25">
      <c r="A93"/>
      <c r="B93"/>
      <c r="C93"/>
      <c r="D93"/>
      <c r="E93"/>
      <c r="F93"/>
      <c r="G93"/>
      <c r="I93" t="str">
        <f t="shared" ca="1" si="1"/>
        <v/>
      </c>
      <c r="J93" s="77"/>
      <c r="K93" s="80"/>
      <c r="L93" s="79"/>
      <c r="M93" s="79"/>
      <c r="N93" s="76"/>
    </row>
    <row r="94" spans="1:19" ht="15.6" hidden="1" x14ac:dyDescent="0.3">
      <c r="A94"/>
      <c r="B94"/>
      <c r="C94"/>
      <c r="D94"/>
      <c r="E94"/>
      <c r="F94"/>
      <c r="G94"/>
      <c r="I94" t="str">
        <f ca="1">IF($S$109=0,"","F")</f>
        <v/>
      </c>
      <c r="J94" s="603" t="s">
        <v>192</v>
      </c>
      <c r="K94" s="603"/>
      <c r="L94" s="603"/>
      <c r="M94" s="603"/>
      <c r="N94" s="603"/>
      <c r="O94" s="603"/>
      <c r="P94" s="603"/>
      <c r="Q94" s="603"/>
      <c r="R94" s="603"/>
      <c r="S94" s="603"/>
    </row>
    <row r="95" spans="1:19" hidden="1" x14ac:dyDescent="0.25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5">
      <c r="A96"/>
      <c r="B96"/>
      <c r="C96"/>
      <c r="D96"/>
      <c r="E96"/>
      <c r="F96"/>
      <c r="G96"/>
      <c r="I96" t="str">
        <f t="shared" ca="1" si="2"/>
        <v/>
      </c>
      <c r="J96" s="601" t="s">
        <v>157</v>
      </c>
      <c r="K96" s="601"/>
      <c r="L96" s="601"/>
      <c r="M96" s="601"/>
      <c r="N96" s="601"/>
      <c r="O96" s="601"/>
      <c r="P96" s="601"/>
      <c r="Q96" s="601"/>
      <c r="R96" s="601"/>
      <c r="S96" s="601"/>
    </row>
    <row r="97" spans="1:26" hidden="1" x14ac:dyDescent="0.25">
      <c r="A97"/>
      <c r="B97"/>
      <c r="C97"/>
      <c r="D97"/>
      <c r="E97"/>
      <c r="F97"/>
      <c r="G97"/>
      <c r="I97" t="str">
        <f t="shared" ca="1" si="2"/>
        <v/>
      </c>
      <c r="J97" s="602" t="s">
        <v>408</v>
      </c>
      <c r="K97" s="602"/>
      <c r="L97" s="602"/>
      <c r="M97" s="602"/>
      <c r="N97" s="602"/>
      <c r="O97" s="602"/>
      <c r="P97" s="602"/>
      <c r="Q97" s="602"/>
      <c r="R97" s="602"/>
      <c r="S97" s="602"/>
    </row>
    <row r="98" spans="1:26" hidden="1" x14ac:dyDescent="0.25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5">
      <c r="A99"/>
      <c r="B99"/>
      <c r="C99"/>
      <c r="D99"/>
      <c r="E99"/>
      <c r="F99"/>
      <c r="G99"/>
      <c r="I99" t="str">
        <f t="shared" ca="1" si="2"/>
        <v/>
      </c>
      <c r="J99" s="600" t="s">
        <v>158</v>
      </c>
      <c r="K99" s="600"/>
      <c r="L99" s="600"/>
      <c r="M99" s="600"/>
      <c r="N99" s="600"/>
      <c r="O99" s="600"/>
      <c r="P99" s="600"/>
      <c r="Q99" s="600"/>
      <c r="R99" s="600" t="s">
        <v>159</v>
      </c>
      <c r="S99" s="591" t="s">
        <v>160</v>
      </c>
      <c r="U99" s="591" t="s">
        <v>161</v>
      </c>
      <c r="V99" s="591"/>
      <c r="W99" s="591"/>
      <c r="X99" s="599" t="s">
        <v>162</v>
      </c>
      <c r="Y99" s="599" t="s">
        <v>163</v>
      </c>
      <c r="Z99" s="599" t="s">
        <v>164</v>
      </c>
    </row>
    <row r="100" spans="1:26" ht="12.75" hidden="1" customHeight="1" x14ac:dyDescent="0.25">
      <c r="A100"/>
      <c r="B100"/>
      <c r="C100"/>
      <c r="D100"/>
      <c r="E100"/>
      <c r="F100"/>
      <c r="G100"/>
      <c r="I100" t="str">
        <f t="shared" ca="1" si="2"/>
        <v/>
      </c>
      <c r="J100" s="600"/>
      <c r="K100" s="600"/>
      <c r="L100" s="600"/>
      <c r="M100" s="600"/>
      <c r="N100" s="600"/>
      <c r="O100" s="600"/>
      <c r="P100" s="600"/>
      <c r="Q100" s="600"/>
      <c r="R100" s="600"/>
      <c r="S100" s="591"/>
      <c r="U100" s="591"/>
      <c r="V100" s="591"/>
      <c r="W100" s="591"/>
      <c r="X100" s="599"/>
      <c r="Y100" s="599"/>
      <c r="Z100" s="599"/>
    </row>
    <row r="101" spans="1:26" ht="15" hidden="1" customHeight="1" x14ac:dyDescent="0.25">
      <c r="A101"/>
      <c r="B101"/>
      <c r="C101"/>
      <c r="D101"/>
      <c r="E101"/>
      <c r="F101"/>
      <c r="G101"/>
      <c r="I101" t="str">
        <f t="shared" ca="1" si="2"/>
        <v/>
      </c>
      <c r="J101" s="589" t="str">
        <f>IF($J$17=$A$146,"Encargos Sociais incidentes sobre a mão de obra","Administração Central")</f>
        <v>Administração Central</v>
      </c>
      <c r="K101" s="589"/>
      <c r="L101" s="589"/>
      <c r="M101" s="589"/>
      <c r="N101" s="589"/>
      <c r="O101" s="589"/>
      <c r="P101" s="589"/>
      <c r="Q101" s="589"/>
      <c r="R101" s="60" t="str">
        <f>IF($J97=$A$146,"K1","AC")</f>
        <v>AC</v>
      </c>
      <c r="S101" s="61"/>
      <c r="U101" s="590" t="s">
        <v>166</v>
      </c>
      <c r="V101" s="590"/>
      <c r="W101" s="590"/>
      <c r="X101" s="62" t="e">
        <f>VLOOKUP(CONCATENATE(J97,"-",R101),$C$2:$G$136,3,FALSE)</f>
        <v>#N/A</v>
      </c>
      <c r="Y101" s="62" t="e">
        <f>VLOOKUP(CONCATENATE(J97,"-",R101),$C$2:$G$136,4,FALSE)</f>
        <v>#N/A</v>
      </c>
      <c r="Z101" s="62" t="e">
        <f>VLOOKUP(CONCATENATE(J97,"-",R101),$C$2:$G$136,5,FALSE)</f>
        <v>#N/A</v>
      </c>
    </row>
    <row r="102" spans="1:26" ht="15" hidden="1" customHeight="1" x14ac:dyDescent="0.25">
      <c r="A102"/>
      <c r="B102"/>
      <c r="C102"/>
      <c r="D102"/>
      <c r="E102"/>
      <c r="F102"/>
      <c r="G102"/>
      <c r="I102" t="str">
        <f t="shared" ca="1" si="2"/>
        <v/>
      </c>
      <c r="J102" s="589" t="str">
        <f>IF($J$17=$A$146,"Administração Central da empresa ou consultoria - overhead","Seguro e Garantia")</f>
        <v>Seguro e Garantia</v>
      </c>
      <c r="K102" s="589"/>
      <c r="L102" s="589"/>
      <c r="M102" s="589"/>
      <c r="N102" s="589"/>
      <c r="O102" s="589"/>
      <c r="P102" s="589"/>
      <c r="Q102" s="589"/>
      <c r="R102" s="60" t="str">
        <f>IF($J97=$A$146,"K2","SG")</f>
        <v>SG</v>
      </c>
      <c r="S102" s="61"/>
      <c r="U102" s="590" t="s">
        <v>166</v>
      </c>
      <c r="V102" s="590"/>
      <c r="W102" s="590"/>
      <c r="X102" s="62" t="e">
        <f>VLOOKUP(CONCATENATE(J97,"-",R102),$C$2:$G$136,3,FALSE)</f>
        <v>#N/A</v>
      </c>
      <c r="Y102" s="62" t="e">
        <f>VLOOKUP(CONCATENATE(J97,"-",R102),$C$2:$G$136,4,FALSE)</f>
        <v>#N/A</v>
      </c>
      <c r="Z102" s="62" t="e">
        <f>VLOOKUP(CONCATENATE(J97,"-",R102),$C$2:$G$136,5,FALSE)</f>
        <v>#N/A</v>
      </c>
    </row>
    <row r="103" spans="1:26" ht="15" hidden="1" customHeight="1" x14ac:dyDescent="0.25">
      <c r="A103"/>
      <c r="B103"/>
      <c r="C103"/>
      <c r="D103"/>
      <c r="E103"/>
      <c r="F103"/>
      <c r="G103"/>
      <c r="I103" t="str">
        <f t="shared" ca="1" si="2"/>
        <v/>
      </c>
      <c r="J103" s="589" t="str">
        <f>IF($J$17=$A$146,"","Risco")</f>
        <v>Risco</v>
      </c>
      <c r="K103" s="589"/>
      <c r="L103" s="589"/>
      <c r="M103" s="589"/>
      <c r="N103" s="589"/>
      <c r="O103" s="589"/>
      <c r="P103" s="589"/>
      <c r="Q103" s="589"/>
      <c r="R103" s="60" t="str">
        <f>IF($J97=$A$146,"","R")</f>
        <v>R</v>
      </c>
      <c r="S103" s="61"/>
      <c r="U103" s="590" t="s">
        <v>166</v>
      </c>
      <c r="V103" s="590"/>
      <c r="W103" s="590"/>
      <c r="X103" s="62" t="e">
        <f>VLOOKUP(CONCATENATE(J97,"-",R103),$C$2:$G$136,3,FALSE)</f>
        <v>#N/A</v>
      </c>
      <c r="Y103" s="62" t="e">
        <f>VLOOKUP(CONCATENATE(J97,"-",R103),$C$2:$G$136,4,FALSE)</f>
        <v>#N/A</v>
      </c>
      <c r="Z103" s="62" t="e">
        <f>VLOOKUP(CONCATENATE(J97,"-",R103),$C$2:$G$136,5,FALSE)</f>
        <v>#N/A</v>
      </c>
    </row>
    <row r="104" spans="1:26" ht="15" hidden="1" customHeight="1" x14ac:dyDescent="0.25">
      <c r="A104"/>
      <c r="B104"/>
      <c r="C104"/>
      <c r="D104"/>
      <c r="E104"/>
      <c r="F104"/>
      <c r="G104"/>
      <c r="I104" t="str">
        <f t="shared" ca="1" si="2"/>
        <v/>
      </c>
      <c r="J104" s="589" t="str">
        <f>IF($J$17=$A$146,"","Despesas Financeiras")</f>
        <v>Despesas Financeiras</v>
      </c>
      <c r="K104" s="589"/>
      <c r="L104" s="589"/>
      <c r="M104" s="589"/>
      <c r="N104" s="589"/>
      <c r="O104" s="589"/>
      <c r="P104" s="589"/>
      <c r="Q104" s="589"/>
      <c r="R104" s="60" t="str">
        <f>IF($J97=$A$146,"","DF")</f>
        <v>DF</v>
      </c>
      <c r="S104" s="61"/>
      <c r="U104" s="590" t="s">
        <v>166</v>
      </c>
      <c r="V104" s="590"/>
      <c r="W104" s="590"/>
      <c r="X104" s="62" t="e">
        <f>VLOOKUP(CONCATENATE(J97,"-",R104),$C$2:$G$136,3,FALSE)</f>
        <v>#N/A</v>
      </c>
      <c r="Y104" s="62" t="e">
        <f>VLOOKUP(CONCATENATE(J97,"-",R104),$C$2:$G$136,4,FALSE)</f>
        <v>#N/A</v>
      </c>
      <c r="Z104" s="62" t="e">
        <f>VLOOKUP(CONCATENATE(J97,"-",R104),$C$2:$G$136,5,FALSE)</f>
        <v>#N/A</v>
      </c>
    </row>
    <row r="105" spans="1:26" ht="15" hidden="1" customHeight="1" x14ac:dyDescent="0.25">
      <c r="A105"/>
      <c r="B105"/>
      <c r="C105"/>
      <c r="D105"/>
      <c r="E105"/>
      <c r="F105"/>
      <c r="G105"/>
      <c r="I105" t="str">
        <f t="shared" ca="1" si="2"/>
        <v/>
      </c>
      <c r="J105" s="589" t="str">
        <f>IF($J$17=$A$146,"Margem bruta da empresa de consultoria","Lucro")</f>
        <v>Lucro</v>
      </c>
      <c r="K105" s="589"/>
      <c r="L105" s="589"/>
      <c r="M105" s="589"/>
      <c r="N105" s="589"/>
      <c r="O105" s="589"/>
      <c r="P105" s="589"/>
      <c r="Q105" s="589"/>
      <c r="R105" s="60" t="str">
        <f>IF($J97=$A$146,"K3","L")</f>
        <v>L</v>
      </c>
      <c r="S105" s="61"/>
      <c r="U105" s="590" t="s">
        <v>166</v>
      </c>
      <c r="V105" s="590"/>
      <c r="W105" s="590"/>
      <c r="X105" s="62" t="e">
        <f>VLOOKUP(CONCATENATE(J97,"-",R105),$C$2:$G$136,3,FALSE)</f>
        <v>#N/A</v>
      </c>
      <c r="Y105" s="62" t="e">
        <f>VLOOKUP(CONCATENATE(J97,"-",R105),$C$2:$G$136,4,FALSE)</f>
        <v>#N/A</v>
      </c>
      <c r="Z105" s="62" t="e">
        <f>VLOOKUP(CONCATENATE(J97,"-",R105),$C$2:$G$136,5,FALSE)</f>
        <v>#N/A</v>
      </c>
    </row>
    <row r="106" spans="1:26" ht="15" hidden="1" customHeight="1" x14ac:dyDescent="0.25">
      <c r="A106"/>
      <c r="B106"/>
      <c r="C106"/>
      <c r="D106"/>
      <c r="E106"/>
      <c r="F106"/>
      <c r="G106"/>
      <c r="I106" t="str">
        <f t="shared" ca="1" si="2"/>
        <v/>
      </c>
      <c r="J106" s="589" t="s">
        <v>168</v>
      </c>
      <c r="K106" s="589"/>
      <c r="L106" s="589"/>
      <c r="M106" s="589"/>
      <c r="N106" s="589"/>
      <c r="O106" s="589"/>
      <c r="P106" s="589"/>
      <c r="Q106" s="589"/>
      <c r="R106" s="60" t="s">
        <v>169</v>
      </c>
      <c r="S106" s="61"/>
      <c r="U106" s="590" t="s">
        <v>166</v>
      </c>
      <c r="V106" s="590"/>
      <c r="W106" s="590"/>
      <c r="X106" s="62">
        <v>3.6499999999999998E-2</v>
      </c>
      <c r="Y106" s="62">
        <v>3.6499999999999998E-2</v>
      </c>
      <c r="Z106" s="62">
        <v>3.6499999999999998E-2</v>
      </c>
    </row>
    <row r="107" spans="1:26" ht="15" hidden="1" customHeight="1" x14ac:dyDescent="0.25">
      <c r="A107"/>
      <c r="B107"/>
      <c r="C107"/>
      <c r="D107"/>
      <c r="E107"/>
      <c r="F107"/>
      <c r="G107"/>
      <c r="I107" t="str">
        <f t="shared" ca="1" si="2"/>
        <v/>
      </c>
      <c r="J107" s="589" t="s">
        <v>170</v>
      </c>
      <c r="K107" s="589"/>
      <c r="L107" s="589"/>
      <c r="M107" s="589"/>
      <c r="N107" s="589"/>
      <c r="O107" s="589"/>
      <c r="P107" s="589"/>
      <c r="Q107" s="589"/>
      <c r="R107" s="60" t="s">
        <v>171</v>
      </c>
      <c r="S107" s="62">
        <f ca="1">IF(AND($J97&lt;&gt;$A$145,COUNTA(OFFSET(S100,1,0,6))&gt;0),$R$11*$R$10,0)</f>
        <v>0</v>
      </c>
      <c r="U107" s="590" t="s">
        <v>166</v>
      </c>
      <c r="V107" s="590"/>
      <c r="W107" s="590"/>
      <c r="X107" s="62">
        <v>0</v>
      </c>
      <c r="Y107" s="62">
        <v>2.5000000000000001E-2</v>
      </c>
      <c r="Z107" s="62">
        <v>0.05</v>
      </c>
    </row>
    <row r="108" spans="1:26" ht="15" hidden="1" customHeight="1" x14ac:dyDescent="0.25">
      <c r="A108"/>
      <c r="B108"/>
      <c r="C108"/>
      <c r="D108"/>
      <c r="E108"/>
      <c r="F108"/>
      <c r="G108"/>
      <c r="I108" t="str">
        <f t="shared" ca="1" si="2"/>
        <v/>
      </c>
      <c r="J108" s="589" t="s">
        <v>172</v>
      </c>
      <c r="K108" s="589"/>
      <c r="L108" s="589"/>
      <c r="M108" s="589"/>
      <c r="N108" s="589"/>
      <c r="O108" s="589"/>
      <c r="P108" s="589"/>
      <c r="Q108" s="589"/>
      <c r="R108" s="60" t="s">
        <v>173</v>
      </c>
      <c r="S108" s="62">
        <f ca="1">IF(BDI.Opcao&lt;&gt;"Desonerado",0,IF(AND($J97&lt;&gt;$A$145,COUNTA(OFFSET(S100,1,0,6))&gt;0),4.5%,0%))</f>
        <v>0</v>
      </c>
      <c r="U108" s="590" t="s">
        <v>166</v>
      </c>
      <c r="V108" s="590"/>
      <c r="W108" s="590"/>
      <c r="X108" s="63">
        <v>0</v>
      </c>
      <c r="Y108" s="63">
        <v>4.4999999999999998E-2</v>
      </c>
      <c r="Z108" s="63">
        <v>4.4999999999999998E-2</v>
      </c>
    </row>
    <row r="109" spans="1:26" ht="15" hidden="1" customHeight="1" x14ac:dyDescent="0.25">
      <c r="A109"/>
      <c r="B109"/>
      <c r="C109"/>
      <c r="D109"/>
      <c r="E109"/>
      <c r="F109"/>
      <c r="G109"/>
      <c r="I109" t="str">
        <f t="shared" ca="1" si="2"/>
        <v/>
      </c>
      <c r="J109" s="589" t="s">
        <v>174</v>
      </c>
      <c r="K109" s="589"/>
      <c r="L109" s="589"/>
      <c r="M109" s="589"/>
      <c r="N109" s="589"/>
      <c r="O109" s="589"/>
      <c r="P109" s="589"/>
      <c r="Q109" s="589"/>
      <c r="R109" s="64" t="s">
        <v>150</v>
      </c>
      <c r="S109" s="62">
        <f ca="1">IF($J97=$A$145,0,ROUND((((1+S101+S102+S103)*(1+S104)*(1+S105)/(1-(S106+S107)))-1),4))</f>
        <v>0</v>
      </c>
      <c r="U109" s="591" t="e">
        <f ca="1">IF(OR($J$17=$A$146,$J$17=$A$145,AND(S109&gt;=X109,S109&lt;=Z109)),"OK","FORA DO INTERVALO")</f>
        <v>#N/A</v>
      </c>
      <c r="V109" s="591"/>
      <c r="W109" s="591"/>
      <c r="X109" s="62" t="e">
        <f>IF($J97=$A$145,0,VLOOKUP(CONCATENATE($J97,"-",$R109),$C$2:$G$136,3,FALSE))</f>
        <v>#N/A</v>
      </c>
      <c r="Y109" s="62" t="e">
        <f>IF($J97=$A$145,0,VLOOKUP(CONCATENATE($J97,"-",$R109),$C$2:$G$136,4,FALSE))</f>
        <v>#N/A</v>
      </c>
      <c r="Z109" s="62" t="e">
        <f>IF($J97=$A$145,0,VLOOKUP(CONCATENATE($J97,"-",$R109),$C$2:$G$136,5,FALSE))</f>
        <v>#N/A</v>
      </c>
    </row>
    <row r="110" spans="1:26" ht="15" hidden="1" customHeight="1" x14ac:dyDescent="0.25">
      <c r="A110"/>
      <c r="B110"/>
      <c r="C110"/>
      <c r="D110"/>
      <c r="E110"/>
      <c r="F110"/>
      <c r="G110"/>
      <c r="I110" t="str">
        <f t="shared" ca="1" si="2"/>
        <v/>
      </c>
      <c r="J110" s="592" t="s">
        <v>175</v>
      </c>
      <c r="K110" s="592"/>
      <c r="L110" s="592"/>
      <c r="M110" s="592"/>
      <c r="N110" s="592"/>
      <c r="O110" s="592"/>
      <c r="P110" s="592"/>
      <c r="Q110" s="592"/>
      <c r="R110" s="65" t="s">
        <v>176</v>
      </c>
      <c r="S110" s="66">
        <f ca="1">IF($J97=$A$145,0,ROUND((((1+S101+S102+S103)*(1+S104)*(1+S105)/(1-(S106+S107+S108)))-1),4))</f>
        <v>0</v>
      </c>
    </row>
    <row r="111" spans="1:26" ht="25.5" hidden="1" customHeight="1" x14ac:dyDescent="0.25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6" hidden="1" x14ac:dyDescent="0.25">
      <c r="A112"/>
      <c r="B112"/>
      <c r="C112"/>
      <c r="D112"/>
      <c r="E112"/>
      <c r="F112"/>
      <c r="G112"/>
      <c r="I112" t="str">
        <f t="shared" ca="1" si="2"/>
        <v/>
      </c>
      <c r="J112" s="67" t="e">
        <f ca="1">IF(U109&lt;&gt;"ok","X","")</f>
        <v>#N/A</v>
      </c>
      <c r="K112" s="593" t="e">
        <f ca="1">IF(U109&lt;&gt;"ok","Anexo: Relatório Técnico Circunstanciado justificando a adoção do percentual de cada parcela do BDI.","")</f>
        <v>#N/A</v>
      </c>
      <c r="L112" s="593"/>
      <c r="M112" s="593"/>
      <c r="N112" s="593"/>
      <c r="O112" s="593"/>
      <c r="P112" s="593"/>
      <c r="Q112" s="593"/>
      <c r="R112" s="593"/>
      <c r="S112" s="593"/>
    </row>
    <row r="113" spans="1:19" hidden="1" x14ac:dyDescent="0.25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5">
      <c r="A114"/>
      <c r="B114"/>
      <c r="C114"/>
      <c r="D114"/>
      <c r="E114"/>
      <c r="F114"/>
      <c r="G114"/>
      <c r="I114" t="str">
        <f t="shared" ca="1" si="2"/>
        <v/>
      </c>
      <c r="J114" s="595" t="s">
        <v>178</v>
      </c>
      <c r="K114" s="595"/>
      <c r="L114" s="595"/>
      <c r="M114" s="595"/>
      <c r="N114" s="595"/>
      <c r="O114" s="595"/>
      <c r="P114" s="595"/>
      <c r="Q114" s="595"/>
      <c r="R114" s="595"/>
      <c r="S114" s="595"/>
    </row>
    <row r="115" spans="1:19" ht="15.6" hidden="1" x14ac:dyDescent="0.3">
      <c r="A115"/>
      <c r="B115"/>
      <c r="C115"/>
      <c r="D115"/>
      <c r="E115"/>
      <c r="F115"/>
      <c r="G115"/>
      <c r="I115" t="str">
        <f t="shared" ca="1" si="2"/>
        <v/>
      </c>
      <c r="J115" s="68"/>
      <c r="K115" s="68"/>
      <c r="L115" s="68"/>
      <c r="M115" s="596" t="s">
        <v>179</v>
      </c>
      <c r="N115" s="597" t="str">
        <f>IF($J97=$A$146,"(1+K1+K2)*(1+K3)","(1+AC + S + R + G)*(1 + DF)*(1+L)")</f>
        <v>(1+AC + S + R + G)*(1 + DF)*(1+L)</v>
      </c>
      <c r="O115" s="597"/>
      <c r="P115" s="597"/>
      <c r="Q115" s="598" t="s">
        <v>180</v>
      </c>
      <c r="R115" s="68"/>
      <c r="S115" s="68"/>
    </row>
    <row r="116" spans="1:19" ht="15.6" hidden="1" x14ac:dyDescent="0.25">
      <c r="A116"/>
      <c r="B116"/>
      <c r="C116"/>
      <c r="D116"/>
      <c r="E116"/>
      <c r="F116"/>
      <c r="G116"/>
      <c r="I116" t="str">
        <f t="shared" ca="1" si="2"/>
        <v/>
      </c>
      <c r="J116" s="68"/>
      <c r="K116" s="68"/>
      <c r="L116" s="68"/>
      <c r="M116" s="596"/>
      <c r="N116" s="588" t="s">
        <v>181</v>
      </c>
      <c r="O116" s="588"/>
      <c r="P116" s="588"/>
      <c r="Q116" s="598"/>
      <c r="R116" s="68"/>
      <c r="S116" s="68"/>
    </row>
    <row r="117" spans="1:19" ht="15" hidden="1" customHeight="1" x14ac:dyDescent="0.25">
      <c r="A117"/>
      <c r="B117"/>
      <c r="C117"/>
      <c r="D117"/>
      <c r="E117"/>
      <c r="F117"/>
      <c r="G117"/>
      <c r="I117" t="str">
        <f t="shared" ca="1" si="2"/>
        <v/>
      </c>
      <c r="J117" s="68"/>
      <c r="K117" s="68"/>
      <c r="L117" s="68"/>
      <c r="M117" s="69"/>
      <c r="N117" s="71"/>
      <c r="O117" s="71"/>
      <c r="P117" s="71"/>
      <c r="Q117" s="70"/>
      <c r="R117" s="68"/>
      <c r="S117" s="68"/>
    </row>
    <row r="118" spans="1:19" ht="50.1" hidden="1" customHeight="1" x14ac:dyDescent="0.25">
      <c r="A118"/>
      <c r="B118"/>
      <c r="C118"/>
      <c r="D118"/>
      <c r="E118"/>
      <c r="F118"/>
      <c r="G118"/>
      <c r="I118" t="str">
        <f t="shared" ca="1" si="2"/>
        <v/>
      </c>
      <c r="J118" s="582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5%.</v>
      </c>
      <c r="K118" s="582"/>
      <c r="L118" s="582"/>
      <c r="M118" s="582"/>
      <c r="N118" s="582"/>
      <c r="O118" s="582"/>
      <c r="P118" s="582"/>
      <c r="Q118" s="582"/>
      <c r="R118" s="582"/>
      <c r="S118" s="582"/>
    </row>
    <row r="119" spans="1:19" hidden="1" x14ac:dyDescent="0.25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5">
      <c r="A120"/>
      <c r="B120"/>
      <c r="C120"/>
      <c r="D120"/>
      <c r="E120"/>
      <c r="F120"/>
      <c r="G120"/>
      <c r="I120" t="str">
        <f t="shared" ca="1" si="2"/>
        <v/>
      </c>
      <c r="J120" s="582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COM Desoneração, e que esta é a alternativa mais adequada para a Administração Pública.</v>
      </c>
      <c r="K120" s="582"/>
      <c r="L120" s="582"/>
      <c r="M120" s="582"/>
      <c r="N120" s="582"/>
      <c r="O120" s="582"/>
      <c r="P120" s="582"/>
      <c r="Q120" s="582"/>
      <c r="R120" s="582"/>
      <c r="S120" s="582"/>
    </row>
    <row r="121" spans="1:19" hidden="1" x14ac:dyDescent="0.25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5">
      <c r="A122"/>
      <c r="B122"/>
      <c r="C122"/>
      <c r="D122"/>
      <c r="E122"/>
      <c r="F122"/>
      <c r="G122"/>
      <c r="I122" t="str">
        <f t="shared" ca="1" si="2"/>
        <v/>
      </c>
      <c r="J122" s="49" t="s">
        <v>187</v>
      </c>
    </row>
    <row r="123" spans="1:19" ht="110.1" hidden="1" customHeight="1" x14ac:dyDescent="0.25">
      <c r="A123"/>
      <c r="B123"/>
      <c r="C123"/>
      <c r="D123"/>
      <c r="E123"/>
      <c r="F123"/>
      <c r="G123"/>
      <c r="I123" t="str">
        <f t="shared" ca="1" si="2"/>
        <v/>
      </c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</row>
    <row r="124" spans="1:19" hidden="1" x14ac:dyDescent="0.25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5">
      <c r="A125"/>
      <c r="B125"/>
      <c r="C125"/>
      <c r="D125"/>
      <c r="E125"/>
      <c r="F125"/>
      <c r="G125"/>
      <c r="I125" t="str">
        <f t="shared" ca="1" si="2"/>
        <v/>
      </c>
      <c r="J125" s="584" t="str">
        <f>Import.Município</f>
        <v>BOM JARDIM DE MINAS - MG</v>
      </c>
      <c r="K125" s="584"/>
      <c r="L125" s="584"/>
      <c r="M125" s="584"/>
      <c r="P125" s="585">
        <f ca="1">DADOS!$F$25</f>
        <v>45580</v>
      </c>
      <c r="Q125" s="585"/>
      <c r="R125" s="585"/>
      <c r="S125" s="585"/>
    </row>
    <row r="126" spans="1:19" hidden="1" x14ac:dyDescent="0.25">
      <c r="A126"/>
      <c r="B126"/>
      <c r="C126"/>
      <c r="D126"/>
      <c r="E126"/>
      <c r="F126"/>
      <c r="G126"/>
      <c r="I126" t="str">
        <f t="shared" ca="1" si="2"/>
        <v/>
      </c>
      <c r="J126" s="586" t="s">
        <v>188</v>
      </c>
      <c r="K126" s="586"/>
      <c r="L126" s="586"/>
      <c r="M126" s="586"/>
      <c r="O126" s="73"/>
      <c r="P126" s="74" t="s">
        <v>189</v>
      </c>
      <c r="Q126" s="75"/>
      <c r="R126" s="75"/>
      <c r="S126" s="75"/>
    </row>
    <row r="127" spans="1:19" ht="30" hidden="1" customHeight="1" x14ac:dyDescent="0.25">
      <c r="A127"/>
      <c r="B127"/>
      <c r="C127"/>
      <c r="D127"/>
      <c r="E127"/>
      <c r="F127"/>
      <c r="G127"/>
      <c r="I127" t="str">
        <f t="shared" ca="1" si="2"/>
        <v/>
      </c>
    </row>
    <row r="128" spans="1:19" ht="13.8" hidden="1" x14ac:dyDescent="0.25">
      <c r="A128"/>
      <c r="B128"/>
      <c r="C128"/>
      <c r="D128"/>
      <c r="E128"/>
      <c r="F128"/>
      <c r="G128"/>
      <c r="I128" t="str">
        <f t="shared" ca="1" si="2"/>
        <v/>
      </c>
      <c r="J128" s="587"/>
      <c r="K128" s="587"/>
      <c r="L128" s="587"/>
      <c r="M128" s="587"/>
      <c r="N128" s="76"/>
    </row>
    <row r="129" spans="1:14" hidden="1" x14ac:dyDescent="0.25">
      <c r="A129"/>
      <c r="B129"/>
      <c r="C129"/>
      <c r="D129"/>
      <c r="E129"/>
      <c r="F129"/>
      <c r="G129"/>
      <c r="I129" t="str">
        <f t="shared" ca="1" si="2"/>
        <v/>
      </c>
      <c r="J129" s="581" t="s">
        <v>190</v>
      </c>
      <c r="K129" s="581"/>
      <c r="L129" s="581"/>
      <c r="M129" s="581"/>
    </row>
    <row r="130" spans="1:14" ht="13.8" hidden="1" x14ac:dyDescent="0.25">
      <c r="A130"/>
      <c r="B130"/>
      <c r="C130"/>
      <c r="D130"/>
      <c r="E130"/>
      <c r="F130"/>
      <c r="G130"/>
      <c r="I130" t="str">
        <f t="shared" ca="1" si="2"/>
        <v/>
      </c>
      <c r="J130" s="77" t="s">
        <v>108</v>
      </c>
      <c r="K130" s="78" t="str">
        <f t="array" ref="K130:K132">Import.RespOrçamento</f>
        <v>RENNAN ROBERTO DUARTE DA SILVA</v>
      </c>
      <c r="L130" s="79"/>
      <c r="M130" s="79"/>
      <c r="N130" s="76"/>
    </row>
    <row r="131" spans="1:14" ht="13.8" hidden="1" x14ac:dyDescent="0.25">
      <c r="A131"/>
      <c r="B131"/>
      <c r="C131"/>
      <c r="D131"/>
      <c r="E131"/>
      <c r="F131"/>
      <c r="G131"/>
      <c r="I131" t="str">
        <f t="shared" ca="1" si="2"/>
        <v/>
      </c>
      <c r="J131" s="77" t="s">
        <v>109</v>
      </c>
      <c r="K131" s="78" t="str">
        <v>RJ2019107419D MG</v>
      </c>
      <c r="L131" s="79"/>
      <c r="M131" s="79"/>
      <c r="N131" s="76"/>
    </row>
    <row r="132" spans="1:14" ht="13.8" hidden="1" x14ac:dyDescent="0.25">
      <c r="A132"/>
      <c r="B132"/>
      <c r="C132"/>
      <c r="D132"/>
      <c r="E132"/>
      <c r="F132"/>
      <c r="G132"/>
      <c r="I132" t="str">
        <f t="shared" ca="1" si="2"/>
        <v/>
      </c>
      <c r="J132" s="77" t="s">
        <v>110</v>
      </c>
      <c r="K132" s="78" t="str">
        <v>MG20243409885</v>
      </c>
      <c r="L132" s="79"/>
      <c r="M132" s="79"/>
      <c r="N132" s="76"/>
    </row>
    <row r="133" spans="1:14" x14ac:dyDescent="0.25">
      <c r="A133"/>
      <c r="B133"/>
      <c r="C133"/>
      <c r="D133"/>
      <c r="E133"/>
      <c r="F133"/>
      <c r="G133"/>
    </row>
    <row r="134" spans="1:14" x14ac:dyDescent="0.25">
      <c r="A134"/>
      <c r="B134"/>
      <c r="C134"/>
      <c r="D134"/>
      <c r="E134"/>
      <c r="F134"/>
      <c r="G134"/>
    </row>
    <row r="135" spans="1:14" x14ac:dyDescent="0.25">
      <c r="A135"/>
      <c r="B135"/>
      <c r="C135"/>
      <c r="D135"/>
      <c r="E135"/>
      <c r="F135"/>
      <c r="G135"/>
    </row>
    <row r="136" spans="1:14" x14ac:dyDescent="0.25">
      <c r="A136"/>
      <c r="B136"/>
      <c r="C136"/>
      <c r="D136"/>
      <c r="E136"/>
      <c r="F136"/>
      <c r="G136"/>
    </row>
    <row r="137" spans="1:14" x14ac:dyDescent="0.25">
      <c r="A137"/>
      <c r="B137"/>
      <c r="C137"/>
      <c r="D137"/>
      <c r="E137"/>
      <c r="F137"/>
      <c r="G137"/>
    </row>
    <row r="138" spans="1:14" x14ac:dyDescent="0.25">
      <c r="A138" s="49" t="s">
        <v>408</v>
      </c>
    </row>
    <row r="139" spans="1:14" x14ac:dyDescent="0.25">
      <c r="A139" s="49" t="s">
        <v>141</v>
      </c>
    </row>
    <row r="140" spans="1:14" x14ac:dyDescent="0.25">
      <c r="A140" s="49" t="s">
        <v>152</v>
      </c>
    </row>
    <row r="141" spans="1:14" x14ac:dyDescent="0.25">
      <c r="A141" s="49" t="s">
        <v>155</v>
      </c>
    </row>
    <row r="142" spans="1:14" x14ac:dyDescent="0.25">
      <c r="A142" s="49" t="s">
        <v>165</v>
      </c>
    </row>
    <row r="143" spans="1:14" x14ac:dyDescent="0.25">
      <c r="A143" s="49" t="s">
        <v>167</v>
      </c>
    </row>
    <row r="144" spans="1:14" x14ac:dyDescent="0.25">
      <c r="A144" s="49" t="s">
        <v>177</v>
      </c>
    </row>
    <row r="145" spans="1:1" x14ac:dyDescent="0.25">
      <c r="A145" s="49" t="s">
        <v>182</v>
      </c>
    </row>
    <row r="146" spans="1:1" x14ac:dyDescent="0.25">
      <c r="A146" s="49" t="s">
        <v>183</v>
      </c>
    </row>
  </sheetData>
  <sheetProtection algorithmName="SHA-512" hashValue="712Hm8nhP5v2NGgth21CC8HT3ESTH9TfLt7L/8bzZh5RGaQ7IF+EUw2JKXqH+4zkxsmJAOVJgibqUDDxvgTiYA==" saltValue="HdiQ2uXQjor/NmLtf8iwkA==" spinCount="100000" sheet="1" objects="1" scenarios="1" autoFilter="0"/>
  <autoFilter ref="I11:I132" xr:uid="{00000000-0009-0000-0000-000003000000}">
    <filterColumn colId="0">
      <filters>
        <filter val="F"/>
      </filters>
    </filterColumn>
  </autoFilter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J11:Q11"/>
    <mergeCell ref="R11:S11"/>
    <mergeCell ref="J7:S7"/>
    <mergeCell ref="J8:S8"/>
    <mergeCell ref="J10:Q10"/>
    <mergeCell ref="R10:S10"/>
    <mergeCell ref="X19:X20"/>
    <mergeCell ref="Y19:Y20"/>
    <mergeCell ref="J17:S17"/>
    <mergeCell ref="Z19:Z20"/>
    <mergeCell ref="U19:W20"/>
    <mergeCell ref="J19:Q20"/>
    <mergeCell ref="R19:R20"/>
    <mergeCell ref="S19:S20"/>
    <mergeCell ref="J14:S14"/>
    <mergeCell ref="J16:S16"/>
    <mergeCell ref="J23:Q23"/>
    <mergeCell ref="U23:W23"/>
    <mergeCell ref="J21:Q21"/>
    <mergeCell ref="U21:W21"/>
    <mergeCell ref="J22:Q22"/>
    <mergeCell ref="U22:W22"/>
    <mergeCell ref="J25:Q25"/>
    <mergeCell ref="U25:W25"/>
    <mergeCell ref="J26:Q26"/>
    <mergeCell ref="U26:W26"/>
    <mergeCell ref="J27:Q27"/>
    <mergeCell ref="U27:W27"/>
    <mergeCell ref="J28:Q28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J40:S40"/>
    <mergeCell ref="J43:S43"/>
    <mergeCell ref="Y59:Y60"/>
    <mergeCell ref="Z59:Z60"/>
    <mergeCell ref="J59:Q60"/>
    <mergeCell ref="R59:R60"/>
    <mergeCell ref="S59:S60"/>
    <mergeCell ref="U59:W60"/>
    <mergeCell ref="X59:X60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J65:Q65"/>
    <mergeCell ref="U65:W65"/>
    <mergeCell ref="J66:Q66"/>
    <mergeCell ref="U66:W66"/>
    <mergeCell ref="U67:W67"/>
    <mergeCell ref="J68:Q68"/>
    <mergeCell ref="U68:W68"/>
    <mergeCell ref="J94:S94"/>
    <mergeCell ref="J85:M85"/>
    <mergeCell ref="P85:S85"/>
    <mergeCell ref="J67:Q67"/>
    <mergeCell ref="J78:S78"/>
    <mergeCell ref="J70:Q70"/>
    <mergeCell ref="K72:S72"/>
    <mergeCell ref="J89:M89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Y99:Y100"/>
    <mergeCell ref="Z99:Z100"/>
    <mergeCell ref="J99:Q100"/>
    <mergeCell ref="R99:R100"/>
    <mergeCell ref="S99:S100"/>
    <mergeCell ref="X99:X100"/>
    <mergeCell ref="J101:Q101"/>
    <mergeCell ref="U101:W101"/>
    <mergeCell ref="J96:S96"/>
    <mergeCell ref="J97:S97"/>
    <mergeCell ref="U99:W100"/>
    <mergeCell ref="U108:W108"/>
    <mergeCell ref="J109:Q109"/>
    <mergeCell ref="U109:W109"/>
    <mergeCell ref="J110:Q110"/>
    <mergeCell ref="K112:S112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2:Q102"/>
    <mergeCell ref="U102:W102"/>
    <mergeCell ref="U105:W105"/>
    <mergeCell ref="J106:Q106"/>
    <mergeCell ref="U106:W106"/>
    <mergeCell ref="J104:Q104"/>
    <mergeCell ref="U104:W104"/>
    <mergeCell ref="U103:W103"/>
    <mergeCell ref="U107:W107"/>
    <mergeCell ref="J129:M129"/>
    <mergeCell ref="J120:S120"/>
    <mergeCell ref="J123:S123"/>
    <mergeCell ref="J125:M125"/>
    <mergeCell ref="P125:S125"/>
    <mergeCell ref="J126:M126"/>
    <mergeCell ref="J128:M128"/>
    <mergeCell ref="N116:P116"/>
    <mergeCell ref="J108:Q108"/>
  </mergeCells>
  <phoneticPr fontId="38" type="noConversion"/>
  <conditionalFormatting sqref="J30:S30 J70:S70 J110:S110">
    <cfRule type="expression" dxfId="234" priority="2" stopIfTrue="1">
      <formula>DESONERACAO="não"</formula>
    </cfRule>
  </conditionalFormatting>
  <conditionalFormatting sqref="U29:W29 U69:W69 U109:W109">
    <cfRule type="expression" dxfId="233" priority="3" stopIfTrue="1">
      <formula>AND(U29&lt;&gt;"OK",U29&lt;&gt;"-",U29&lt;&gt;"")</formula>
    </cfRule>
    <cfRule type="cellIs" dxfId="232" priority="4" stopIfTrue="1" operator="equal">
      <formula>"OK"</formula>
    </cfRule>
  </conditionalFormatting>
  <conditionalFormatting sqref="S29 S69 S109">
    <cfRule type="expression" dxfId="231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 xr:uid="{00000000-0002-0000-0300-000000000000}">
      <formula1>0</formula1>
      <formula2>1</formula2>
    </dataValidation>
    <dataValidation type="decimal" allowBlank="1" showErrorMessage="1" errorTitle="Erro de valores" error="Digite um valor maior do que 0." sqref="S27 S67 S107" xr:uid="{00000000-0002-0000-0300-000001000000}">
      <formula1>0</formula1>
      <formula2>1</formula2>
    </dataValidation>
    <dataValidation operator="greaterThanOrEqual" allowBlank="1" showErrorMessage="1" errorTitle="Erro de valores" error="Digite um valor igual a 0% ou 2%." sqref="S28 S68 S108" xr:uid="{00000000-0002-0000-0300-000002000000}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 xr:uid="{00000000-0002-0000-0300-000003000000}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 xr:uid="{00000000-0002-0000-0300-000004000000}">
      <formula1>0</formula1>
      <formula2>1</formula2>
    </dataValidation>
    <dataValidation type="list" allowBlank="1" showErrorMessage="1" sqref="J17:S17 J57:S57 J97:S97" xr:uid="{00000000-0002-0000-0300-000005000000}">
      <formula1>BDI.TipoObra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79" firstPageNumber="0" fitToHeight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 filterMode="1">
    <pageSetUpPr fitToPage="1"/>
  </sheetPr>
  <dimension ref="A1:AN49"/>
  <sheetViews>
    <sheetView showGridLines="0" zoomScale="90" zoomScaleNormal="90" zoomScaleSheetLayoutView="90" workbookViewId="0">
      <pane xSplit="19" ySplit="15" topLeftCell="T16" activePane="bottomRight" state="frozen"/>
      <selection activeCell="L1" sqref="L1"/>
      <selection pane="topRight" activeCell="T1" sqref="T1"/>
      <selection pane="bottomLeft" activeCell="L16" sqref="L16"/>
      <selection pane="bottomRight" activeCell="R28" sqref="R28"/>
    </sheetView>
  </sheetViews>
  <sheetFormatPr defaultRowHeight="13.2" x14ac:dyDescent="0.25"/>
  <cols>
    <col min="1" max="1" width="5.5546875" hidden="1" customWidth="1"/>
    <col min="2" max="2" width="10.44140625" hidden="1" customWidth="1"/>
    <col min="3" max="3" width="5.5546875" hidden="1" customWidth="1"/>
    <col min="4" max="4" width="12.88671875" hidden="1" customWidth="1"/>
    <col min="5" max="5" width="8.6640625" hidden="1" customWidth="1"/>
    <col min="6" max="6" width="12.44140625" hidden="1" customWidth="1"/>
    <col min="7" max="7" width="14.5546875" hidden="1" customWidth="1"/>
    <col min="8" max="8" width="11.33203125" hidden="1" customWidth="1"/>
    <col min="9" max="9" width="13.44140625" hidden="1" customWidth="1"/>
    <col min="10" max="10" width="7.33203125" hidden="1" customWidth="1"/>
    <col min="11" max="11" width="7.5546875" hidden="1" customWidth="1"/>
    <col min="12" max="12" width="3.6640625" customWidth="1"/>
    <col min="13" max="14" width="8.6640625" customWidth="1"/>
    <col min="15" max="15" width="12.6640625" customWidth="1"/>
    <col min="16" max="17" width="15.6640625" customWidth="1"/>
    <col min="18" max="18" width="65.6640625" customWidth="1"/>
    <col min="19" max="19" width="10.6640625" customWidth="1"/>
    <col min="20" max="21" width="14.6640625" customWidth="1"/>
    <col min="22" max="22" width="10.6640625" customWidth="1"/>
    <col min="23" max="23" width="14.6640625" customWidth="1"/>
    <col min="24" max="24" width="15.6640625" customWidth="1"/>
    <col min="25" max="25" width="3.6640625" customWidth="1"/>
    <col min="26" max="26" width="3.6640625" hidden="1" customWidth="1"/>
    <col min="27" max="28" width="14.6640625" hidden="1" customWidth="1"/>
    <col min="29" max="29" width="15.6640625" customWidth="1"/>
    <col min="30" max="31" width="9.109375" hidden="1" customWidth="1"/>
    <col min="32" max="32" width="15.5546875" hidden="1" customWidth="1"/>
    <col min="33" max="33" width="15.6640625" customWidth="1"/>
    <col min="35" max="35" width="1.6640625" customWidth="1"/>
    <col min="36" max="36" width="14.6640625" customWidth="1"/>
    <col min="37" max="37" width="1.6640625" customWidth="1"/>
    <col min="38" max="38" width="14.6640625" customWidth="1"/>
    <col min="39" max="40" width="15.6640625" customWidth="1"/>
  </cols>
  <sheetData>
    <row r="1" spans="1:40" ht="17.399999999999999" x14ac:dyDescent="0.25">
      <c r="M1" s="81"/>
      <c r="N1" s="81"/>
      <c r="R1" s="82" t="s">
        <v>193</v>
      </c>
      <c r="T1" s="82"/>
      <c r="X1" s="52" t="s">
        <v>140</v>
      </c>
      <c r="Y1" s="7"/>
      <c r="Z1" s="7"/>
      <c r="AA1" s="7"/>
      <c r="AB1" s="7"/>
    </row>
    <row r="2" spans="1:40" ht="15" x14ac:dyDescent="0.25"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  <c r="R2" s="83" t="str">
        <f>IF(TIPOORCAMENTO="licitado","Orçamento Licitado","Orçamento Base para Licitação")&amp;" - "&amp;import.recurso</f>
        <v>Orçamento Base para Licitação - OGU</v>
      </c>
      <c r="X2" s="12" t="s">
        <v>143</v>
      </c>
      <c r="Y2" s="84"/>
      <c r="Z2" s="84"/>
      <c r="AA2" s="84"/>
      <c r="AB2" s="84"/>
    </row>
    <row r="3" spans="1:40" x14ac:dyDescent="0.25">
      <c r="H3" s="85"/>
      <c r="R3" s="86"/>
    </row>
    <row r="4" spans="1:40" x14ac:dyDescent="0.25">
      <c r="A4" t="s">
        <v>201</v>
      </c>
      <c r="F4" t="s">
        <v>156</v>
      </c>
      <c r="G4" t="s">
        <v>191</v>
      </c>
      <c r="H4" t="s">
        <v>192</v>
      </c>
      <c r="I4" s="87">
        <v>0</v>
      </c>
      <c r="O4" s="601" t="s">
        <v>146</v>
      </c>
      <c r="P4" s="601"/>
      <c r="Q4" s="88" t="s">
        <v>442</v>
      </c>
      <c r="R4" s="88" t="s">
        <v>147</v>
      </c>
      <c r="S4" s="601" t="s">
        <v>202</v>
      </c>
      <c r="T4" s="601"/>
      <c r="U4" s="601"/>
      <c r="V4" s="601"/>
      <c r="W4" s="601"/>
      <c r="X4" s="601"/>
      <c r="Y4" s="77"/>
      <c r="Z4" s="77"/>
      <c r="AA4" s="77"/>
      <c r="AB4" s="77"/>
    </row>
    <row r="5" spans="1:40" ht="12.75" customHeight="1" x14ac:dyDescent="0.25">
      <c r="A5" s="7">
        <f ca="1">MAX($C$15:$C$32)</f>
        <v>2</v>
      </c>
      <c r="B5" s="7"/>
      <c r="C5" s="7"/>
      <c r="F5" s="87">
        <f ca="1">IF(BDI.Opcao="DESONERADO",BDI!$S$30,BDI!$S$29)</f>
        <v>0.26840000000000003</v>
      </c>
      <c r="G5" s="87">
        <f ca="1">IF(BDI.Opcao="DESONERADO",BDI!$S$70,BDI!$S$69)</f>
        <v>0</v>
      </c>
      <c r="H5" s="87">
        <f ca="1">IF(BDI.Opcao="DESONERADO",BDI!$S$110,BDI!$S$109)</f>
        <v>0</v>
      </c>
      <c r="O5" s="604">
        <f>Import.CR</f>
        <v>0</v>
      </c>
      <c r="P5" s="604"/>
      <c r="Q5" s="91" cm="1">
        <f t="array" ref="Q5">Import.TransfereGOV</f>
        <v>0</v>
      </c>
      <c r="R5" s="92" t="str">
        <f>Import.Proponente</f>
        <v>PREFEITURA MUNICIPAL DE BOM JARDIM DE MINAS</v>
      </c>
      <c r="S5" s="604" t="str">
        <f>Import.Apelido</f>
        <v>REFORMA - COLÉGIO TABOÃO</v>
      </c>
      <c r="T5" s="604"/>
      <c r="U5" s="604"/>
      <c r="V5" s="604"/>
      <c r="W5" s="604"/>
      <c r="X5" s="604"/>
      <c r="Y5" s="93"/>
      <c r="Z5" s="93"/>
      <c r="AA5" s="93"/>
      <c r="AB5" s="93"/>
      <c r="AE5" s="611" t="s">
        <v>200</v>
      </c>
      <c r="AF5" s="611"/>
    </row>
    <row r="6" spans="1:40" ht="5.0999999999999996" customHeight="1" x14ac:dyDescent="0.25">
      <c r="A6" s="7"/>
      <c r="B6" s="7"/>
      <c r="C6" s="7"/>
      <c r="H6" s="85"/>
      <c r="O6" s="94"/>
      <c r="P6" s="94"/>
      <c r="Q6" s="95"/>
      <c r="R6" s="95"/>
      <c r="S6" s="94"/>
      <c r="T6" s="94"/>
      <c r="U6" s="94"/>
      <c r="V6" s="94"/>
      <c r="W6" s="94"/>
      <c r="X6" s="94"/>
      <c r="Y6" s="93"/>
      <c r="Z6" s="93"/>
      <c r="AA6" s="93"/>
      <c r="AB6" s="93"/>
      <c r="AC6" s="96"/>
      <c r="AE6" s="89"/>
      <c r="AF6" s="90"/>
    </row>
    <row r="7" spans="1:40" ht="12.75" customHeight="1" x14ac:dyDescent="0.25">
      <c r="H7" s="85"/>
      <c r="O7" s="601" t="s">
        <v>204</v>
      </c>
      <c r="P7" s="601"/>
      <c r="Q7" s="88" t="s">
        <v>205</v>
      </c>
      <c r="R7" s="88" t="str">
        <f>IF(TIPOORCAMENTO="Licitado","NOME DA EMPRESA","DESCRIÇÃO DO LOTE")</f>
        <v>DESCRIÇÃO DO LOTE</v>
      </c>
      <c r="S7" s="612" t="str">
        <f>IF(TIPOORCAMENTO="Licitado","REGIME DE EXECUÇÃO","MUNICÍPIO / UF")</f>
        <v>MUNICÍPIO / UF</v>
      </c>
      <c r="T7" s="612"/>
      <c r="U7" s="612"/>
      <c r="V7" s="98" t="str">
        <f>IF(TIPOORCAMENTO="Licitado","","BDI 1")</f>
        <v>BDI 1</v>
      </c>
      <c r="W7" s="98" t="str">
        <f>IF(TIPOORCAMENTO="Licitado","","BDI 2")</f>
        <v>BDI 2</v>
      </c>
      <c r="X7" s="99" t="str">
        <f>IF(TIPOORCAMENTO="Licitado","Nº CTEF","BDI 3")</f>
        <v>BDI 3</v>
      </c>
      <c r="Y7" s="98"/>
      <c r="Z7" s="98"/>
      <c r="AE7" s="89" t="s">
        <v>203</v>
      </c>
      <c r="AF7" s="90" t="b">
        <v>1</v>
      </c>
      <c r="AJ7" s="615" t="s">
        <v>207</v>
      </c>
      <c r="AL7" s="613" t="s">
        <v>208</v>
      </c>
    </row>
    <row r="8" spans="1:40" ht="12.75" customHeight="1" x14ac:dyDescent="0.25">
      <c r="A8" s="7"/>
      <c r="B8" s="7"/>
      <c r="C8" s="7"/>
      <c r="F8" s="616" t="str">
        <f ca="1">IF(LEN(INFO("release"))&gt;5,"'Referência "&amp;Excel_BuiltIn_Database&amp;".xlsm'#Banco.$a5:$a$65536","'[Referência "&amp;Excel_BuiltIn_Database&amp;".xlsm]Banco'!$a5:$a$65536")</f>
        <v>'[Referência 09-2024.xlsm]Banco'!$a5:$a$65536</v>
      </c>
      <c r="G8" s="616"/>
      <c r="H8" s="616"/>
      <c r="I8" s="616"/>
      <c r="J8" s="616"/>
      <c r="K8" s="616"/>
      <c r="L8" s="594" t="s">
        <v>209</v>
      </c>
      <c r="O8" s="604" t="str">
        <f ca="1">IF(ISERROR(INDIRECT($F$9)),"(N/D: 'Referência "&amp;Excel_BuiltIn_Database&amp;".xlsm)",INDIRECT($F$9))</f>
        <v>FLORIANOPOLIS</v>
      </c>
      <c r="P8" s="604"/>
      <c r="Q8" s="100" t="str">
        <f ca="1">TEXT(Import.DataBase,"mm-aa")&amp;IF(DESONERACAO="Sim"," (DES.)"," (N DES.)")</f>
        <v>09-24 (DES.)</v>
      </c>
      <c r="R8" s="92">
        <f>IF(TIPOORCAMENTO="Licitado",Import.empresa,Import.DescLote)</f>
        <v>0</v>
      </c>
      <c r="S8" s="617" t="str">
        <f>IF(TIPOORCAMENTO="Licitado",Import.RegimeExecução,Import.Município)</f>
        <v>BOM JARDIM DE MINAS - MG</v>
      </c>
      <c r="T8" s="617"/>
      <c r="U8" s="617"/>
      <c r="V8" s="101" t="str">
        <f ca="1">IF(TIPOORCAMENTO="Licitado","",TEXT(F5,"0,00%"))</f>
        <v>26,84%</v>
      </c>
      <c r="W8" s="101" t="str">
        <f ca="1">IF(TIPOORCAMENTO="Licitado","",TEXT(G5,"0,00%"))</f>
        <v>0,00%</v>
      </c>
      <c r="X8" s="102" t="str">
        <f ca="1">IF(TIPOORCAMENTO="Licitado",Import.CTEF,TEXT(H5,"0,00%"))</f>
        <v>0,00%</v>
      </c>
      <c r="Y8" s="594" t="s">
        <v>210</v>
      </c>
      <c r="Z8" s="594" t="s">
        <v>211</v>
      </c>
      <c r="AA8" s="103"/>
      <c r="AB8" s="103"/>
      <c r="AE8" s="89" t="s">
        <v>206</v>
      </c>
      <c r="AF8" s="90" t="b">
        <v>1</v>
      </c>
      <c r="AJ8" s="615"/>
      <c r="AL8" s="613"/>
    </row>
    <row r="9" spans="1:40" ht="12.75" customHeight="1" x14ac:dyDescent="0.25">
      <c r="F9" s="616" t="str">
        <f ca="1">IF(LEN(INFO("release"))&gt;5,"'Referência "&amp;Excel_BuiltIn_Database&amp;".xlsm'#Banco.$d$3","'[Referência "&amp;Excel_BuiltIn_Database&amp;".xlsm]Banco'!$d$3")</f>
        <v>'[Referência 09-2024.xlsm]Banco'!$d$3</v>
      </c>
      <c r="G9" s="616"/>
      <c r="H9" s="616"/>
      <c r="I9" s="616"/>
      <c r="J9" s="616"/>
      <c r="K9" s="616"/>
      <c r="L9" s="594"/>
      <c r="Y9" s="594"/>
      <c r="Z9" s="594"/>
      <c r="AE9" s="89" t="s">
        <v>212</v>
      </c>
      <c r="AF9" s="90" t="b">
        <v>1</v>
      </c>
      <c r="AJ9" s="615"/>
      <c r="AL9" s="613"/>
    </row>
    <row r="10" spans="1:40" x14ac:dyDescent="0.25">
      <c r="G10" s="85"/>
      <c r="H10" s="85"/>
      <c r="L10" s="594"/>
      <c r="Y10" s="594"/>
      <c r="Z10" s="594"/>
      <c r="AC10" s="104" t="s">
        <v>214</v>
      </c>
      <c r="AE10" s="89" t="s">
        <v>213</v>
      </c>
      <c r="AF10" s="90" t="b">
        <v>1</v>
      </c>
      <c r="AJ10" s="615"/>
      <c r="AL10" s="613"/>
    </row>
    <row r="11" spans="1:40" x14ac:dyDescent="0.25">
      <c r="G11" s="85"/>
      <c r="H11" s="105"/>
      <c r="L11" s="594"/>
      <c r="Y11" s="594"/>
      <c r="Z11" s="594"/>
      <c r="AC11" s="106" t="str">
        <f ca="1">IF(COUNTIF($AC$15:OFFSET($AC$32,-1,0),"DESCRIÇÃO")+COUNTIF($AC$15:OFFSET($AC$32,-1,0),"UNIDADE")+COUNTIF($AC$15:OFFSET($AC$32,-1,0),"SEM VALOR")&gt;0,"NÃO OK","OK")</f>
        <v>OK</v>
      </c>
      <c r="AE11" s="89" t="s">
        <v>215</v>
      </c>
      <c r="AF11" s="90" t="b">
        <v>1</v>
      </c>
      <c r="AJ11" s="615"/>
      <c r="AL11" s="613"/>
    </row>
    <row r="12" spans="1:40" x14ac:dyDescent="0.25">
      <c r="G12" s="85"/>
      <c r="H12" s="85"/>
      <c r="L12" s="594"/>
      <c r="Y12" s="594"/>
      <c r="Z12" s="594"/>
      <c r="AA12" s="614" t="s">
        <v>216</v>
      </c>
      <c r="AB12" s="614"/>
      <c r="AJ12" s="107" t="s">
        <v>217</v>
      </c>
      <c r="AL12" s="550" t="s">
        <v>217</v>
      </c>
    </row>
    <row r="13" spans="1:40" ht="35.1" customHeight="1" x14ac:dyDescent="0.25">
      <c r="A13" s="108" t="s">
        <v>218</v>
      </c>
      <c r="B13" s="108" t="s">
        <v>219</v>
      </c>
      <c r="C13" s="108" t="s">
        <v>220</v>
      </c>
      <c r="D13" s="108" t="s">
        <v>221</v>
      </c>
      <c r="E13" s="108" t="s">
        <v>222</v>
      </c>
      <c r="F13" s="108" t="s">
        <v>223</v>
      </c>
      <c r="G13" s="108" t="s">
        <v>224</v>
      </c>
      <c r="H13" s="108" t="s">
        <v>225</v>
      </c>
      <c r="I13" s="108" t="s">
        <v>226</v>
      </c>
      <c r="J13" s="108" t="s">
        <v>227</v>
      </c>
      <c r="K13" s="108" t="s">
        <v>228</v>
      </c>
      <c r="L13" s="107" t="s">
        <v>217</v>
      </c>
      <c r="M13" s="108" t="s">
        <v>229</v>
      </c>
      <c r="N13" s="109" t="s">
        <v>230</v>
      </c>
      <c r="O13" s="108" t="s">
        <v>231</v>
      </c>
      <c r="P13" s="108" t="s">
        <v>232</v>
      </c>
      <c r="Q13" s="108" t="s">
        <v>233</v>
      </c>
      <c r="R13" s="108" t="s">
        <v>234</v>
      </c>
      <c r="S13" s="110" t="s">
        <v>235</v>
      </c>
      <c r="T13" s="108" t="s">
        <v>203</v>
      </c>
      <c r="U13" s="108" t="str">
        <f>IF(TIPOORCAMENTO="Licitado","","Custo Unitário (sem BDI) (R$)")</f>
        <v>Custo Unitário (sem BDI) (R$)</v>
      </c>
      <c r="V13" s="108" t="str">
        <f>IF(TIPOORCAMENTO="Licitado","","BDI
(%)")</f>
        <v>BDI
(%)</v>
      </c>
      <c r="W13" s="108" t="s">
        <v>236</v>
      </c>
      <c r="X13" s="108" t="s">
        <v>237</v>
      </c>
      <c r="Y13" s="107" t="s">
        <v>217</v>
      </c>
      <c r="Z13" s="107" t="s">
        <v>217</v>
      </c>
      <c r="AA13" s="111" t="s">
        <v>238</v>
      </c>
      <c r="AB13" s="112" t="s">
        <v>239</v>
      </c>
      <c r="AC13" s="108" t="s">
        <v>240</v>
      </c>
      <c r="AD13" s="113" t="s">
        <v>241</v>
      </c>
      <c r="AE13" s="113" t="s">
        <v>242</v>
      </c>
      <c r="AF13" s="113" t="s">
        <v>243</v>
      </c>
      <c r="AG13" s="167" t="s">
        <v>417</v>
      </c>
      <c r="AH13" s="496" t="str">
        <f>IF(TIPOORCAMENTO="LICITADO","Valor BDI Edital","Valor BDI")</f>
        <v>Valor BDI</v>
      </c>
      <c r="AJ13" s="336" t="s">
        <v>203</v>
      </c>
      <c r="AL13" s="336" t="s">
        <v>236</v>
      </c>
      <c r="AM13" s="167" t="s">
        <v>244</v>
      </c>
      <c r="AN13" s="168" t="s">
        <v>413</v>
      </c>
    </row>
    <row r="14" spans="1:40" ht="13.8" hidden="1" x14ac:dyDescent="0.3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IF($C14=1,OFFSET(E14,-1,0)+MAX(1,COUNTIF(QCI!$A$13:$A$24,OFFSET(ORÇAMENTO!E14,-1,0))),OFFSET(E14,-1,0))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IF(OR($C14="S",$C14=0),0,MATCH(0,OFFSET($D14,1,$C14,ROW($C$32)-ROW($C14)),0))</f>
        <v>0</v>
      </c>
      <c r="K14">
        <f ca="1">IF(OR($C14="S",$C14=0),0,MATCH(OFFSET($D14,0,$C14)+IF($C14&lt;&gt;1,1,COUNTIF(QCI!$A$13:$A$24,ORÇAMENTO!E14)),OFFSET($D14,1,$C14,ROW($C$32)-ROW($C14)),0))</f>
        <v>0</v>
      </c>
      <c r="L14" s="115" t="str">
        <f ca="1">IF(OR($X14&gt;0,$C14=1,$C14=2,$C14=3,$C14=4),"F","")</f>
        <v/>
      </c>
      <c r="M14" s="116" t="s">
        <v>199</v>
      </c>
      <c r="N14" s="117" t="str">
        <f ca="1">CHOOSE(1+LOG(1+2*(C14=1)+4*(C14=2)+8*(C14=3)+16*(C14=4)+32*(C14="S"),2),"","Meta","Nível 2","Nível 3","Nível 4","Serviço")</f>
        <v>Serviço</v>
      </c>
      <c r="O14" s="118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19" t="s">
        <v>247</v>
      </c>
      <c r="Q14" s="120"/>
      <c r="R14" s="121" t="str">
        <f ca="1">IF($C14="S",REFERENCIA.Descricao,"(digite a descrição aqui)")</f>
        <v>(Sem Código)</v>
      </c>
      <c r="S14" s="122" t="str">
        <f ca="1">REFERENCIA.Unidade</f>
        <v>-</v>
      </c>
      <c r="T14" s="123">
        <f ca="1">OFFSET(CÁLCULO!H$15,ROW($T14)-ROW(T$15),0)</f>
        <v>0</v>
      </c>
      <c r="U14" s="124"/>
      <c r="V14" s="125" t="s">
        <v>156</v>
      </c>
      <c r="W14" s="123">
        <f ca="1">IF($C14="S",ROUND(IF(TIPOORCAMENTO="Proposto",ORÇAMENTO.CustoUnitario*(1+$AH14),ORÇAMENTO.PrecoUnitarioLicitado),15-13*$AF$10),0)</f>
        <v>0</v>
      </c>
      <c r="X14" s="126">
        <f ca="1">IF($C14="S",IF(Import.TipoArredondamento&lt;&gt;"TransfereGOV",VTOTAL1,SUM(OFFSET(CÁLCULO!$AA$15,ROW($X14)-ROW($X$15),1):OFFSET(CÁLCULO!$AL$15,ROW($X14)-ROW($X$15),-1))),IF($C14=0,0,ROUND(SomaAgrup,15-13*$AF$11)))</f>
        <v>0</v>
      </c>
      <c r="Y14" s="127" t="s">
        <v>245</v>
      </c>
      <c r="Z14" t="str">
        <f ca="1">IF(AND($C14="S",$X14&gt;0),IF(ISBLANK($Y14),"RA",LEFT($Y14,2)),"")</f>
        <v/>
      </c>
      <c r="AA14" s="128">
        <f ca="1">IF($C14="S",IF($Z14="CP",$X14,IF($Z14="RA",(($X14)*QCI!$AA$3),0)),SomaAgrup)</f>
        <v>0</v>
      </c>
      <c r="AB14" s="129">
        <f ca="1">IF($C14="S",IF($Z14="OU",ROUND($X14,2),0),SomaAgrup)</f>
        <v>0</v>
      </c>
      <c r="AC14" s="130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IF(C14&lt;=CRONO.NivelExibicao,MAX($AD$15:OFFSET(AD14,-1,0))+IF($C14&lt;&gt;1,1,MAX(1,COUNTIF(QCI!$A$13:$A$24,OFFSET($E14,-1,0)))),"")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"&amp;Excel_BuiltIn_Database&amp;".xlsm)",IF(OR($C14&lt;&gt;"S",ORÇAMENTO.CodBarra=""),"(Sem Código)",IF(ISERROR(MATCH($AE14,INDIRECT(ORÇAMENTO.BancoRef),0)),"(Código não identificado nas referências)",MATCH($AE14,INDIRECT(ORÇAMENTO.BancoRef),0))))</f>
        <v>(Sem Código)</v>
      </c>
      <c r="AG14" s="497">
        <f ca="1">ROUND(IF(DESONERACAO="sim",REFERENCIA.Desonerado,REFERENCIA.NaoDesonerado),2)</f>
        <v>0</v>
      </c>
      <c r="AH14" s="498">
        <f ca="1">ROUND(IF(ISNUMBER(ORÇAMENTO.OpcaoBDI),ORÇAMENTO.OpcaoBDI,IF(LEFT(ORÇAMENTO.OpcaoBDI,3)="BDI",HLOOKUP(ORÇAMENTO.OpcaoBDI,$F$4:$H$5,2,FALSE),0)),15-11*$AF$9)</f>
        <v>0.26840000000000003</v>
      </c>
      <c r="AJ14" s="500"/>
      <c r="AL14" s="526"/>
      <c r="AM14" s="380">
        <f t="shared" ref="AM14:AM31" ca="1" si="0">$X14</f>
        <v>0</v>
      </c>
      <c r="AN14" s="565">
        <f ca="1">ROUND(ORÇAMENTO.CustoUnitario*(1+$AH14),2)</f>
        <v>0</v>
      </c>
    </row>
    <row r="15" spans="1:40" ht="13.8" x14ac:dyDescent="0.3">
      <c r="A15">
        <v>0</v>
      </c>
      <c r="C15" t="s">
        <v>149</v>
      </c>
      <c r="D15">
        <f ca="1">COUNTA(OFFSET(D15,1,0):D$32)</f>
        <v>16</v>
      </c>
      <c r="E15">
        <v>0</v>
      </c>
      <c r="L15" s="115" t="s">
        <v>246</v>
      </c>
      <c r="M15" s="131" t="str">
        <f>IF(TIPOORCAMENTO="LICITADO","CTEF","LOTE")</f>
        <v>LOTE</v>
      </c>
      <c r="N15" s="131" t="str">
        <f>IF(TIPOORCAMENTO="LICITADO","CTEF","LOTE")</f>
        <v>LOTE</v>
      </c>
      <c r="O15" s="619">
        <f>Import.DescLote</f>
        <v>0</v>
      </c>
      <c r="P15" s="619"/>
      <c r="Q15" s="619"/>
      <c r="R15" s="619"/>
      <c r="S15" s="132"/>
      <c r="T15" s="133"/>
      <c r="U15" s="133"/>
      <c r="V15" s="134"/>
      <c r="W15" s="133"/>
      <c r="X15" s="135">
        <f ca="1">SUMIF(OFFSET($C15,1,0,ROW(X32)-ROW(X15)-1),"S",OFFSET(X15,1,0,ROW(X32)-ROW(X15)-1))</f>
        <v>99891.450000000012</v>
      </c>
      <c r="Y15" s="7"/>
      <c r="Z15" t="str">
        <f ca="1">IF(AND($C15="S",$X15&gt;0),LEFT($Y15,2),"")</f>
        <v/>
      </c>
      <c r="AA15" s="495">
        <f ca="1">SUMIF(OFFSET($C15,1,0,ROW(AA32)-ROW(AA15)-1),"S",OFFSET(AA15,1,0,ROW(AA32)-ROW(AA15)-1))</f>
        <v>441.95999999999191</v>
      </c>
      <c r="AB15" s="136">
        <f ca="1">SUMIF(OFFSET($C15,1,0,ROW(AB32)-ROW(AB15)-1),"S",OFFSET(AB15,1,0,ROW(AB32)-ROW(AB15)-1))</f>
        <v>0</v>
      </c>
      <c r="AC15" s="130"/>
      <c r="AG15" s="528"/>
      <c r="AH15" s="529"/>
      <c r="AJ15" s="499"/>
      <c r="AL15" s="527"/>
      <c r="AM15" s="566">
        <f t="shared" ca="1" si="0"/>
        <v>99891.450000000012</v>
      </c>
      <c r="AN15" s="567"/>
    </row>
    <row r="16" spans="1:40" ht="13.8" x14ac:dyDescent="0.3">
      <c r="A16" t="str">
        <f t="shared" ref="A16:A31" si="1">CHOOSE(1+LOG(1+2*(ORÇAMENTO.Nivel="Meta")+4*(ORÇAMENTO.Nivel="Nível 2")+8*(ORÇAMENTO.Nivel="Nível 3")+16*(ORÇAMENTO.Nivel="Nível 4")+32*(ORÇAMENTO.Nivel="Serviço"),2),0,1,2,3,4,"S")</f>
        <v>S</v>
      </c>
      <c r="B16">
        <f t="shared" ref="B16:B31" ca="1" si="2">IF(OR(C16="s",C16=0),OFFSET(B16,-1,0),C16)</f>
        <v>1</v>
      </c>
      <c r="C16">
        <f t="shared" ref="C16:C31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31" ca="1" si="4">IF(OR(C16="S",C16=0),0,IF(ISERROR(K16),J16,SMALL(J16:K16,1)))</f>
        <v>16</v>
      </c>
      <c r="E16">
        <f ca="1">IF($C16=1,OFFSET(E16,-1,0)+MAX(1,COUNTIF(QCI!$A$13:$A$24,OFFSET(ORÇAMENTO!E16,-1,0))),OFFSET(E16,-1,0))</f>
        <v>1</v>
      </c>
      <c r="F16">
        <f t="shared" ref="F16:F31" ca="1" si="5">IF($C16=1,0,IF($C16=2,OFFSET(F16,-1,0)+1,OFFSET(F16,-1,0)))</f>
        <v>0</v>
      </c>
      <c r="G16">
        <f t="shared" ref="G16:G31" ca="1" si="6">IF(AND($C16&lt;=2,$C16&lt;&gt;0),0,IF($C16=3,OFFSET(G16,-1,0)+1,OFFSET(G16,-1,0)))</f>
        <v>0</v>
      </c>
      <c r="H16">
        <f t="shared" ref="H16:H31" ca="1" si="7">IF(AND($C16&lt;=3,$C16&lt;&gt;0),0,IF($C16=4,OFFSET(H16,-1,0)+1,OFFSET(H16,-1,0)))</f>
        <v>0</v>
      </c>
      <c r="I16">
        <f t="shared" ref="I16:I31" ca="1" si="8">IF(AND($C16&lt;=4,$C16&lt;&gt;0),0,IF(AND($C16="S",$X16&gt;0),OFFSET(I16,-1,0)+1,OFFSET(I16,-1,0)))</f>
        <v>0</v>
      </c>
      <c r="J16">
        <f t="shared" ref="J16:J31" ca="1" si="9">IF(OR($C16="S",$C16=0),0,MATCH(0,OFFSET($D16,1,$C16,ROW($C$32)-ROW($C16)),0))</f>
        <v>16</v>
      </c>
      <c r="K16" t="e">
        <f ca="1">IF(OR($C16="S",$C16=0),0,MATCH(OFFSET($D16,0,$C16)+IF($C16&lt;&gt;1,1,COUNTIF(QCI!$A$13:$A$24,ORÇAMENTO!E16)),OFFSET($D16,1,$C16,ROW($C$32)-ROW($C16)),0))</f>
        <v>#N/A</v>
      </c>
      <c r="L16" s="115" t="str">
        <f t="shared" ref="L16:L31" ca="1" si="10">IF(OR($X16&gt;0,$C16=1,$C16=2,$C16=3,$C16=4),"F","")</f>
        <v>F</v>
      </c>
      <c r="M16" s="116" t="s">
        <v>199</v>
      </c>
      <c r="N16" s="117" t="str">
        <f t="shared" ref="N16:N31" ca="1" si="11">CHOOSE(1+LOG(1+2*(C16=1)+4*(C16=2)+8*(C16=3)+16*(C16=4)+32*(C16="S"),2),"","Meta","Nível 2","Nível 3","Nível 4","Serviço")</f>
        <v>Meta</v>
      </c>
      <c r="O16" s="118" t="str">
        <f t="shared" ref="O16:O31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19" t="s">
        <v>247</v>
      </c>
      <c r="Q16" s="120"/>
      <c r="R16" s="121" t="s">
        <v>472</v>
      </c>
      <c r="S16" s="122" t="str">
        <f ca="1">REFERENCIA.Unidade</f>
        <v>-</v>
      </c>
      <c r="T16" s="123">
        <f ca="1">OFFSET(CÁLCULO!H$15,ROW($T16)-ROW(T$15),0)</f>
        <v>0</v>
      </c>
      <c r="U16" s="124"/>
      <c r="V16" s="125" t="s">
        <v>156</v>
      </c>
      <c r="W16" s="123">
        <f ca="1">IF($C16="S",ROUND(IF(TIPOORCAMENTO="Proposto",ORÇAMENTO.CustoUnitario*(1+$AH16),ORÇAMENTO.PrecoUnitarioLicitado),15-13*$AF$10),0)</f>
        <v>0</v>
      </c>
      <c r="X16" s="126">
        <f ca="1">IF($C16="S",IF(Import.TipoArredondamento&lt;&gt;"TransfereGOV",VTOTAL1,SUM(OFFSET(CÁLCULO!$AA$15,ROW($X16)-ROW($X$15),1):OFFSET(CÁLCULO!$AL$15,ROW($X16)-ROW($X$15),-1))),IF($C16=0,0,ROUND(SomaAgrup,15-13*$AF$11)))</f>
        <v>99891.45</v>
      </c>
      <c r="Y16" s="127" t="s">
        <v>245</v>
      </c>
      <c r="Z16" t="str">
        <f t="shared" ref="Z16:Z31" ca="1" si="13">IF(AND($C16="S",$X16&gt;0),IF(ISBLANK($Y16),"RA",LEFT($Y16,2)),"")</f>
        <v/>
      </c>
      <c r="AA16" s="128">
        <f ca="1">IF($C16="S",IF($Z16="CP",$X16,IF($Z16="RA",(($X16)*QCI!$AA$3),0)),SomaAgrup)</f>
        <v>441.95999999999191</v>
      </c>
      <c r="AB16" s="129">
        <f t="shared" ref="AB16:AB31" ca="1" si="14">IF($C16="S",IF($Z16="OU",ROUND($X16,2),0),SomaAgrup)</f>
        <v>0</v>
      </c>
      <c r="AC16" s="130" t="str">
        <f ca="1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IF(C16&lt;=CRONO.NivelExibicao,MAX($AD$15:OFFSET(AD16,-1,0))+IF($C16&lt;&gt;1,1,MAX(1,COUNTIF(QCI!$A$13:$A$24,OFFSET($E16,-1,0)))),"")</f>
        <v>1</v>
      </c>
      <c r="AE16" s="7" t="b">
        <f ca="1">IF(AND($C16="S",ORÇAMENTO.CodBarra&lt;&gt;""),IF(ORÇAMENTO.Fonte="",ORÇAMENTO.CodBarra,CONCATENATE(ORÇAMENTO.Fonte," ",ORÇAMENTO.CodBarra)))</f>
        <v>0</v>
      </c>
      <c r="AF16" s="13" t="str">
        <f ca="1">IF(ISERROR(INDIRECT(ORÇAMENTO.BancoRef)),"(abra o arquivo 'Referência "&amp;Excel_BuiltIn_Database&amp;".xlsm)",IF(OR($C16&lt;&gt;"S",ORÇAMENTO.CodBarra=""),"(Sem Código)",IF(ISERROR(MATCH($AE16,INDIRECT(ORÇAMENTO.BancoRef),0)),"(Código não identificado nas referências)",MATCH($AE16,INDIRECT(ORÇAMENTO.BancoRef),0))))</f>
        <v>(Sem Código)</v>
      </c>
      <c r="AG16" s="497">
        <f ca="1">ROUND(IF(DESONERACAO="sim",REFERENCIA.Desonerado,REFERENCIA.NaoDesonerado),2)</f>
        <v>0</v>
      </c>
      <c r="AH16" s="498">
        <f t="shared" ref="AH16:AH31" ca="1" si="15">ROUND(IF(ISNUMBER(ORÇAMENTO.OpcaoBDI),ORÇAMENTO.OpcaoBDI,IF(LEFT(ORÇAMENTO.OpcaoBDI,3)="BDI",HLOOKUP(ORÇAMENTO.OpcaoBDI,$F$4:$H$5,2,FALSE),0)),15-11*$AF$9)</f>
        <v>0.26840000000000003</v>
      </c>
      <c r="AJ16" s="500"/>
      <c r="AL16" s="526"/>
      <c r="AM16" s="380">
        <f t="shared" ca="1" si="0"/>
        <v>99891.45</v>
      </c>
      <c r="AN16" s="565">
        <f t="shared" ref="AN16:AN31" ca="1" si="16">ROUND(ORÇAMENTO.CustoUnitario*(1+$AH16),2)</f>
        <v>0</v>
      </c>
    </row>
    <row r="17" spans="1:40" ht="13.8" x14ac:dyDescent="0.3">
      <c r="A17" t="str">
        <f t="shared" si="1"/>
        <v>S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IF($C17=1,OFFSET(E17,-1,0)+MAX(1,COUNTIF(QCI!$A$13:$A$24,OFFSET(ORÇAMENTO!E17,-1,0))),OFFSET(E17,-1,0))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15</v>
      </c>
      <c r="K17">
        <f ca="1">IF(OR($C17="S",$C17=0),0,MATCH(OFFSET($D17,0,$C17)+IF($C17&lt;&gt;1,1,COUNTIF(QCI!$A$13:$A$24,ORÇAMENTO!E17)),OFFSET($D17,1,$C17,ROW($C$32)-ROW($C17)),0))</f>
        <v>2</v>
      </c>
      <c r="L17" s="115" t="str">
        <f t="shared" ca="1" si="10"/>
        <v>F</v>
      </c>
      <c r="M17" s="116" t="s">
        <v>199</v>
      </c>
      <c r="N17" s="117" t="str">
        <f t="shared" ca="1" si="11"/>
        <v>Nível 2</v>
      </c>
      <c r="O17" s="118" t="str">
        <f t="shared" ca="1" si="12"/>
        <v>1.1.</v>
      </c>
      <c r="P17" s="119" t="s">
        <v>247</v>
      </c>
      <c r="Q17" s="120"/>
      <c r="R17" s="121" t="str">
        <f ca="1">IF($C17="S",REFERENCIA.Descricao,"(SERVIÇOS PRELIMINARES)")</f>
        <v>(SERVIÇOS PRELIMINARES)</v>
      </c>
      <c r="S17" s="122" t="str">
        <f ca="1">REFERENCIA.Unidade</f>
        <v>-</v>
      </c>
      <c r="T17" s="123">
        <f ca="1">OFFSET(CÁLCULO!H$15,ROW($T17)-ROW(T$15),0)</f>
        <v>0</v>
      </c>
      <c r="U17" s="124"/>
      <c r="V17" s="125" t="s">
        <v>156</v>
      </c>
      <c r="W17" s="123">
        <f ca="1">IF($C17="S",ROUND(IF(TIPOORCAMENTO="Proposto",ORÇAMENTO.CustoUnitario*(1+$AH17),ORÇAMENTO.PrecoUnitarioLicitado),15-13*$AF$10),0)</f>
        <v>0</v>
      </c>
      <c r="X17" s="126">
        <f ca="1">IF($C17="S",IF(Import.TipoArredondamento&lt;&gt;"TransfereGOV",VTOTAL1,SUM(OFFSET(CÁLCULO!$AA$15,ROW($X17)-ROW($X$15),1):OFFSET(CÁLCULO!$AL$15,ROW($X17)-ROW($X$15),-1))),IF($C17=0,0,ROUND(SomaAgrup,15-13*$AF$11)))</f>
        <v>1725.75</v>
      </c>
      <c r="Y17" s="127" t="s">
        <v>245</v>
      </c>
      <c r="Z17" t="str">
        <f t="shared" ca="1" si="13"/>
        <v/>
      </c>
      <c r="AA17" s="128">
        <f ca="1">IF($C17="S",IF($Z17="CP",$X17,IF($Z17="RA",(($X17)*QCI!$AA$3),0)),SomaAgrup)</f>
        <v>7.6354129407470408</v>
      </c>
      <c r="AB17" s="129">
        <f t="shared" ca="1" si="14"/>
        <v>0</v>
      </c>
      <c r="AC17" s="130" t="str">
        <f ca="1">IF($N17="","",IF(ORÇAMENTO.Descricao="","DESCRIÇÃO",IF(AND($C17="S",ORÇAMENTO.Unidade=""),"UNIDADE",IF($X17&lt;0,"VALOR NEGATIVO",IF(OR(AND(TIPOORCAMENTO="Proposto",$AG17&lt;&gt;"",$AG17&gt;0,ORÇAMENTO.CustoUnitario&gt;$AG17),AND(TIPOORCAMENTO="LICITADO",ORÇAMENTO.PrecoUnitarioLicitado&gt;$AN17)),"ACIMA REF.","")))))</f>
        <v/>
      </c>
      <c r="AD17">
        <f ca="1">IF(C17&lt;=CRONO.NivelExibicao,MAX($AD$15:OFFSET(AD17,-1,0))+IF($C17&lt;&gt;1,1,MAX(1,COUNTIF(QCI!$A$13:$A$24,OFFSET($E17,-1,0)))),"")</f>
        <v>2</v>
      </c>
      <c r="AE17" s="7" t="b">
        <f ca="1">IF(AND($C17="S",ORÇAMENTO.CodBarra&lt;&gt;""),IF(ORÇAMENTO.Fonte="",ORÇAMENTO.CodBarra,CONCATENATE(ORÇAMENTO.Fonte," ",ORÇAMENTO.CodBarra)))</f>
        <v>0</v>
      </c>
      <c r="AF17" s="13" t="str">
        <f ca="1">IF(ISERROR(INDIRECT(ORÇAMENTO.BancoRef)),"(abra o arquivo 'Referência "&amp;Excel_BuiltIn_Database&amp;".xlsm)",IF(OR($C17&lt;&gt;"S",ORÇAMENTO.CodBarra=""),"(Sem Código)",IF(ISERROR(MATCH($AE17,INDIRECT(ORÇAMENTO.BancoRef),0)),"(Código não identificado nas referências)",MATCH($AE17,INDIRECT(ORÇAMENTO.BancoRef),0))))</f>
        <v>(Sem Código)</v>
      </c>
      <c r="AG17" s="497">
        <f ca="1">ROUND(IF(DESONERACAO="sim",REFERENCIA.Desonerado,REFERENCIA.NaoDesonerado),2)</f>
        <v>0</v>
      </c>
      <c r="AH17" s="498">
        <f t="shared" ca="1" si="15"/>
        <v>0.26840000000000003</v>
      </c>
      <c r="AJ17" s="500"/>
      <c r="AL17" s="526"/>
      <c r="AM17" s="380">
        <f t="shared" ca="1" si="0"/>
        <v>1725.75</v>
      </c>
      <c r="AN17" s="565">
        <f t="shared" ca="1" si="16"/>
        <v>0</v>
      </c>
    </row>
    <row r="18" spans="1:40" ht="39.6" x14ac:dyDescent="0.3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IF($C18=1,OFFSET(E18,-1,0)+MAX(1,COUNTIF(QCI!$A$13:$A$24,OFFSET(ORÇAMENTO!E18,-1,0))),OFFSET(E18,-1,0))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1</v>
      </c>
      <c r="J18">
        <f t="shared" ca="1" si="9"/>
        <v>0</v>
      </c>
      <c r="K18">
        <f ca="1">IF(OR($C18="S",$C18=0),0,MATCH(OFFSET($D18,0,$C18)+IF($C18&lt;&gt;1,1,COUNTIF(QCI!$A$13:$A$24,ORÇAMENTO!E18)),OFFSET($D18,1,$C18,ROW($C$32)-ROW($C18)),0))</f>
        <v>0</v>
      </c>
      <c r="L18" s="115" t="str">
        <f t="shared" ca="1" si="10"/>
        <v>F</v>
      </c>
      <c r="M18" s="116" t="s">
        <v>199</v>
      </c>
      <c r="N18" s="117" t="str">
        <f t="shared" ca="1" si="11"/>
        <v>Serviço</v>
      </c>
      <c r="O18" s="118" t="str">
        <f t="shared" ca="1" si="12"/>
        <v>1.1.1.</v>
      </c>
      <c r="P18" s="119" t="s">
        <v>247</v>
      </c>
      <c r="Q18" s="120" t="s">
        <v>466</v>
      </c>
      <c r="R18" s="121" t="str">
        <f ca="1">IF($C18="S",REFERENCIA.Descricao,"(digite a descrição aqui)")</f>
        <v>PORTA DE MADEIRA PARA PINTURA, SEMI-OCA (LEVE OU MÉDIA), 80X210CM, ESPESSURA DE 3,5CM, INCLUSO DOBRADIÇAS - FORNECIMENTO E INSTALAÇÃO. AF_12/2019</v>
      </c>
      <c r="S18" s="122" t="str">
        <f ca="1">REFERENCIA.Unidade</f>
        <v>UN</v>
      </c>
      <c r="T18" s="123">
        <f ca="1">OFFSET(CÁLCULO!H$15,ROW($T18)-ROW(T$15),0)</f>
        <v>3.75</v>
      </c>
      <c r="U18" s="124">
        <f ca="1">ROUND(IF(DESONERACAO="sim",REFERENCIA.Desonerado,REFERENCIA.NaoDesonerado),2)</f>
        <v>362.82</v>
      </c>
      <c r="V18" s="125" t="s">
        <v>156</v>
      </c>
      <c r="W18" s="123">
        <f ca="1">IF($C18="S",ROUND(IF(TIPOORCAMENTO="Proposto",ORÇAMENTO.CustoUnitario*(1+$AH18),ORÇAMENTO.PrecoUnitarioLicitado),15-13*$AF$10),0)</f>
        <v>460.2</v>
      </c>
      <c r="X18" s="126">
        <f ca="1">IF($C18="S",IF(Import.TipoArredondamento&lt;&gt;"TransfereGOV",VTOTAL1,SUM(OFFSET(CÁLCULO!$AA$15,ROW($X18)-ROW($X$15),1):OFFSET(CÁLCULO!$AL$15,ROW($X18)-ROW($X$15),-1))),IF($C18=0,0,ROUND(SomaAgrup,15-13*$AF$11)))</f>
        <v>1725.75</v>
      </c>
      <c r="Y18" s="127" t="s">
        <v>245</v>
      </c>
      <c r="Z18" t="str">
        <f t="shared" ca="1" si="13"/>
        <v>RA</v>
      </c>
      <c r="AA18" s="128">
        <f ca="1">IF($C18="S",IF($Z18="CP",$X18,IF($Z18="RA",(($X18)*QCI!$AA$3),0)),SomaAgrup)</f>
        <v>7.6354129407470408</v>
      </c>
      <c r="AB18" s="129">
        <f t="shared" ca="1" si="14"/>
        <v>0</v>
      </c>
      <c r="AC18" s="130" t="str">
        <f ca="1">IF($N18="","",IF(ORÇAMENTO.Descricao="","DESCRIÇÃO",IF(AND($C18="S",ORÇAMENTO.Unidade=""),"UNIDADE",IF($X18&lt;0,"VALOR NEGATIVO",IF(OR(AND(TIPOORCAMENTO="Proposto",$AG18&lt;&gt;"",$AG18&gt;0,ORÇAMENTO.CustoUnitario&gt;$AG18),AND(TIPOORCAMENTO="LICITADO",ORÇAMENTO.PrecoUnitarioLicitado&gt;$AN18)),"ACIMA REF.","")))))</f>
        <v/>
      </c>
      <c r="AD18" t="str">
        <f ca="1">IF(C18&lt;=CRONO.NivelExibicao,MAX($AD$15:OFFSET(AD18,-1,0))+IF($C18&lt;&gt;1,1,MAX(1,COUNTIF(QCI!$A$13:$A$24,OFFSET($E18,-1,0)))),"")</f>
        <v/>
      </c>
      <c r="AE18" s="7" t="str">
        <f ca="1">IF(AND($C18="S",ORÇAMENTO.CodBarra&lt;&gt;""),IF(ORÇAMENTO.Fonte="",ORÇAMENTO.CodBarra,CONCATENATE(ORÇAMENTO.Fonte," ",ORÇAMENTO.CodBarra)))</f>
        <v>SINAPI 90822</v>
      </c>
      <c r="AF18" s="13">
        <f ca="1">IF(ISERROR(INDIRECT(ORÇAMENTO.BancoRef)),"(abra o arquivo 'Referência "&amp;Excel_BuiltIn_Database&amp;".xlsm)",IF(OR($C18&lt;&gt;"S",ORÇAMENTO.CodBarra=""),"(Sem Código)",IF(ISERROR(MATCH($AE18,INDIRECT(ORÇAMENTO.BancoRef),0)),"(Código não identificado nas referências)",MATCH($AE18,INDIRECT(ORÇAMENTO.BancoRef),0))))</f>
        <v>2114</v>
      </c>
      <c r="AG18" s="497">
        <f ca="1">ROUND(IF(DESONERACAO="sim",REFERENCIA.Desonerado,REFERENCIA.NaoDesonerado),2)</f>
        <v>362.82</v>
      </c>
      <c r="AH18" s="498">
        <f t="shared" ca="1" si="15"/>
        <v>0.26840000000000003</v>
      </c>
      <c r="AJ18" s="500"/>
      <c r="AL18" s="526"/>
      <c r="AM18" s="380">
        <f t="shared" ca="1" si="0"/>
        <v>1725.75</v>
      </c>
      <c r="AN18" s="565">
        <f t="shared" ca="1" si="16"/>
        <v>460.2</v>
      </c>
    </row>
    <row r="19" spans="1:40" ht="13.8" x14ac:dyDescent="0.3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10</v>
      </c>
      <c r="E19">
        <f ca="1">IF($C19=1,OFFSET(E19,-1,0)+MAX(1,COUNTIF(QCI!$A$13:$A$24,OFFSET(ORÇAMENTO!E19,-1,0))),OFFSET(E19,-1,0))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13</v>
      </c>
      <c r="K19">
        <f ca="1">IF(OR($C19="S",$C19=0),0,MATCH(OFFSET($D19,0,$C19)+IF($C19&lt;&gt;1,1,COUNTIF(QCI!$A$13:$A$24,ORÇAMENTO!E19)),OFFSET($D19,1,$C19,ROW($C$32)-ROW($C19)),0))</f>
        <v>10</v>
      </c>
      <c r="L19" s="115" t="str">
        <f t="shared" ca="1" si="10"/>
        <v>F</v>
      </c>
      <c r="M19" s="116" t="s">
        <v>196</v>
      </c>
      <c r="N19" s="117" t="str">
        <f t="shared" ca="1" si="11"/>
        <v>Nível 2</v>
      </c>
      <c r="O19" s="118" t="str">
        <f t="shared" ca="1" si="12"/>
        <v>1.2.</v>
      </c>
      <c r="P19" s="119" t="s">
        <v>247</v>
      </c>
      <c r="Q19" s="120" t="s">
        <v>467</v>
      </c>
      <c r="R19" s="121" t="s">
        <v>474</v>
      </c>
      <c r="S19" s="122" t="str">
        <f ca="1">REFERENCIA.Unidade</f>
        <v>-</v>
      </c>
      <c r="T19" s="123">
        <f ca="1">OFFSET(CÁLCULO!H$15,ROW($T19)-ROW(T$15),0)</f>
        <v>0</v>
      </c>
      <c r="U19" s="124">
        <f ca="1">ROUND(IF(DESONERACAO="sim",REFERENCIA.Desonerado,REFERENCIA.NaoDesonerado),2)</f>
        <v>0</v>
      </c>
      <c r="V19" s="125" t="s">
        <v>156</v>
      </c>
      <c r="W19" s="123">
        <f ca="1">IF($C19="S",ROUND(IF(TIPOORCAMENTO="Proposto",ORÇAMENTO.CustoUnitario*(1+$AH19),ORÇAMENTO.PrecoUnitarioLicitado),15-13*$AF$10),0)</f>
        <v>0</v>
      </c>
      <c r="X19" s="126">
        <f ca="1">IF($C19="S",IF(Import.TipoArredondamento&lt;&gt;"TransfereGOV",VTOTAL1,SUM(OFFSET(CÁLCULO!$AA$15,ROW($X19)-ROW($X$15),1):OFFSET(CÁLCULO!$AL$15,ROW($X19)-ROW($X$15),-1))),IF($C19=0,0,ROUND(SomaAgrup,15-13*$AF$11)))</f>
        <v>48670.5</v>
      </c>
      <c r="Y19" s="127" t="s">
        <v>245</v>
      </c>
      <c r="Z19" t="str">
        <f t="shared" ca="1" si="13"/>
        <v/>
      </c>
      <c r="AA19" s="128">
        <f ca="1">IF($C19="S",IF($Z19="CP",$X19,IF($Z19="RA",(($X19)*QCI!$AA$3),0)),SomaAgrup)</f>
        <v>215.33789108076422</v>
      </c>
      <c r="AB19" s="129">
        <f t="shared" ca="1" si="14"/>
        <v>0</v>
      </c>
      <c r="AC19" s="130" t="str">
        <f ca="1">IF($N19="","",IF(ORÇAMENTO.Descricao="","DESCRIÇÃO",IF(AND($C19="S",ORÇAMENTO.Unidade=""),"UNIDADE",IF($X19&lt;0,"VALOR NEGATIVO",IF(OR(AND(TIPOORCAMENTO="Proposto",$AG19&lt;&gt;"",$AG19&gt;0,ORÇAMENTO.CustoUnitario&gt;$AG19),AND(TIPOORCAMENTO="LICITADO",ORÇAMENTO.PrecoUnitarioLicitado&gt;$AN19)),"ACIMA REF.","")))))</f>
        <v/>
      </c>
      <c r="AD19">
        <f ca="1">IF(C19&lt;=CRONO.NivelExibicao,MAX($AD$15:OFFSET(AD19,-1,0))+IF($C19&lt;&gt;1,1,MAX(1,COUNTIF(QCI!$A$13:$A$24,OFFSET($E19,-1,0)))),"")</f>
        <v>3</v>
      </c>
      <c r="AE19" s="7" t="b">
        <f ca="1">IF(AND($C19="S",ORÇAMENTO.CodBarra&lt;&gt;""),IF(ORÇAMENTO.Fonte="",ORÇAMENTO.CodBarra,CONCATENATE(ORÇAMENTO.Fonte," ",ORÇAMENTO.CodBarra)))</f>
        <v>0</v>
      </c>
      <c r="AF19" s="13" t="str">
        <f ca="1">IF(ISERROR(INDIRECT(ORÇAMENTO.BancoRef)),"(abra o arquivo 'Referência "&amp;Excel_BuiltIn_Database&amp;".xlsm)",IF(OR($C19&lt;&gt;"S",ORÇAMENTO.CodBarra=""),"(Sem Código)",IF(ISERROR(MATCH($AE19,INDIRECT(ORÇAMENTO.BancoRef),0)),"(Código não identificado nas referências)",MATCH($AE19,INDIRECT(ORÇAMENTO.BancoRef),0))))</f>
        <v>(Sem Código)</v>
      </c>
      <c r="AG19" s="497">
        <f ca="1">ROUND(IF(DESONERACAO="sim",REFERENCIA.Desonerado,REFERENCIA.NaoDesonerado),2)</f>
        <v>0</v>
      </c>
      <c r="AH19" s="498">
        <f t="shared" ca="1" si="15"/>
        <v>0.26840000000000003</v>
      </c>
      <c r="AJ19" s="500"/>
      <c r="AL19" s="526"/>
      <c r="AM19" s="380">
        <f t="shared" ca="1" si="0"/>
        <v>48670.5</v>
      </c>
      <c r="AN19" s="565">
        <f t="shared" ca="1" si="16"/>
        <v>0</v>
      </c>
    </row>
    <row r="20" spans="1:40" ht="39.6" x14ac:dyDescent="0.3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IF($C20=1,OFFSET(E20,-1,0)+MAX(1,COUNTIF(QCI!$A$13:$A$24,OFFSET(ORÇAMENTO!E20,-1,0))),OFFSET(E20,-1,0))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1</v>
      </c>
      <c r="J20">
        <f t="shared" ca="1" si="9"/>
        <v>0</v>
      </c>
      <c r="K20">
        <f ca="1">IF(OR($C20="S",$C20=0),0,MATCH(OFFSET($D20,0,$C20)+IF($C20&lt;&gt;1,1,COUNTIF(QCI!$A$13:$A$24,ORÇAMENTO!E20)),OFFSET($D20,1,$C20,ROW($C$32)-ROW($C20)),0))</f>
        <v>0</v>
      </c>
      <c r="L20" s="115" t="str">
        <f t="shared" ca="1" si="10"/>
        <v>F</v>
      </c>
      <c r="M20" s="116" t="s">
        <v>199</v>
      </c>
      <c r="N20" s="117" t="str">
        <f t="shared" ca="1" si="11"/>
        <v>Serviço</v>
      </c>
      <c r="O20" s="118" t="str">
        <f t="shared" ca="1" si="12"/>
        <v>1.2.1.</v>
      </c>
      <c r="P20" s="119" t="s">
        <v>247</v>
      </c>
      <c r="Q20" s="120" t="s">
        <v>473</v>
      </c>
      <c r="R20" s="121" t="str">
        <f ca="1">IF($C20="S",REFERENCIA.Descricao,"(digite a descrição aqui)")</f>
        <v>FORRO EM RÉGUAS DE PVC, FRISADO, PARA AMBIENTES COMERCIAIS, INCLUSIVE ESTRUTURA BIDIRECIONAL DE FIXAÇÃO. AF_08/2023_PS</v>
      </c>
      <c r="S20" s="122" t="str">
        <f ca="1">REFERENCIA.Unidade</f>
        <v>M2</v>
      </c>
      <c r="T20" s="123">
        <f ca="1">OFFSET(CÁLCULO!H$15,ROW($T20)-ROW(T$15),0)</f>
        <v>187.27</v>
      </c>
      <c r="U20" s="124">
        <f ca="1">ROUND(IF(DESONERACAO="sim",REFERENCIA.Desonerado,REFERENCIA.NaoDesonerado),2)</f>
        <v>67.459999999999994</v>
      </c>
      <c r="V20" s="125" t="s">
        <v>156</v>
      </c>
      <c r="W20" s="123">
        <f ca="1">IF($C20="S",ROUND(IF(TIPOORCAMENTO="Proposto",ORÇAMENTO.CustoUnitario*(1+$AH20),ORÇAMENTO.PrecoUnitarioLicitado),15-13*$AF$10),0)</f>
        <v>85.57</v>
      </c>
      <c r="X20" s="126">
        <f ca="1">IF($C20="S",IF(Import.TipoArredondamento&lt;&gt;"TransfereGOV",VTOTAL1,SUM(OFFSET(CÁLCULO!$AA$15,ROW($X20)-ROW($X$15),1):OFFSET(CÁLCULO!$AL$15,ROW($X20)-ROW($X$15),-1))),IF($C20=0,0,ROUND(SomaAgrup,15-13*$AF$11)))</f>
        <v>16024.69</v>
      </c>
      <c r="Y20" s="127" t="s">
        <v>245</v>
      </c>
      <c r="Z20" t="str">
        <f t="shared" ca="1" si="13"/>
        <v>RA</v>
      </c>
      <c r="AA20" s="128">
        <f ca="1">IF($C20="S",IF($Z20="CP",$X20,IF($Z20="RA",(($X20)*QCI!$AA$3),0)),SomaAgrup)</f>
        <v>70.899681528297663</v>
      </c>
      <c r="AB20" s="129">
        <f t="shared" ca="1" si="14"/>
        <v>0</v>
      </c>
      <c r="AC20" s="130" t="str">
        <f ca="1">IF($N20="","",IF(ORÇAMENTO.Descricao="","DESCRIÇÃO",IF(AND($C20="S",ORÇAMENTO.Unidade=""),"UNIDADE",IF($X20&lt;0,"VALOR NEGATIVO",IF(OR(AND(TIPOORCAMENTO="Proposto",$AG20&lt;&gt;"",$AG20&gt;0,ORÇAMENTO.CustoUnitario&gt;$AG20),AND(TIPOORCAMENTO="LICITADO",ORÇAMENTO.PrecoUnitarioLicitado&gt;$AN20)),"ACIMA REF.","")))))</f>
        <v/>
      </c>
      <c r="AD20" t="str">
        <f ca="1">IF(C20&lt;=CRONO.NivelExibicao,MAX($AD$15:OFFSET(AD20,-1,0))+IF($C20&lt;&gt;1,1,MAX(1,COUNTIF(QCI!$A$13:$A$24,OFFSET($E20,-1,0)))),"")</f>
        <v/>
      </c>
      <c r="AE20" s="7" t="str">
        <f ca="1">IF(AND($C20="S",ORÇAMENTO.CodBarra&lt;&gt;""),IF(ORÇAMENTO.Fonte="",ORÇAMENTO.CodBarra,CONCATENATE(ORÇAMENTO.Fonte," ",ORÇAMENTO.CodBarra)))</f>
        <v>SINAPI 96116</v>
      </c>
      <c r="AF20" s="13">
        <f ca="1">IF(ISERROR(INDIRECT(ORÇAMENTO.BancoRef)),"(abra o arquivo 'Referência "&amp;Excel_BuiltIn_Database&amp;".xlsm)",IF(OR($C20&lt;&gt;"S",ORÇAMENTO.CodBarra=""),"(Sem Código)",IF(ISERROR(MATCH($AE20,INDIRECT(ORÇAMENTO.BancoRef),0)),"(Código não identificado nas referências)",MATCH($AE20,INDIRECT(ORÇAMENTO.BancoRef),0))))</f>
        <v>6804</v>
      </c>
      <c r="AG20" s="497">
        <f ca="1">ROUND(IF(DESONERACAO="sim",REFERENCIA.Desonerado,REFERENCIA.NaoDesonerado),2)</f>
        <v>67.459999999999994</v>
      </c>
      <c r="AH20" s="498">
        <f t="shared" ca="1" si="15"/>
        <v>0.26840000000000003</v>
      </c>
      <c r="AJ20" s="500"/>
      <c r="AL20" s="526"/>
      <c r="AM20" s="380">
        <f t="shared" ca="1" si="0"/>
        <v>16024.69</v>
      </c>
      <c r="AN20" s="565">
        <f t="shared" ca="1" si="16"/>
        <v>85.57</v>
      </c>
    </row>
    <row r="21" spans="1:40" ht="26.4" x14ac:dyDescent="0.3">
      <c r="A21" t="str">
        <f>CHOOSE(1+LOG(1+2*(ORÇAMENTO.Nivel="Meta")+4*(ORÇAMENTO.Nivel="Nível 2")+8*(ORÇAMENTO.Nivel="Nível 3")+16*(ORÇAMENTO.Nivel="Nível 4")+32*(ORÇAMENTO.Nivel="Serviço"),2),0,1,2,3,4,"S")</f>
        <v>S</v>
      </c>
      <c r="B21">
        <f ca="1">IF(OR(C21="s",C21=0),OFFSET(B21,-1,0),C21)</f>
        <v>2</v>
      </c>
      <c r="C21" t="str">
        <f ca="1">IF(OFFSET(C21,-1,0)="L",1,IF(OFFSET(C21,-1,0)=1,2,IF(OR(A21="s",A21=0),"S",IF(AND(OFFSET(C21,-1,0)=2,A21=4),3,IF(AND(OR(OFFSET(C21,-1,0)="s",OFFSET(C21,-1,0)=0),A21&lt;&gt;"s",A21&gt;OFFSET(B21,-1,0)),OFFSET(B21,-1,0),A21)))))</f>
        <v>S</v>
      </c>
      <c r="D21">
        <f ca="1">IF(OR(C21="S",C21=0),0,IF(ISERROR(K21),J21,SMALL(J21:K21,1)))</f>
        <v>0</v>
      </c>
      <c r="E21">
        <f ca="1">IF($C21=1,OFFSET(E21,-1,0)+MAX(1,COUNTIF(QCI!$A$13:$A$24,OFFSET(ORÇAMENTO!E21,-1,0))),OFFSET(E21,-1,0))</f>
        <v>1</v>
      </c>
      <c r="F21">
        <f ca="1">IF($C21=1,0,IF($C21=2,OFFSET(F21,-1,0)+1,OFFSET(F21,-1,0)))</f>
        <v>2</v>
      </c>
      <c r="G21">
        <f ca="1">IF(AND($C21&lt;=2,$C21&lt;&gt;0),0,IF($C21=3,OFFSET(G21,-1,0)+1,OFFSET(G21,-1,0)))</f>
        <v>0</v>
      </c>
      <c r="H21">
        <f ca="1">IF(AND($C21&lt;=3,$C21&lt;&gt;0),0,IF($C21=4,OFFSET(H21,-1,0)+1,OFFSET(H21,-1,0)))</f>
        <v>0</v>
      </c>
      <c r="I21">
        <f ca="1">IF(AND($C21&lt;=4,$C21&lt;&gt;0),0,IF(AND($C21="S",$X21&gt;0),OFFSET(I21,-1,0)+1,OFFSET(I21,-1,0)))</f>
        <v>2</v>
      </c>
      <c r="J21">
        <f ca="1">IF(OR($C21="S",$C21=0),0,MATCH(0,OFFSET($D21,1,$C21,ROW($C$32)-ROW($C21)),0))</f>
        <v>0</v>
      </c>
      <c r="K21">
        <f ca="1">IF(OR($C21="S",$C21=0),0,MATCH(OFFSET($D21,0,$C21)+IF($C21&lt;&gt;1,1,COUNTIF(QCI!$A$13:$A$24,ORÇAMENTO!E21)),OFFSET($D21,1,$C21,ROW($C$32)-ROW($C21)),0))</f>
        <v>0</v>
      </c>
      <c r="L21" s="115" t="str">
        <f ca="1">IF(OR($X21&gt;0,$C21=1,$C21=2,$C21=3,$C21=4),"F","")</f>
        <v>F</v>
      </c>
      <c r="M21" s="116" t="s">
        <v>199</v>
      </c>
      <c r="N21" s="117" t="str">
        <f ca="1">CHOOSE(1+LOG(1+2*(C21=1)+4*(C21=2)+8*(C21=3)+16*(C21=4)+32*(C21="S"),2),"","Meta","Nível 2","Nível 3","Nível 4","Serviço")</f>
        <v>Serviço</v>
      </c>
      <c r="O21" s="118" t="str">
        <f ca="1">IF(OR($C21=0,$L21=""),"-",CONCATENATE(E21&amp;".",IF(AND($A$5&gt;=2,$C21&gt;=2),F21&amp;".",""),IF(AND($A$5&gt;=3,$C21&gt;=3),G21&amp;".",""),IF(AND($A$5&gt;=4,$C21&gt;=4),H21&amp;".",""),IF($C21="S",I21&amp;".","")))</f>
        <v>1.2.2.</v>
      </c>
      <c r="P21" s="119" t="s">
        <v>247</v>
      </c>
      <c r="Q21" s="120" t="s">
        <v>492</v>
      </c>
      <c r="R21" s="121" t="str">
        <f ca="1">IF($C21="S",REFERENCIA.Descricao,"(digite a descrição aqui)")</f>
        <v>REMOÇÃO DE FORROS DE DRYWALL, PVC E FIBROMINERAL, DE FORMA MANUAL, SEM REAPROVEITAMENTO. AF_09/2023</v>
      </c>
      <c r="S21" s="122" t="str">
        <f ca="1">REFERENCIA.Unidade</f>
        <v>M2</v>
      </c>
      <c r="T21" s="123">
        <f ca="1">OFFSET(CÁLCULO!H$15,ROW($T21)-ROW(T$15),0)</f>
        <v>187.27</v>
      </c>
      <c r="U21" s="124">
        <f ca="1">ROUND(IF(DESONERACAO="sim",REFERENCIA.Desonerado,REFERENCIA.NaoDesonerado),2)</f>
        <v>1.86</v>
      </c>
      <c r="V21" s="125" t="s">
        <v>156</v>
      </c>
      <c r="W21" s="123">
        <f ca="1">IF($C21="S",ROUND(IF(TIPOORCAMENTO="Proposto",ORÇAMENTO.CustoUnitario*(1+$AH21),ORÇAMENTO.PrecoUnitarioLicitado),15-13*$AF$10),0)</f>
        <v>2.36</v>
      </c>
      <c r="X21" s="126">
        <f ca="1">IF($C21="S",IF(Import.TipoArredondamento&lt;&gt;"TransfereGOV",VTOTAL1,SUM(OFFSET(CÁLCULO!$AA$15,ROW($X21)-ROW($X$15),1):OFFSET(CÁLCULO!$AL$15,ROW($X21)-ROW($X$15),-1))),IF($C21=0,0,ROUND(SomaAgrup,15-13*$AF$11)))</f>
        <v>441.96</v>
      </c>
      <c r="Y21" s="127" t="s">
        <v>245</v>
      </c>
      <c r="Z21" t="str">
        <f ca="1">IF(AND($C21="S",$X21&gt;0),IF(ISBLANK($Y21),"RA",LEFT($Y21,2)),"")</f>
        <v>RA</v>
      </c>
      <c r="AA21" s="128">
        <f ca="1">IF($C21="S",IF($Z21="CP",$X21,IF($Z21="RA",(($X21)*QCI!$AA$3),0)),SomaAgrup)</f>
        <v>1.9554090124830144</v>
      </c>
      <c r="AB21" s="129">
        <f ca="1">IF($C21="S",IF($Z21="OU",ROUND($X21,2),0),SomaAgrup)</f>
        <v>0</v>
      </c>
      <c r="AC21" s="130" t="str">
        <f ca="1">IF($N21="","",IF(ORÇAMENTO.Descricao="","DESCRIÇÃO",IF(AND($C21="S",ORÇAMENTO.Unidade=""),"UNIDADE",IF($X21&lt;0,"VALOR NEGATIVO",IF(OR(AND(TIPOORCAMENTO="Proposto",$AG21&lt;&gt;"",$AG21&gt;0,ORÇAMENTO.CustoUnitario&gt;$AG21),AND(TIPOORCAMENTO="LICITADO",ORÇAMENTO.PrecoUnitarioLicitado&gt;$AN21)),"ACIMA REF.","")))))</f>
        <v/>
      </c>
      <c r="AD21" t="str">
        <f ca="1">IF(C21&lt;=CRONO.NivelExibicao,MAX($AD$15:OFFSET(AD21,-1,0))+IF($C21&lt;&gt;1,1,MAX(1,COUNTIF(QCI!$A$13:$A$24,OFFSET($E21,-1,0)))),"")</f>
        <v/>
      </c>
      <c r="AE21" s="7" t="str">
        <f ca="1">IF(AND($C21="S",ORÇAMENTO.CodBarra&lt;&gt;""),IF(ORÇAMENTO.Fonte="",ORÇAMENTO.CodBarra,CONCATENATE(ORÇAMENTO.Fonte," ",ORÇAMENTO.CodBarra)))</f>
        <v>SINAPI 97640</v>
      </c>
      <c r="AF21" s="13">
        <f ca="1">IF(ISERROR(INDIRECT(ORÇAMENTO.BancoRef)),"(abra o arquivo 'Referência "&amp;Excel_BuiltIn_Database&amp;".xlsm)",IF(OR($C21&lt;&gt;"S",ORÇAMENTO.CodBarra=""),"(Sem Código)",IF(ISERROR(MATCH($AE21,INDIRECT(ORÇAMENTO.BancoRef),0)),"(Código não identificado nas referências)",MATCH($AE21,INDIRECT(ORÇAMENTO.BancoRef),0))))</f>
        <v>7143</v>
      </c>
      <c r="AG21" s="497">
        <f ca="1">ROUND(IF(DESONERACAO="sim",REFERENCIA.Desonerado,REFERENCIA.NaoDesonerado),2)</f>
        <v>1.86</v>
      </c>
      <c r="AH21" s="498">
        <f ca="1">ROUND(IF(ISNUMBER(ORÇAMENTO.OpcaoBDI),ORÇAMENTO.OpcaoBDI,IF(LEFT(ORÇAMENTO.OpcaoBDI,3)="BDI",HLOOKUP(ORÇAMENTO.OpcaoBDI,$F$4:$H$5,2,FALSE),0)),15-11*$AF$9)</f>
        <v>0.26840000000000003</v>
      </c>
      <c r="AJ21" s="500"/>
      <c r="AL21" s="526"/>
      <c r="AM21" s="380">
        <f t="shared" ca="1" si="0"/>
        <v>441.96</v>
      </c>
      <c r="AN21" s="565">
        <f ca="1">ROUND(ORÇAMENTO.CustoUnitario*(1+$AH21),2)</f>
        <v>2.36</v>
      </c>
    </row>
    <row r="22" spans="1:40" ht="39.6" x14ac:dyDescent="0.3">
      <c r="A22" t="str">
        <f t="shared" si="1"/>
        <v>S</v>
      </c>
      <c r="B22">
        <f t="shared" ca="1" si="2"/>
        <v>2</v>
      </c>
      <c r="C22" t="str">
        <f t="shared" ca="1" si="3"/>
        <v>S</v>
      </c>
      <c r="D22">
        <f t="shared" ca="1" si="4"/>
        <v>0</v>
      </c>
      <c r="E22">
        <f ca="1">IF($C22=1,OFFSET(E22,-1,0)+MAX(1,COUNTIF(QCI!$A$13:$A$24,OFFSET(ORÇAMENTO!E22,-1,0))),OFFSET(E22,-1,0))</f>
        <v>1</v>
      </c>
      <c r="F22">
        <f t="shared" ca="1" si="5"/>
        <v>2</v>
      </c>
      <c r="G22">
        <f t="shared" ca="1" si="6"/>
        <v>0</v>
      </c>
      <c r="H22">
        <f t="shared" ca="1" si="7"/>
        <v>0</v>
      </c>
      <c r="I22">
        <f t="shared" ca="1" si="8"/>
        <v>3</v>
      </c>
      <c r="J22">
        <f t="shared" ca="1" si="9"/>
        <v>0</v>
      </c>
      <c r="K22">
        <f ca="1">IF(OR($C22="S",$C22=0),0,MATCH(OFFSET($D22,0,$C22)+IF($C22&lt;&gt;1,1,COUNTIF(QCI!$A$13:$A$24,ORÇAMENTO!E22)),OFFSET($D22,1,$C22,ROW($C$32)-ROW($C22)),0))</f>
        <v>0</v>
      </c>
      <c r="L22" s="115" t="str">
        <f t="shared" ca="1" si="10"/>
        <v>F</v>
      </c>
      <c r="M22" s="116" t="s">
        <v>199</v>
      </c>
      <c r="N22" s="117" t="str">
        <f t="shared" ca="1" si="11"/>
        <v>Serviço</v>
      </c>
      <c r="O22" s="118" t="str">
        <f t="shared" ca="1" si="12"/>
        <v>1.2.3.</v>
      </c>
      <c r="P22" s="119" t="s">
        <v>247</v>
      </c>
      <c r="Q22" s="120" t="s">
        <v>466</v>
      </c>
      <c r="R22" s="121" t="str">
        <f ca="1">IF($C22="S",REFERENCIA.Descricao,"(digite a descrição aqui)")</f>
        <v>PORTA DE MADEIRA PARA PINTURA, SEMI-OCA (LEVE OU MÉDIA), 80X210CM, ESPESSURA DE 3,5CM, INCLUSO DOBRADIÇAS - FORNECIMENTO E INSTALAÇÃO. AF_12/2019</v>
      </c>
      <c r="S22" s="122" t="str">
        <f ca="1">REFERENCIA.Unidade</f>
        <v>UN</v>
      </c>
      <c r="T22" s="123">
        <f ca="1">OFFSET(CÁLCULO!H$15,ROW($T22)-ROW(T$15),0)</f>
        <v>22</v>
      </c>
      <c r="U22" s="124">
        <f ca="1">ROUND(IF(DESONERACAO="sim",REFERENCIA.Desonerado,REFERENCIA.NaoDesonerado),2)</f>
        <v>362.82</v>
      </c>
      <c r="V22" s="125" t="s">
        <v>156</v>
      </c>
      <c r="W22" s="123">
        <f ca="1">IF($C22="S",ROUND(IF(TIPOORCAMENTO="Proposto",ORÇAMENTO.CustoUnitario*(1+$AH22),ORÇAMENTO.PrecoUnitarioLicitado),15-13*$AF$10),0)</f>
        <v>460.2</v>
      </c>
      <c r="X22" s="126">
        <f ca="1">IF($C22="S",IF(Import.TipoArredondamento&lt;&gt;"TransfereGOV",VTOTAL1,SUM(OFFSET(CÁLCULO!$AA$15,ROW($X22)-ROW($X$15),1):OFFSET(CÁLCULO!$AL$15,ROW($X22)-ROW($X$15),-1))),IF($C22=0,0,ROUND(SomaAgrup,15-13*$AF$11)))</f>
        <v>10124.4</v>
      </c>
      <c r="Y22" s="127" t="s">
        <v>245</v>
      </c>
      <c r="Z22" t="str">
        <f t="shared" ca="1" si="13"/>
        <v>RA</v>
      </c>
      <c r="AA22" s="128">
        <f ca="1">IF($C22="S",IF($Z22="CP",$X22,IF($Z22="RA",(($X22)*QCI!$AA$3),0)),SomaAgrup)</f>
        <v>44.794422585715971</v>
      </c>
      <c r="AB22" s="129">
        <f t="shared" ca="1" si="14"/>
        <v>0</v>
      </c>
      <c r="AC22" s="130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 t="str">
        <f ca="1">IF(C22&lt;=CRONO.NivelExibicao,MAX($AD$15:OFFSET(AD22,-1,0))+IF($C22&lt;&gt;1,1,MAX(1,COUNTIF(QCI!$A$13:$A$24,OFFSET($E22,-1,0)))),"")</f>
        <v/>
      </c>
      <c r="AE22" s="7" t="str">
        <f ca="1">IF(AND($C22="S",ORÇAMENTO.CodBarra&lt;&gt;""),IF(ORÇAMENTO.Fonte="",ORÇAMENTO.CodBarra,CONCATENATE(ORÇAMENTO.Fonte," ",ORÇAMENTO.CodBarra)))</f>
        <v>SINAPI 90822</v>
      </c>
      <c r="AF22" s="13">
        <f ca="1">IF(ISERROR(INDIRECT(ORÇAMENTO.BancoRef)),"(abra o arquivo 'Referência "&amp;Excel_BuiltIn_Database&amp;".xlsm)",IF(OR($C22&lt;&gt;"S",ORÇAMENTO.CodBarra=""),"(Sem Código)",IF(ISERROR(MATCH($AE22,INDIRECT(ORÇAMENTO.BancoRef),0)),"(Código não identificado nas referências)",MATCH($AE22,INDIRECT(ORÇAMENTO.BancoRef),0))))</f>
        <v>2114</v>
      </c>
      <c r="AG22" s="497">
        <f ca="1">ROUND(IF(DESONERACAO="sim",REFERENCIA.Desonerado,REFERENCIA.NaoDesonerado),2)</f>
        <v>362.82</v>
      </c>
      <c r="AH22" s="498">
        <f t="shared" ca="1" si="15"/>
        <v>0.26840000000000003</v>
      </c>
      <c r="AJ22" s="500"/>
      <c r="AL22" s="526"/>
      <c r="AM22" s="380">
        <f t="shared" ca="1" si="0"/>
        <v>10124.4</v>
      </c>
      <c r="AN22" s="565">
        <f t="shared" ca="1" si="16"/>
        <v>460.2</v>
      </c>
    </row>
    <row r="23" spans="1:40" ht="26.4" x14ac:dyDescent="0.3">
      <c r="A23" t="str">
        <f t="shared" si="1"/>
        <v>S</v>
      </c>
      <c r="B23">
        <f t="shared" ca="1" si="2"/>
        <v>2</v>
      </c>
      <c r="C23" t="str">
        <f t="shared" ca="1" si="3"/>
        <v>S</v>
      </c>
      <c r="D23">
        <f t="shared" ca="1" si="4"/>
        <v>0</v>
      </c>
      <c r="E23">
        <f ca="1">IF($C23=1,OFFSET(E23,-1,0)+MAX(1,COUNTIF(QCI!$A$13:$A$24,OFFSET(ORÇAMENTO!E23,-1,0))),OFFSET(E23,-1,0))</f>
        <v>1</v>
      </c>
      <c r="F23">
        <f t="shared" ca="1" si="5"/>
        <v>2</v>
      </c>
      <c r="G23">
        <f t="shared" ca="1" si="6"/>
        <v>0</v>
      </c>
      <c r="H23">
        <f t="shared" ca="1" si="7"/>
        <v>0</v>
      </c>
      <c r="I23">
        <f t="shared" ca="1" si="8"/>
        <v>4</v>
      </c>
      <c r="J23">
        <f t="shared" ca="1" si="9"/>
        <v>0</v>
      </c>
      <c r="K23">
        <f ca="1">IF(OR($C23="S",$C23=0),0,MATCH(OFFSET($D23,0,$C23)+IF($C23&lt;&gt;1,1,COUNTIF(QCI!$A$13:$A$24,ORÇAMENTO!E23)),OFFSET($D23,1,$C23,ROW($C$32)-ROW($C23)),0))</f>
        <v>0</v>
      </c>
      <c r="L23" s="115" t="str">
        <f t="shared" ca="1" si="10"/>
        <v>F</v>
      </c>
      <c r="M23" s="116" t="s">
        <v>199</v>
      </c>
      <c r="N23" s="117" t="str">
        <f t="shared" ca="1" si="11"/>
        <v>Serviço</v>
      </c>
      <c r="O23" s="118" t="str">
        <f t="shared" ca="1" si="12"/>
        <v>1.2.4.</v>
      </c>
      <c r="P23" s="119" t="s">
        <v>247</v>
      </c>
      <c r="Q23" s="120" t="s">
        <v>467</v>
      </c>
      <c r="R23" s="121" t="str">
        <f ca="1">IF($C23="S",REFERENCIA.Descricao,"(digite a descrição aqui)")</f>
        <v>PINTURA VERNIZ (INCOLOR) ALQUÍDICO EM MADEIRA, USO INTERNO E EXTERNO, 1 DEMÃO. AF_01/2021</v>
      </c>
      <c r="S23" s="122" t="str">
        <f ca="1">REFERENCIA.Unidade</f>
        <v>M2</v>
      </c>
      <c r="T23" s="123">
        <f ca="1">OFFSET(CÁLCULO!H$15,ROW($T23)-ROW(T$15),0)</f>
        <v>36.96</v>
      </c>
      <c r="U23" s="124">
        <f ca="1">ROUND(IF(DESONERACAO="sim",REFERENCIA.Desonerado,REFERENCIA.NaoDesonerado),2)</f>
        <v>10.37</v>
      </c>
      <c r="V23" s="125" t="s">
        <v>156</v>
      </c>
      <c r="W23" s="123">
        <f ca="1">IF($C23="S",ROUND(IF(TIPOORCAMENTO="Proposto",ORÇAMENTO.CustoUnitario*(1+$AH23),ORÇAMENTO.PrecoUnitarioLicitado),15-13*$AF$10),0)</f>
        <v>13.15</v>
      </c>
      <c r="X23" s="126">
        <f ca="1">IF($C23="S",IF(Import.TipoArredondamento&lt;&gt;"TransfereGOV",VTOTAL1,SUM(OFFSET(CÁLCULO!$AA$15,ROW($X23)-ROW($X$15),1):OFFSET(CÁLCULO!$AL$15,ROW($X23)-ROW($X$15),-1))),IF($C23=0,0,ROUND(SomaAgrup,15-13*$AF$11)))</f>
        <v>486.02</v>
      </c>
      <c r="Y23" s="127" t="s">
        <v>245</v>
      </c>
      <c r="Z23" t="str">
        <f t="shared" ca="1" si="13"/>
        <v>RA</v>
      </c>
      <c r="AA23" s="128">
        <f ca="1">IF($C23="S",IF($Z23="CP",$X23,IF($Z23="RA",(($X23)*QCI!$AA$3),0)),SomaAgrup)</f>
        <v>2.1503481949655954</v>
      </c>
      <c r="AB23" s="129">
        <f t="shared" ca="1" si="14"/>
        <v>0</v>
      </c>
      <c r="AC23" s="130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t="str">
        <f ca="1">IF(C23&lt;=CRONO.NivelExibicao,MAX($AD$15:OFFSET(AD23,-1,0))+IF($C23&lt;&gt;1,1,MAX(1,COUNTIF(QCI!$A$13:$A$24,OFFSET($E23,-1,0)))),"")</f>
        <v/>
      </c>
      <c r="AE23" s="7" t="str">
        <f ca="1">IF(AND($C23="S",ORÇAMENTO.CodBarra&lt;&gt;""),IF(ORÇAMENTO.Fonte="",ORÇAMENTO.CodBarra,CONCATENATE(ORÇAMENTO.Fonte," ",ORÇAMENTO.CodBarra)))</f>
        <v>SINAPI 102203</v>
      </c>
      <c r="AF23" s="13">
        <f ca="1">IF(ISERROR(INDIRECT(ORÇAMENTO.BancoRef)),"(abra o arquivo 'Referência "&amp;Excel_BuiltIn_Database&amp;".xlsm)",IF(OR($C23&lt;&gt;"S",ORÇAMENTO.CodBarra=""),"(Sem Código)",IF(ISERROR(MATCH($AE23,INDIRECT(ORÇAMENTO.BancoRef),0)),"(Código não identificado nas referências)",MATCH($AE23,INDIRECT(ORÇAMENTO.BancoRef),0))))</f>
        <v>6329</v>
      </c>
      <c r="AG23" s="497">
        <f ca="1">ROUND(IF(DESONERACAO="sim",REFERENCIA.Desonerado,REFERENCIA.NaoDesonerado),2)</f>
        <v>10.37</v>
      </c>
      <c r="AH23" s="498">
        <f t="shared" ca="1" si="15"/>
        <v>0.26840000000000003</v>
      </c>
      <c r="AJ23" s="500"/>
      <c r="AL23" s="526"/>
      <c r="AM23" s="380">
        <f t="shared" ca="1" si="0"/>
        <v>486.02</v>
      </c>
      <c r="AN23" s="565">
        <f t="shared" ca="1" si="16"/>
        <v>13.15</v>
      </c>
    </row>
    <row r="24" spans="1:40" ht="39.6" x14ac:dyDescent="0.3">
      <c r="A24" t="str">
        <f t="shared" si="1"/>
        <v>S</v>
      </c>
      <c r="B24">
        <f t="shared" ca="1" si="2"/>
        <v>2</v>
      </c>
      <c r="C24" t="str">
        <f t="shared" ca="1" si="3"/>
        <v>S</v>
      </c>
      <c r="D24">
        <f t="shared" ca="1" si="4"/>
        <v>0</v>
      </c>
      <c r="E24">
        <f ca="1">IF($C24=1,OFFSET(E24,-1,0)+MAX(1,COUNTIF(QCI!$A$13:$A$24,OFFSET(ORÇAMENTO!E24,-1,0))),OFFSET(E24,-1,0))</f>
        <v>1</v>
      </c>
      <c r="F24">
        <f t="shared" ca="1" si="5"/>
        <v>2</v>
      </c>
      <c r="G24">
        <f t="shared" ca="1" si="6"/>
        <v>0</v>
      </c>
      <c r="H24">
        <f t="shared" ca="1" si="7"/>
        <v>0</v>
      </c>
      <c r="I24">
        <f t="shared" ca="1" si="8"/>
        <v>5</v>
      </c>
      <c r="J24">
        <f t="shared" ca="1" si="9"/>
        <v>0</v>
      </c>
      <c r="K24">
        <f ca="1">IF(OR($C24="S",$C24=0),0,MATCH(OFFSET($D24,0,$C24)+IF($C24&lt;&gt;1,1,COUNTIF(QCI!$A$13:$A$24,ORÇAMENTO!E24)),OFFSET($D24,1,$C24,ROW($C$32)-ROW($C24)),0))</f>
        <v>0</v>
      </c>
      <c r="L24" s="115" t="str">
        <f t="shared" ca="1" si="10"/>
        <v>F</v>
      </c>
      <c r="M24" s="116" t="s">
        <v>199</v>
      </c>
      <c r="N24" s="117" t="str">
        <f t="shared" ca="1" si="11"/>
        <v>Serviço</v>
      </c>
      <c r="O24" s="118" t="str">
        <f t="shared" ca="1" si="12"/>
        <v>1.2.5.</v>
      </c>
      <c r="P24" s="119" t="s">
        <v>247</v>
      </c>
      <c r="Q24" s="120" t="s">
        <v>468</v>
      </c>
      <c r="R24" s="121" t="str">
        <f ca="1">IF($C24="S",REFERENCIA.Descricao,"(digite a descrição aqui)")</f>
        <v>PORTA DE ALUMÍNIO DE ABRIR COM LAMBRI, COM GUARNIÇÃO, FIXAÇÃO COM PARAFUSOS - FORNECIMENTO E INSTALAÇÃO. AF_12/2019</v>
      </c>
      <c r="S24" s="122" t="str">
        <f ca="1">REFERENCIA.Unidade</f>
        <v>M2</v>
      </c>
      <c r="T24" s="123">
        <f ca="1">OFFSET(CÁLCULO!H$15,ROW($T24)-ROW(T$15),0)</f>
        <v>6.72</v>
      </c>
      <c r="U24" s="124">
        <f ca="1">ROUND(IF(DESONERACAO="sim",REFERENCIA.Desonerado,REFERENCIA.NaoDesonerado),2)</f>
        <v>1249.24</v>
      </c>
      <c r="V24" s="125" t="s">
        <v>156</v>
      </c>
      <c r="W24" s="123">
        <f ca="1">IF($C24="S",ROUND(IF(TIPOORCAMENTO="Proposto",ORÇAMENTO.CustoUnitario*(1+$AH24),ORÇAMENTO.PrecoUnitarioLicitado),15-13*$AF$10),0)</f>
        <v>1584.54</v>
      </c>
      <c r="X24" s="126">
        <f ca="1">IF($C24="S",IF(Import.TipoArredondamento&lt;&gt;"TransfereGOV",VTOTAL1,SUM(OFFSET(CÁLCULO!$AA$15,ROW($X24)-ROW($X$15),1):OFFSET(CÁLCULO!$AL$15,ROW($X24)-ROW($X$15),-1))),IF($C24=0,0,ROUND(SomaAgrup,15-13*$AF$11)))</f>
        <v>10648.11</v>
      </c>
      <c r="Y24" s="127" t="s">
        <v>245</v>
      </c>
      <c r="Z24" t="str">
        <f t="shared" ca="1" si="13"/>
        <v>RA</v>
      </c>
      <c r="AA24" s="128">
        <f ca="1">IF($C24="S",IF($Z24="CP",$X24,IF($Z24="RA",(($X24)*QCI!$AA$3),0)),SomaAgrup)</f>
        <v>47.111526518034459</v>
      </c>
      <c r="AB24" s="129">
        <f t="shared" ca="1" si="14"/>
        <v>0</v>
      </c>
      <c r="AC24" s="130" t="str">
        <f ca="1">IF($N24="","",IF(ORÇAMENTO.Descricao="","DESCRIÇÃO",IF(AND($C24="S",ORÇAMENTO.Unidade=""),"UNIDADE",IF($X24&lt;0,"VALOR NEGATIVO",IF(OR(AND(TIPOORCAMENTO="Proposto",$AG24&lt;&gt;"",$AG24&gt;0,ORÇAMENTO.CustoUnitario&gt;$AG24),AND(TIPOORCAMENTO="LICITADO",ORÇAMENTO.PrecoUnitarioLicitado&gt;$AN24)),"ACIMA REF.","")))))</f>
        <v/>
      </c>
      <c r="AD24" t="str">
        <f ca="1">IF(C24&lt;=CRONO.NivelExibicao,MAX($AD$15:OFFSET(AD24,-1,0))+IF($C24&lt;&gt;1,1,MAX(1,COUNTIF(QCI!$A$13:$A$24,OFFSET($E24,-1,0)))),"")</f>
        <v/>
      </c>
      <c r="AE24" s="7" t="str">
        <f ca="1">IF(AND($C24="S",ORÇAMENTO.CodBarra&lt;&gt;""),IF(ORÇAMENTO.Fonte="",ORÇAMENTO.CodBarra,CONCATENATE(ORÇAMENTO.Fonte," ",ORÇAMENTO.CodBarra)))</f>
        <v>SINAPI 91338</v>
      </c>
      <c r="AF24" s="13">
        <f ca="1">IF(ISERROR(INDIRECT(ORÇAMENTO.BancoRef)),"(abra o arquivo 'Referência "&amp;Excel_BuiltIn_Database&amp;".xlsm)",IF(OR($C24&lt;&gt;"S",ORÇAMENTO.CodBarra=""),"(Sem Código)",IF(ISERROR(MATCH($AE24,INDIRECT(ORÇAMENTO.BancoRef),0)),"(Código não identificado nas referências)",MATCH($AE24,INDIRECT(ORÇAMENTO.BancoRef),0))))</f>
        <v>2226</v>
      </c>
      <c r="AG24" s="497">
        <f ca="1">ROUND(IF(DESONERACAO="sim",REFERENCIA.Desonerado,REFERENCIA.NaoDesonerado),2)</f>
        <v>1249.24</v>
      </c>
      <c r="AH24" s="498">
        <f t="shared" ca="1" si="15"/>
        <v>0.26840000000000003</v>
      </c>
      <c r="AJ24" s="500"/>
      <c r="AL24" s="526"/>
      <c r="AM24" s="380">
        <f t="shared" ca="1" si="0"/>
        <v>10648.11</v>
      </c>
      <c r="AN24" s="565">
        <f t="shared" ca="1" si="16"/>
        <v>1584.54</v>
      </c>
    </row>
    <row r="25" spans="1:40" ht="26.4" x14ac:dyDescent="0.3">
      <c r="A25" t="str">
        <f t="shared" si="1"/>
        <v>S</v>
      </c>
      <c r="B25">
        <f t="shared" ca="1" si="2"/>
        <v>2</v>
      </c>
      <c r="C25" t="str">
        <f t="shared" ca="1" si="3"/>
        <v>S</v>
      </c>
      <c r="D25">
        <f t="shared" ca="1" si="4"/>
        <v>0</v>
      </c>
      <c r="E25">
        <f ca="1">IF($C25=1,OFFSET(E25,-1,0)+MAX(1,COUNTIF(QCI!$A$13:$A$24,OFFSET(ORÇAMENTO!E25,-1,0))),OFFSET(E25,-1,0))</f>
        <v>1</v>
      </c>
      <c r="F25">
        <f t="shared" ca="1" si="5"/>
        <v>2</v>
      </c>
      <c r="G25">
        <f t="shared" ca="1" si="6"/>
        <v>0</v>
      </c>
      <c r="H25">
        <f t="shared" ca="1" si="7"/>
        <v>0</v>
      </c>
      <c r="I25">
        <f t="shared" ca="1" si="8"/>
        <v>6</v>
      </c>
      <c r="J25">
        <f t="shared" ca="1" si="9"/>
        <v>0</v>
      </c>
      <c r="K25">
        <f ca="1">IF(OR($C25="S",$C25=0),0,MATCH(OFFSET($D25,0,$C25)+IF($C25&lt;&gt;1,1,COUNTIF(QCI!$A$13:$A$24,ORÇAMENTO!E25)),OFFSET($D25,1,$C25,ROW($C$32)-ROW($C25)),0))</f>
        <v>0</v>
      </c>
      <c r="L25" s="115" t="str">
        <f t="shared" ca="1" si="10"/>
        <v>F</v>
      </c>
      <c r="M25" s="116" t="s">
        <v>199</v>
      </c>
      <c r="N25" s="117" t="str">
        <f t="shared" ca="1" si="11"/>
        <v>Serviço</v>
      </c>
      <c r="O25" s="118" t="str">
        <f t="shared" ca="1" si="12"/>
        <v>1.2.6.</v>
      </c>
      <c r="P25" s="119" t="s">
        <v>247</v>
      </c>
      <c r="Q25" s="120" t="s">
        <v>488</v>
      </c>
      <c r="R25" s="121" t="str">
        <f ca="1">IF($C25="S",REFERENCIA.Descricao,"(digite a descrição aqui)")</f>
        <v>VASO SANITÁRIO SIFONADO COM CAIXA ACOPLADA LOUÇA BRANCA - FORNECIMENTO E INSTALAÇÃO. AF_01/2020</v>
      </c>
      <c r="S25" s="122" t="str">
        <f ca="1">REFERENCIA.Unidade</f>
        <v>UN</v>
      </c>
      <c r="T25" s="123">
        <f ca="1">OFFSET(CÁLCULO!H$15,ROW($T25)-ROW(T$15),0)</f>
        <v>4</v>
      </c>
      <c r="U25" s="124">
        <f ca="1">ROUND(IF(DESONERACAO="sim",REFERENCIA.Desonerado,REFERENCIA.NaoDesonerado),2)</f>
        <v>473.09</v>
      </c>
      <c r="V25" s="125" t="s">
        <v>156</v>
      </c>
      <c r="W25" s="123">
        <f ca="1">IF($C25="S",ROUND(IF(TIPOORCAMENTO="Proposto",ORÇAMENTO.CustoUnitario*(1+$AH25),ORÇAMENTO.PrecoUnitarioLicitado),15-13*$AF$10),0)</f>
        <v>600.07000000000005</v>
      </c>
      <c r="X25" s="126">
        <f ca="1">IF($C25="S",IF(Import.TipoArredondamento&lt;&gt;"TransfereGOV",VTOTAL1,SUM(OFFSET(CÁLCULO!$AA$15,ROW($X25)-ROW($X$15),1):OFFSET(CÁLCULO!$AL$15,ROW($X25)-ROW($X$15),-1))),IF($C25=0,0,ROUND(SomaAgrup,15-13*$AF$11)))</f>
        <v>2400.2800000000002</v>
      </c>
      <c r="Y25" s="127" t="s">
        <v>245</v>
      </c>
      <c r="Z25" t="str">
        <f t="shared" ca="1" si="13"/>
        <v>RA</v>
      </c>
      <c r="AA25" s="128">
        <f ca="1">IF($C25="S",IF($Z25="CP",$X25,IF($Z25="RA",(($X25)*QCI!$AA$3),0)),SomaAgrup)</f>
        <v>10.619805286638451</v>
      </c>
      <c r="AB25" s="129">
        <f t="shared" ca="1" si="14"/>
        <v>0</v>
      </c>
      <c r="AC25" s="130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IF(C25&lt;=CRONO.NivelExibicao,MAX($AD$15:OFFSET(AD25,-1,0))+IF($C25&lt;&gt;1,1,MAX(1,COUNTIF(QCI!$A$13:$A$24,OFFSET($E25,-1,0)))),"")</f>
        <v/>
      </c>
      <c r="AE25" s="7" t="str">
        <f ca="1">IF(AND($C25="S",ORÇAMENTO.CodBarra&lt;&gt;""),IF(ORÇAMENTO.Fonte="",ORÇAMENTO.CodBarra,CONCATENATE(ORÇAMENTO.Fonte," ",ORÇAMENTO.CodBarra)))</f>
        <v>SINAPI 86888</v>
      </c>
      <c r="AF25" s="13">
        <f ca="1">IF(ISERROR(INDIRECT(ORÇAMENTO.BancoRef)),"(abra o arquivo 'Referência "&amp;Excel_BuiltIn_Database&amp;".xlsm)",IF(OR($C25&lt;&gt;"S",ORÇAMENTO.CodBarra=""),"(Sem Código)",IF(ISERROR(MATCH($AE25,INDIRECT(ORÇAMENTO.BancoRef),0)),"(Código não identificado nas referências)",MATCH($AE25,INDIRECT(ORÇAMENTO.BancoRef),0))))</f>
        <v>5273</v>
      </c>
      <c r="AG25" s="497">
        <f ca="1">ROUND(IF(DESONERACAO="sim",REFERENCIA.Desonerado,REFERENCIA.NaoDesonerado),2)</f>
        <v>473.09</v>
      </c>
      <c r="AH25" s="498">
        <f t="shared" ca="1" si="15"/>
        <v>0.26840000000000003</v>
      </c>
      <c r="AJ25" s="500"/>
      <c r="AL25" s="526"/>
      <c r="AM25" s="380">
        <f t="shared" ca="1" si="0"/>
        <v>2400.2800000000002</v>
      </c>
      <c r="AN25" s="565">
        <f t="shared" ca="1" si="16"/>
        <v>600.07000000000005</v>
      </c>
    </row>
    <row r="26" spans="1:40" ht="39.6" x14ac:dyDescent="0.3">
      <c r="A26" t="str">
        <f t="shared" si="1"/>
        <v>S</v>
      </c>
      <c r="B26">
        <f t="shared" ca="1" si="2"/>
        <v>2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IF($C26=1,OFFSET(E26,-1,0)+MAX(1,COUNTIF(QCI!$A$13:$A$24,OFFSET(ORÇAMENTO!E26,-1,0))),OFFSET(E26,-1,0))</f>
        <v>1</v>
      </c>
      <c r="F26">
        <f t="shared" ca="1" si="5"/>
        <v>2</v>
      </c>
      <c r="G26">
        <f t="shared" ca="1" si="6"/>
        <v>0</v>
      </c>
      <c r="H26">
        <f t="shared" ca="1" si="7"/>
        <v>0</v>
      </c>
      <c r="I26">
        <f t="shared" ca="1" si="8"/>
        <v>7</v>
      </c>
      <c r="J26">
        <f t="shared" ca="1" si="9"/>
        <v>0</v>
      </c>
      <c r="K26">
        <f ca="1">IF(OR($C26="S",$C26=0),0,MATCH(OFFSET($D26,0,$C26)+IF($C26&lt;&gt;1,1,COUNTIF(QCI!$A$13:$A$24,ORÇAMENTO!E26)),OFFSET($D26,1,$C26,ROW($C$32)-ROW($C26)),0))</f>
        <v>0</v>
      </c>
      <c r="L26" s="115" t="str">
        <f t="shared" ca="1" si="10"/>
        <v>F</v>
      </c>
      <c r="M26" s="116" t="s">
        <v>199</v>
      </c>
      <c r="N26" s="117" t="str">
        <f t="shared" ca="1" si="11"/>
        <v>Serviço</v>
      </c>
      <c r="O26" s="118" t="str">
        <f t="shared" ca="1" si="12"/>
        <v>1.2.7.</v>
      </c>
      <c r="P26" s="119" t="s">
        <v>247</v>
      </c>
      <c r="Q26" s="120" t="s">
        <v>469</v>
      </c>
      <c r="R26" s="121" t="str">
        <f ca="1">IF($C26="S",REFERENCIA.Descricao,"(digite a descrição aqui)")</f>
        <v>EMBOÇO OU MASSA ÚNICA EM ARGAMASSA TRAÇO 1:2:8, PREPARO MANUAL, APLICADA MANUALMENTE EM PANOS DE FACHADA COM PRESENÇA DE VÃOS, ESPESSURA DE 25 MM. AF_08/2022</v>
      </c>
      <c r="S26" s="122" t="str">
        <f ca="1">REFERENCIA.Unidade</f>
        <v>M2</v>
      </c>
      <c r="T26" s="123">
        <f ca="1">OFFSET(CÁLCULO!H$15,ROW($T26)-ROW(T$15),0)</f>
        <v>90</v>
      </c>
      <c r="U26" s="124">
        <f ca="1">ROUND(IF(DESONERACAO="sim",REFERENCIA.Desonerado,REFERENCIA.NaoDesonerado),2)</f>
        <v>57.74</v>
      </c>
      <c r="V26" s="125" t="s">
        <v>156</v>
      </c>
      <c r="W26" s="123">
        <f ca="1">IF($C26="S",ROUND(IF(TIPOORCAMENTO="Proposto",ORÇAMENTO.CustoUnitario*(1+$AH26),ORÇAMENTO.PrecoUnitarioLicitado),15-13*$AF$10),0)</f>
        <v>73.239999999999995</v>
      </c>
      <c r="X26" s="126">
        <f ca="1">IF($C26="S",IF(Import.TipoArredondamento&lt;&gt;"TransfereGOV",VTOTAL1,SUM(OFFSET(CÁLCULO!$AA$15,ROW($X26)-ROW($X$15),1):OFFSET(CÁLCULO!$AL$15,ROW($X26)-ROW($X$15),-1))),IF($C26=0,0,ROUND(SomaAgrup,15-13*$AF$11)))</f>
        <v>6591.6</v>
      </c>
      <c r="Y26" s="127" t="s">
        <v>245</v>
      </c>
      <c r="Z26" t="str">
        <f t="shared" ca="1" si="13"/>
        <v>RA</v>
      </c>
      <c r="AA26" s="128">
        <f ca="1">IF($C26="S",IF($Z26="CP",$X26,IF($Z26="RA",(($X26)*QCI!$AA$3),0)),SomaAgrup)</f>
        <v>29.163892765596518</v>
      </c>
      <c r="AB26" s="129">
        <f t="shared" ca="1" si="14"/>
        <v>0</v>
      </c>
      <c r="AC26" s="130" t="str">
        <f ca="1">IF($N26="","",IF(ORÇAMENTO.Descricao="","DESCRIÇÃO",IF(AND($C26="S",ORÇAMENTO.Unidade=""),"UNIDADE",IF($X26&lt;0,"VALOR NEGATIVO",IF(OR(AND(TIPOORCAMENTO="Proposto",$AG26&lt;&gt;"",$AG26&gt;0,ORÇAMENTO.CustoUnitario&gt;$AG26),AND(TIPOORCAMENTO="LICITADO",ORÇAMENTO.PrecoUnitarioLicitado&gt;$AN26)),"ACIMA REF.","")))))</f>
        <v/>
      </c>
      <c r="AD26" t="str">
        <f ca="1">IF(C26&lt;=CRONO.NivelExibicao,MAX($AD$15:OFFSET(AD26,-1,0))+IF($C26&lt;&gt;1,1,MAX(1,COUNTIF(QCI!$A$13:$A$24,OFFSET($E26,-1,0)))),"")</f>
        <v/>
      </c>
      <c r="AE26" s="7" t="str">
        <f ca="1">IF(AND($C26="S",ORÇAMENTO.CodBarra&lt;&gt;""),IF(ORÇAMENTO.Fonte="",ORÇAMENTO.CodBarra,CONCATENATE(ORÇAMENTO.Fonte," ",ORÇAMENTO.CodBarra)))</f>
        <v>SINAPI 87777</v>
      </c>
      <c r="AF26" s="13">
        <f ca="1">IF(ISERROR(INDIRECT(ORÇAMENTO.BancoRef)),"(abra o arquivo 'Referência "&amp;Excel_BuiltIn_Database&amp;".xlsm)",IF(OR($C26&lt;&gt;"S",ORÇAMENTO.CodBarra=""),"(Sem Código)",IF(ISERROR(MATCH($AE26,INDIRECT(ORÇAMENTO.BancoRef),0)),"(Código não identificado nas referências)",MATCH($AE26,INDIRECT(ORÇAMENTO.BancoRef),0))))</f>
        <v>6617</v>
      </c>
      <c r="AG26" s="497">
        <f ca="1">ROUND(IF(DESONERACAO="sim",REFERENCIA.Desonerado,REFERENCIA.NaoDesonerado),2)</f>
        <v>57.74</v>
      </c>
      <c r="AH26" s="498">
        <f t="shared" ca="1" si="15"/>
        <v>0.26840000000000003</v>
      </c>
      <c r="AJ26" s="500"/>
      <c r="AL26" s="526"/>
      <c r="AM26" s="380">
        <f t="shared" ca="1" si="0"/>
        <v>6591.6</v>
      </c>
      <c r="AN26" s="565">
        <f t="shared" ca="1" si="16"/>
        <v>73.239999999999995</v>
      </c>
    </row>
    <row r="27" spans="1:40" ht="26.4" x14ac:dyDescent="0.3">
      <c r="A27" t="str">
        <f t="shared" si="1"/>
        <v>S</v>
      </c>
      <c r="B27">
        <f t="shared" ca="1" si="2"/>
        <v>2</v>
      </c>
      <c r="C27" t="str">
        <f t="shared" ca="1" si="3"/>
        <v>S</v>
      </c>
      <c r="D27">
        <f t="shared" ca="1" si="4"/>
        <v>0</v>
      </c>
      <c r="E27">
        <f ca="1">IF($C27=1,OFFSET(E27,-1,0)+MAX(1,COUNTIF(QCI!$A$13:$A$24,OFFSET(ORÇAMENTO!E27,-1,0))),OFFSET(E27,-1,0))</f>
        <v>1</v>
      </c>
      <c r="F27">
        <f t="shared" ca="1" si="5"/>
        <v>2</v>
      </c>
      <c r="G27">
        <f t="shared" ca="1" si="6"/>
        <v>0</v>
      </c>
      <c r="H27">
        <f t="shared" ca="1" si="7"/>
        <v>0</v>
      </c>
      <c r="I27">
        <f t="shared" ca="1" si="8"/>
        <v>8</v>
      </c>
      <c r="J27">
        <f t="shared" ca="1" si="9"/>
        <v>0</v>
      </c>
      <c r="K27">
        <f ca="1">IF(OR($C27="S",$C27=0),0,MATCH(OFFSET($D27,0,$C27)+IF($C27&lt;&gt;1,1,COUNTIF(QCI!$A$13:$A$24,ORÇAMENTO!E27)),OFFSET($D27,1,$C27,ROW($C$32)-ROW($C27)),0))</f>
        <v>0</v>
      </c>
      <c r="L27" s="115" t="str">
        <f t="shared" ca="1" si="10"/>
        <v>F</v>
      </c>
      <c r="M27" s="116" t="s">
        <v>199</v>
      </c>
      <c r="N27" s="117" t="str">
        <f t="shared" ca="1" si="11"/>
        <v>Serviço</v>
      </c>
      <c r="O27" s="118" t="str">
        <f t="shared" ca="1" si="12"/>
        <v>1.2.8.</v>
      </c>
      <c r="P27" s="119" t="s">
        <v>247</v>
      </c>
      <c r="Q27" s="120" t="s">
        <v>489</v>
      </c>
      <c r="R27" s="121" t="str">
        <f ca="1">IF($C27="S",REFERENCIA.Descricao,"LOUÇAS")</f>
        <v>LUMINÁRIA TIPO PLAFON CIRCULAR, DE SOBREPOR, COM LED DE 12/13 W - FORNECIMENTO E INSTALAÇÃO. AF_09/2024</v>
      </c>
      <c r="S27" s="122" t="str">
        <f ca="1">REFERENCIA.Unidade</f>
        <v>UN</v>
      </c>
      <c r="T27" s="123">
        <f ca="1">OFFSET(CÁLCULO!H$15,ROW($T27)-ROW(T$15),0)</f>
        <v>38</v>
      </c>
      <c r="U27" s="124">
        <f ca="1">ROUND(IF(DESONERACAO="sim",REFERENCIA.Desonerado,REFERENCIA.NaoDesonerado),2)</f>
        <v>31.03</v>
      </c>
      <c r="V27" s="125" t="s">
        <v>156</v>
      </c>
      <c r="W27" s="123">
        <f ca="1">IF($C27="S",ROUND(IF(TIPOORCAMENTO="Proposto",ORÇAMENTO.CustoUnitario*(1+$AH27),ORÇAMENTO.PrecoUnitarioLicitado),15-13*$AF$10),0)</f>
        <v>39.36</v>
      </c>
      <c r="X27" s="126">
        <f ca="1">IF($C27="S",IF(Import.TipoArredondamento&lt;&gt;"TransfereGOV",VTOTAL1,SUM(OFFSET(CÁLCULO!$AA$15,ROW($X27)-ROW($X$15),1):OFFSET(CÁLCULO!$AL$15,ROW($X27)-ROW($X$15),-1))),IF($C27=0,0,ROUND(SomaAgrup,15-13*$AF$11)))</f>
        <v>1495.68</v>
      </c>
      <c r="Y27" s="127" t="s">
        <v>245</v>
      </c>
      <c r="Z27" t="str">
        <f t="shared" ca="1" si="13"/>
        <v>RA</v>
      </c>
      <c r="AA27" s="128">
        <f ca="1">IF($C27="S",IF($Z27="CP",$X27,IF($Z27="RA",(($X27)*QCI!$AA$3),0)),SomaAgrup)</f>
        <v>6.6174906140614427</v>
      </c>
      <c r="AB27" s="129">
        <f t="shared" ca="1" si="14"/>
        <v>0</v>
      </c>
      <c r="AC27" s="130" t="str">
        <f ca="1">IF($N27="","",IF(ORÇAMENTO.Descricao="","DESCRIÇÃO",IF(AND($C27="S",ORÇAMENTO.Unidade=""),"UNIDADE",IF($X27&lt;0,"VALOR NEGATIVO",IF(OR(AND(TIPOORCAMENTO="Proposto",$AG27&lt;&gt;"",$AG27&gt;0,ORÇAMENTO.CustoUnitario&gt;$AG27),AND(TIPOORCAMENTO="LICITADO",ORÇAMENTO.PrecoUnitarioLicitado&gt;$AN27)),"ACIMA REF.","")))))</f>
        <v/>
      </c>
      <c r="AD27" t="str">
        <f ca="1">IF(C27&lt;=CRONO.NivelExibicao,MAX($AD$15:OFFSET(AD27,-1,0))+IF($C27&lt;&gt;1,1,MAX(1,COUNTIF(QCI!$A$13:$A$24,OFFSET($E27,-1,0)))),"")</f>
        <v/>
      </c>
      <c r="AE27" s="7" t="str">
        <f ca="1">IF(AND($C27="S",ORÇAMENTO.CodBarra&lt;&gt;""),IF(ORÇAMENTO.Fonte="",ORÇAMENTO.CodBarra,CONCATENATE(ORÇAMENTO.Fonte," ",ORÇAMENTO.CodBarra)))</f>
        <v>SINAPI 103782</v>
      </c>
      <c r="AF27" s="13">
        <f ca="1">IF(ISERROR(INDIRECT(ORÇAMENTO.BancoRef)),"(abra o arquivo 'Referência "&amp;Excel_BuiltIn_Database&amp;".xlsm)",IF(OR($C27&lt;&gt;"S",ORÇAMENTO.CodBarra=""),"(Sem Código)",IF(ISERROR(MATCH($AE27,INDIRECT(ORÇAMENTO.BancoRef),0)),"(Código não identificado nas referências)",MATCH($AE27,INDIRECT(ORÇAMENTO.BancoRef),0))))</f>
        <v>3279</v>
      </c>
      <c r="AG27" s="497">
        <f ca="1">ROUND(IF(DESONERACAO="sim",REFERENCIA.Desonerado,REFERENCIA.NaoDesonerado),2)</f>
        <v>31.03</v>
      </c>
      <c r="AH27" s="498">
        <f t="shared" ca="1" si="15"/>
        <v>0.26840000000000003</v>
      </c>
      <c r="AJ27" s="500"/>
      <c r="AL27" s="526"/>
      <c r="AM27" s="380">
        <f t="shared" ca="1" si="0"/>
        <v>1495.68</v>
      </c>
      <c r="AN27" s="565">
        <f t="shared" ca="1" si="16"/>
        <v>39.36</v>
      </c>
    </row>
    <row r="28" spans="1:40" ht="26.4" x14ac:dyDescent="0.3">
      <c r="A28" t="str">
        <f>CHOOSE(1+LOG(1+2*(ORÇAMENTO.Nivel="Meta")+4*(ORÇAMENTO.Nivel="Nível 2")+8*(ORÇAMENTO.Nivel="Nível 3")+16*(ORÇAMENTO.Nivel="Nível 4")+32*(ORÇAMENTO.Nivel="Serviço"),2),0,1,2,3,4,"S")</f>
        <v>S</v>
      </c>
      <c r="B28">
        <f ca="1">IF(OR(C28="s",C28=0),OFFSET(B28,-1,0),C28)</f>
        <v>2</v>
      </c>
      <c r="C28" t="str">
        <f ca="1">IF(OFFSET(C28,-1,0)="L",1,IF(OFFSET(C28,-1,0)=1,2,IF(OR(A28="s",A28=0),"S",IF(AND(OFFSET(C28,-1,0)=2,A28=4),3,IF(AND(OR(OFFSET(C28,-1,0)="s",OFFSET(C28,-1,0)=0),A28&lt;&gt;"s",A28&gt;OFFSET(B28,-1,0)),OFFSET(B28,-1,0),A28)))))</f>
        <v>S</v>
      </c>
      <c r="D28">
        <f ca="1">IF(OR(C28="S",C28=0),0,IF(ISERROR(K28),J28,SMALL(J28:K28,1)))</f>
        <v>0</v>
      </c>
      <c r="E28">
        <f ca="1">IF($C28=1,OFFSET(E28,-1,0)+MAX(1,COUNTIF(QCI!$A$13:$A$24,OFFSET(ORÇAMENTO!E28,-1,0))),OFFSET(E28,-1,0))</f>
        <v>1</v>
      </c>
      <c r="F28">
        <f ca="1">IF($C28=1,0,IF($C28=2,OFFSET(F28,-1,0)+1,OFFSET(F28,-1,0)))</f>
        <v>2</v>
      </c>
      <c r="G28">
        <f ca="1">IF(AND($C28&lt;=2,$C28&lt;&gt;0),0,IF($C28=3,OFFSET(G28,-1,0)+1,OFFSET(G28,-1,0)))</f>
        <v>0</v>
      </c>
      <c r="H28">
        <f ca="1">IF(AND($C28&lt;=3,$C28&lt;&gt;0),0,IF($C28=4,OFFSET(H28,-1,0)+1,OFFSET(H28,-1,0)))</f>
        <v>0</v>
      </c>
      <c r="I28">
        <f ca="1">IF(AND($C28&lt;=4,$C28&lt;&gt;0),0,IF(AND($C28="S",$X28&gt;0),OFFSET(I28,-1,0)+1,OFFSET(I28,-1,0)))</f>
        <v>9</v>
      </c>
      <c r="J28">
        <f t="shared" ca="1" si="9"/>
        <v>0</v>
      </c>
      <c r="K28">
        <f ca="1">IF(OR($C28="S",$C28=0),0,MATCH(OFFSET($D28,0,$C28)+IF($C28&lt;&gt;1,1,COUNTIF(QCI!$A$13:$A$24,ORÇAMENTO!E28)),OFFSET($D28,1,$C28,ROW($C$32)-ROW($C28)),0))</f>
        <v>0</v>
      </c>
      <c r="L28" s="115" t="str">
        <f ca="1">IF(OR($X28&gt;0,$C28=1,$C28=2,$C28=3,$C28=4),"F","")</f>
        <v>F</v>
      </c>
      <c r="M28" s="116" t="s">
        <v>199</v>
      </c>
      <c r="N28" s="117" t="str">
        <f ca="1">CHOOSE(1+LOG(1+2*(C28=1)+4*(C28=2)+8*(C28=3)+16*(C28=4)+32*(C28="S"),2),"","Meta","Nível 2","Nível 3","Nível 4","Serviço")</f>
        <v>Serviço</v>
      </c>
      <c r="O28" s="118" t="str">
        <f ca="1">IF(OR($C28=0,$L28=""),"-",CONCATENATE(E28&amp;".",IF(AND($A$5&gt;=2,$C28&gt;=2),F28&amp;".",""),IF(AND($A$5&gt;=3,$C28&gt;=3),G28&amp;".",""),IF(AND($A$5&gt;=4,$C28&gt;=4),H28&amp;".",""),IF($C28="S",I28&amp;".","")))</f>
        <v>1.2.9.</v>
      </c>
      <c r="P28" s="119" t="s">
        <v>247</v>
      </c>
      <c r="Q28" s="120" t="s">
        <v>490</v>
      </c>
      <c r="R28" s="121" t="str">
        <f ca="1">IF($C28="S",REFERENCIA.Descricao,"(digite a descrição aqui)")</f>
        <v>CHUVEIRO ELÉTRICO COMUM CORPO PLÁSTICO, TIPO DUCHA - FORNECIMENTO E INSTALAÇÃO. AF_01/2020</v>
      </c>
      <c r="S28" s="122" t="str">
        <f ca="1">REFERENCIA.Unidade</f>
        <v>UN</v>
      </c>
      <c r="T28" s="123">
        <f ca="1">OFFSET(CÁLCULO!H$15,ROW($T28)-ROW(T$15),0)</f>
        <v>4</v>
      </c>
      <c r="U28" s="124">
        <f ca="1">ROUND(IF(DESONERACAO="sim",REFERENCIA.Desonerado,REFERENCIA.NaoDesonerado),2)</f>
        <v>90.22</v>
      </c>
      <c r="V28" s="125" t="s">
        <v>156</v>
      </c>
      <c r="W28" s="123">
        <f ca="1">IF($C28="S",ROUND(IF(TIPOORCAMENTO="Proposto",ORÇAMENTO.CustoUnitario*(1+$AH28),ORÇAMENTO.PrecoUnitarioLicitado),15-13*$AF$10),0)</f>
        <v>114.44</v>
      </c>
      <c r="X28" s="126">
        <f ca="1">IF($C28="S",IF(Import.TipoArredondamento&lt;&gt;"TransfereGOV",VTOTAL1,SUM(OFFSET(CÁLCULO!$AA$15,ROW($X28)-ROW($X$15),1):OFFSET(CÁLCULO!$AL$15,ROW($X28)-ROW($X$15),-1))),IF($C28=0,0,ROUND(SomaAgrup,15-13*$AF$11)))</f>
        <v>457.76</v>
      </c>
      <c r="Y28" s="127" t="s">
        <v>245</v>
      </c>
      <c r="Z28" t="str">
        <f ca="1">IF(AND($C28="S",$X28&gt;0),IF(ISBLANK($Y28),"RA",LEFT($Y28,2)),"")</f>
        <v>RA</v>
      </c>
      <c r="AA28" s="128">
        <f ca="1">IF($C28="S",IF($Z28="CP",$X28,IF($Z28="RA",(($X28)*QCI!$AA$3),0)),SomaAgrup)</f>
        <v>2.0253145749710937</v>
      </c>
      <c r="AB28" s="129">
        <f ca="1">IF($C28="S",IF($Z28="OU",ROUND($X28,2),0),SomaAgrup)</f>
        <v>0</v>
      </c>
      <c r="AC28" s="130" t="str">
        <f ca="1">IF($N28="","",IF(ORÇAMENTO.Descricao="","DESCRIÇÃO",IF(AND($C28="S",ORÇAMENTO.Unidade=""),"UNIDADE",IF($X28&lt;0,"VALOR NEGATIVO",IF(OR(AND(TIPOORCAMENTO="Proposto",$AG28&lt;&gt;"",$AG28&gt;0,ORÇAMENTO.CustoUnitario&gt;$AG28),AND(TIPOORCAMENTO="LICITADO",ORÇAMENTO.PrecoUnitarioLicitado&gt;$AN28)),"ACIMA REF.","")))))</f>
        <v/>
      </c>
      <c r="AD28" t="str">
        <f ca="1">IF(C28&lt;=CRONO.NivelExibicao,MAX($AD$15:OFFSET(AD28,-1,0))+IF($C28&lt;&gt;1,1,MAX(1,COUNTIF(QCI!$A$13:$A$24,OFFSET($E28,-1,0)))),"")</f>
        <v/>
      </c>
      <c r="AE28" s="7" t="str">
        <f ca="1">IF(AND($C28="S",ORÇAMENTO.CodBarra&lt;&gt;""),IF(ORÇAMENTO.Fonte="",ORÇAMENTO.CodBarra,CONCATENATE(ORÇAMENTO.Fonte," ",ORÇAMENTO.CodBarra)))</f>
        <v>SINAPI 100860</v>
      </c>
      <c r="AF28" s="13">
        <f ca="1">IF(ISERROR(INDIRECT(ORÇAMENTO.BancoRef)),"(abra o arquivo 'Referência "&amp;Excel_BuiltIn_Database&amp;".xlsm)",IF(OR($C28&lt;&gt;"S",ORÇAMENTO.CodBarra=""),"(Sem Código)",IF(ISERROR(MATCH($AE28,INDIRECT(ORÇAMENTO.BancoRef),0)),"(Código não identificado nas referências)",MATCH($AE28,INDIRECT(ORÇAMENTO.BancoRef),0))))</f>
        <v>5343</v>
      </c>
      <c r="AG28" s="497">
        <f ca="1">ROUND(IF(DESONERACAO="sim",REFERENCIA.Desonerado,REFERENCIA.NaoDesonerado),2)</f>
        <v>90.22</v>
      </c>
      <c r="AH28" s="498">
        <f ca="1">ROUND(IF(ISNUMBER(ORÇAMENTO.OpcaoBDI),ORÇAMENTO.OpcaoBDI,IF(LEFT(ORÇAMENTO.OpcaoBDI,3)="BDI",HLOOKUP(ORÇAMENTO.OpcaoBDI,$F$4:$H$5,2,FALSE),0)),15-11*$AF$9)</f>
        <v>0.26840000000000003</v>
      </c>
      <c r="AJ28" s="500"/>
      <c r="AL28" s="526"/>
      <c r="AM28" s="380">
        <f t="shared" ca="1" si="0"/>
        <v>457.76</v>
      </c>
      <c r="AN28" s="565">
        <f ca="1">ROUND(ORÇAMENTO.CustoUnitario*(1+$AH28),2)</f>
        <v>114.44</v>
      </c>
    </row>
    <row r="29" spans="1:40" ht="13.8" x14ac:dyDescent="0.3">
      <c r="A29">
        <f t="shared" si="1"/>
        <v>2</v>
      </c>
      <c r="B29">
        <f t="shared" ca="1" si="2"/>
        <v>2</v>
      </c>
      <c r="C29">
        <f t="shared" ca="1" si="3"/>
        <v>2</v>
      </c>
      <c r="D29">
        <f t="shared" ca="1" si="4"/>
        <v>3</v>
      </c>
      <c r="E29">
        <f ca="1">IF($C29=1,OFFSET(E29,-1,0)+MAX(1,COUNTIF(QCI!$A$13:$A$24,OFFSET(ORÇAMENTO!E29,-1,0))),OFFSET(E29,-1,0))</f>
        <v>1</v>
      </c>
      <c r="F29">
        <f t="shared" ca="1" si="5"/>
        <v>3</v>
      </c>
      <c r="G29">
        <f t="shared" ca="1" si="6"/>
        <v>0</v>
      </c>
      <c r="H29">
        <f t="shared" ca="1" si="7"/>
        <v>0</v>
      </c>
      <c r="I29">
        <f t="shared" ca="1" si="8"/>
        <v>0</v>
      </c>
      <c r="J29">
        <f t="shared" ca="1" si="9"/>
        <v>3</v>
      </c>
      <c r="K29" t="e">
        <f ca="1">IF(OR($C29="S",$C29=0),0,MATCH(OFFSET($D29,0,$C29)+IF($C29&lt;&gt;1,1,COUNTIF(QCI!$A$13:$A$24,ORÇAMENTO!E29)),OFFSET($D29,1,$C29,ROW($C$32)-ROW($C29)),0))</f>
        <v>#N/A</v>
      </c>
      <c r="L29" s="115" t="str">
        <f t="shared" ca="1" si="10"/>
        <v>F</v>
      </c>
      <c r="M29" s="116" t="s">
        <v>196</v>
      </c>
      <c r="N29" s="117" t="str">
        <f t="shared" ca="1" si="11"/>
        <v>Nível 2</v>
      </c>
      <c r="O29" s="118" t="str">
        <f t="shared" ca="1" si="12"/>
        <v>1.3.</v>
      </c>
      <c r="P29" s="119" t="s">
        <v>247</v>
      </c>
      <c r="Q29" s="120" t="s">
        <v>471</v>
      </c>
      <c r="R29" s="121" t="s">
        <v>483</v>
      </c>
      <c r="S29" s="122" t="str">
        <f ca="1">REFERENCIA.Unidade</f>
        <v>-</v>
      </c>
      <c r="T29" s="123">
        <f ca="1">OFFSET(CÁLCULO!H$15,ROW($T29)-ROW(T$15),0)</f>
        <v>0</v>
      </c>
      <c r="U29" s="124">
        <f ca="1">ROUND(IF(DESONERACAO="sim",REFERENCIA.Desonerado,REFERENCIA.NaoDesonerado),2)</f>
        <v>0</v>
      </c>
      <c r="V29" s="125" t="s">
        <v>156</v>
      </c>
      <c r="W29" s="123">
        <f ca="1">IF($C29="S",ROUND(IF(TIPOORCAMENTO="Proposto",ORÇAMENTO.CustoUnitario*(1+$AH29),ORÇAMENTO.PrecoUnitarioLicitado),15-13*$AF$10),0)</f>
        <v>0</v>
      </c>
      <c r="X29" s="126">
        <f ca="1">IF($C29="S",IF(Import.TipoArredondamento&lt;&gt;"TransfereGOV",VTOTAL1,SUM(OFFSET(CÁLCULO!$AA$15,ROW($X29)-ROW($X$15),1):OFFSET(CÁLCULO!$AL$15,ROW($X29)-ROW($X$15),-1))),IF($C29=0,0,ROUND(SomaAgrup,15-13*$AF$11)))</f>
        <v>49495.199999999997</v>
      </c>
      <c r="Y29" s="127" t="s">
        <v>245</v>
      </c>
      <c r="Z29" t="str">
        <f t="shared" ca="1" si="13"/>
        <v/>
      </c>
      <c r="AA29" s="128">
        <f ca="1">IF($C29="S",IF($Z29="CP",$X29,IF($Z29="RA",(($X29)*QCI!$AA$3),0)),SomaAgrup)</f>
        <v>218.98669597848061</v>
      </c>
      <c r="AB29" s="129">
        <f t="shared" ca="1" si="14"/>
        <v>0</v>
      </c>
      <c r="AC29" s="130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>
        <f ca="1">IF(C29&lt;=CRONO.NivelExibicao,MAX($AD$15:OFFSET(AD29,-1,0))+IF($C29&lt;&gt;1,1,MAX(1,COUNTIF(QCI!$A$13:$A$24,OFFSET($E29,-1,0)))),"")</f>
        <v>4</v>
      </c>
      <c r="AE29" s="7" t="b">
        <f ca="1">IF(AND($C29="S",ORÇAMENTO.CodBarra&lt;&gt;""),IF(ORÇAMENTO.Fonte="",ORÇAMENTO.CodBarra,CONCATENATE(ORÇAMENTO.Fonte," ",ORÇAMENTO.CodBarra)))</f>
        <v>0</v>
      </c>
      <c r="AF29" s="13" t="str">
        <f ca="1">IF(ISERROR(INDIRECT(ORÇAMENTO.BancoRef)),"(abra o arquivo 'Referência "&amp;Excel_BuiltIn_Database&amp;".xlsm)",IF(OR($C29&lt;&gt;"S",ORÇAMENTO.CodBarra=""),"(Sem Código)",IF(ISERROR(MATCH($AE29,INDIRECT(ORÇAMENTO.BancoRef),0)),"(Código não identificado nas referências)",MATCH($AE29,INDIRECT(ORÇAMENTO.BancoRef),0))))</f>
        <v>(Sem Código)</v>
      </c>
      <c r="AG29" s="497">
        <f ca="1">ROUND(IF(DESONERACAO="sim",REFERENCIA.Desonerado,REFERENCIA.NaoDesonerado),2)</f>
        <v>0</v>
      </c>
      <c r="AH29" s="498">
        <f t="shared" ca="1" si="15"/>
        <v>0.26840000000000003</v>
      </c>
      <c r="AJ29" s="500"/>
      <c r="AL29" s="526"/>
      <c r="AM29" s="380">
        <f t="shared" ca="1" si="0"/>
        <v>49495.199999999997</v>
      </c>
      <c r="AN29" s="565">
        <f t="shared" ca="1" si="16"/>
        <v>0</v>
      </c>
    </row>
    <row r="30" spans="1:40" ht="26.4" x14ac:dyDescent="0.3">
      <c r="A30" t="str">
        <f t="shared" si="1"/>
        <v>S</v>
      </c>
      <c r="B30">
        <f t="shared" ca="1" si="2"/>
        <v>2</v>
      </c>
      <c r="C30" t="str">
        <f t="shared" ca="1" si="3"/>
        <v>S</v>
      </c>
      <c r="D30">
        <f t="shared" ca="1" si="4"/>
        <v>0</v>
      </c>
      <c r="E30">
        <f ca="1">IF($C30=1,OFFSET(E30,-1,0)+MAX(1,COUNTIF(QCI!$A$13:$A$24,OFFSET(ORÇAMENTO!E30,-1,0))),OFFSET(E30,-1,0))</f>
        <v>1</v>
      </c>
      <c r="F30">
        <f t="shared" ca="1" si="5"/>
        <v>3</v>
      </c>
      <c r="G30">
        <f t="shared" ca="1" si="6"/>
        <v>0</v>
      </c>
      <c r="H30">
        <f t="shared" ca="1" si="7"/>
        <v>0</v>
      </c>
      <c r="I30">
        <f t="shared" ca="1" si="8"/>
        <v>1</v>
      </c>
      <c r="J30">
        <f t="shared" ca="1" si="9"/>
        <v>0</v>
      </c>
      <c r="K30">
        <f ca="1">IF(OR($C30="S",$C30=0),0,MATCH(OFFSET($D30,0,$C30)+IF($C30&lt;&gt;1,1,COUNTIF(QCI!$A$13:$A$24,ORÇAMENTO!E30)),OFFSET($D30,1,$C30,ROW($C$32)-ROW($C30)),0))</f>
        <v>0</v>
      </c>
      <c r="L30" s="115" t="str">
        <f t="shared" ca="1" si="10"/>
        <v>F</v>
      </c>
      <c r="M30" s="116" t="s">
        <v>199</v>
      </c>
      <c r="N30" s="117" t="str">
        <f t="shared" ca="1" si="11"/>
        <v>Serviço</v>
      </c>
      <c r="O30" s="118" t="str">
        <f t="shared" ca="1" si="12"/>
        <v>1.3.1.</v>
      </c>
      <c r="P30" s="119" t="s">
        <v>247</v>
      </c>
      <c r="Q30" s="120" t="s">
        <v>470</v>
      </c>
      <c r="R30" s="121" t="str">
        <f ca="1">IF($C30="S",REFERENCIA.Descricao,"(digite a descrição aqui)")</f>
        <v>PINTURA LÁTEX ACRÍLICA PREMIUM, APLICAÇÃO MANUAL EM PAREDES, DUAS DEMÃOS. AF_04/2023</v>
      </c>
      <c r="S30" s="122" t="str">
        <f ca="1">REFERENCIA.Unidade</f>
        <v>M2</v>
      </c>
      <c r="T30" s="123">
        <f ca="1">OFFSET(CÁLCULO!H$15,ROW($T30)-ROW(T$15),0)</f>
        <v>2515</v>
      </c>
      <c r="U30" s="124">
        <f ca="1">ROUND(IF(DESONERACAO="sim",REFERENCIA.Desonerado,REFERENCIA.NaoDesonerado),2)</f>
        <v>11.83</v>
      </c>
      <c r="V30" s="125" t="s">
        <v>156</v>
      </c>
      <c r="W30" s="123">
        <f ca="1">IF($C30="S",ROUND(IF(TIPOORCAMENTO="Proposto",ORÇAMENTO.CustoUnitario*(1+$AH30),ORÇAMENTO.PrecoUnitarioLicitado),15-13*$AF$10),0)</f>
        <v>15.01</v>
      </c>
      <c r="X30" s="126">
        <f ca="1">IF($C30="S",IF(Import.TipoArredondamento&lt;&gt;"TransfereGOV",VTOTAL1,SUM(OFFSET(CÁLCULO!$AA$15,ROW($X30)-ROW($X$15),1):OFFSET(CÁLCULO!$AL$15,ROW($X30)-ROW($X$15),-1))),IF($C30=0,0,ROUND(SomaAgrup,15-13*$AF$11)))</f>
        <v>37750.15</v>
      </c>
      <c r="Y30" s="127" t="s">
        <v>245</v>
      </c>
      <c r="Z30" t="str">
        <f t="shared" ca="1" si="13"/>
        <v>RA</v>
      </c>
      <c r="AA30" s="128">
        <f ca="1">IF($C30="S",IF($Z30="CP",$X30,IF($Z30="RA",(($X30)*QCI!$AA$3),0)),SomaAgrup)</f>
        <v>167.02186517464401</v>
      </c>
      <c r="AB30" s="129">
        <f t="shared" ca="1" si="14"/>
        <v>0</v>
      </c>
      <c r="AC30" s="130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t="str">
        <f ca="1">IF(C30&lt;=CRONO.NivelExibicao,MAX($AD$15:OFFSET(AD30,-1,0))+IF($C30&lt;&gt;1,1,MAX(1,COUNTIF(QCI!$A$13:$A$24,OFFSET($E30,-1,0)))),"")</f>
        <v/>
      </c>
      <c r="AE30" s="7" t="str">
        <f ca="1">IF(AND($C30="S",ORÇAMENTO.CodBarra&lt;&gt;""),IF(ORÇAMENTO.Fonte="",ORÇAMENTO.CodBarra,CONCATENATE(ORÇAMENTO.Fonte," ",ORÇAMENTO.CodBarra)))</f>
        <v>SINAPI 88489</v>
      </c>
      <c r="AF30" s="13">
        <f ca="1">IF(ISERROR(INDIRECT(ORÇAMENTO.BancoRef)),"(abra o arquivo 'Referência "&amp;Excel_BuiltIn_Database&amp;".xlsm)",IF(OR($C30&lt;&gt;"S",ORÇAMENTO.CodBarra=""),"(Sem Código)",IF(ISERROR(MATCH($AE30,INDIRECT(ORÇAMENTO.BancoRef),0)),"(Código não identificado nas referências)",MATCH($AE30,INDIRECT(ORÇAMENTO.BancoRef),0))))</f>
        <v>6297</v>
      </c>
      <c r="AG30" s="497">
        <f ca="1">ROUND(IF(DESONERACAO="sim",REFERENCIA.Desonerado,REFERENCIA.NaoDesonerado),2)</f>
        <v>11.83</v>
      </c>
      <c r="AH30" s="498">
        <f t="shared" ca="1" si="15"/>
        <v>0.26840000000000003</v>
      </c>
      <c r="AJ30" s="500"/>
      <c r="AL30" s="526"/>
      <c r="AM30" s="380">
        <f t="shared" ca="1" si="0"/>
        <v>37750.15</v>
      </c>
      <c r="AN30" s="565">
        <f t="shared" ca="1" si="16"/>
        <v>15.01</v>
      </c>
    </row>
    <row r="31" spans="1:40" ht="26.4" x14ac:dyDescent="0.3">
      <c r="A31" t="str">
        <f t="shared" si="1"/>
        <v>S</v>
      </c>
      <c r="B31">
        <f t="shared" ca="1" si="2"/>
        <v>2</v>
      </c>
      <c r="C31" t="str">
        <f t="shared" ca="1" si="3"/>
        <v>S</v>
      </c>
      <c r="D31">
        <f t="shared" ca="1" si="4"/>
        <v>0</v>
      </c>
      <c r="E31">
        <f ca="1">IF($C31=1,OFFSET(E31,-1,0)+MAX(1,COUNTIF(QCI!$A$13:$A$24,OFFSET(ORÇAMENTO!E31,-1,0))),OFFSET(E31,-1,0))</f>
        <v>1</v>
      </c>
      <c r="F31">
        <f t="shared" ca="1" si="5"/>
        <v>3</v>
      </c>
      <c r="G31">
        <f t="shared" ca="1" si="6"/>
        <v>0</v>
      </c>
      <c r="H31">
        <f t="shared" ca="1" si="7"/>
        <v>0</v>
      </c>
      <c r="I31">
        <f t="shared" ca="1" si="8"/>
        <v>2</v>
      </c>
      <c r="J31">
        <f t="shared" ca="1" si="9"/>
        <v>0</v>
      </c>
      <c r="K31">
        <f ca="1">IF(OR($C31="S",$C31=0),0,MATCH(OFFSET($D31,0,$C31)+IF($C31&lt;&gt;1,1,COUNTIF(QCI!$A$13:$A$24,ORÇAMENTO!E31)),OFFSET($D31,1,$C31,ROW($C$32)-ROW($C31)),0))</f>
        <v>0</v>
      </c>
      <c r="L31" s="115" t="str">
        <f t="shared" ca="1" si="10"/>
        <v>F</v>
      </c>
      <c r="M31" s="116" t="s">
        <v>199</v>
      </c>
      <c r="N31" s="117" t="str">
        <f t="shared" ca="1" si="11"/>
        <v>Serviço</v>
      </c>
      <c r="O31" s="118" t="str">
        <f t="shared" ca="1" si="12"/>
        <v>1.3.2.</v>
      </c>
      <c r="P31" s="119" t="s">
        <v>247</v>
      </c>
      <c r="Q31" s="120" t="s">
        <v>471</v>
      </c>
      <c r="R31" s="121" t="str">
        <f ca="1">IF($C31="S",REFERENCIA.Descricao,"(digite a descrição aqui)")</f>
        <v>FUNDO SELADOR ACRÍLICO, APLICAÇÃO MANUAL EM PAREDE, UMA DEMÃO. AF_04/2023</v>
      </c>
      <c r="S31" s="122" t="str">
        <f ca="1">REFERENCIA.Unidade</f>
        <v>M2</v>
      </c>
      <c r="T31" s="123">
        <f ca="1">OFFSET(CÁLCULO!H$15,ROW($T31)-ROW(T$15),0)</f>
        <v>2515</v>
      </c>
      <c r="U31" s="124">
        <f ca="1">ROUND(IF(DESONERACAO="sim",REFERENCIA.Desonerado,REFERENCIA.NaoDesonerado),2)</f>
        <v>3.68</v>
      </c>
      <c r="V31" s="125" t="s">
        <v>156</v>
      </c>
      <c r="W31" s="123">
        <f ca="1">IF($C31="S",ROUND(IF(TIPOORCAMENTO="Proposto",ORÇAMENTO.CustoUnitario*(1+$AH31),ORÇAMENTO.PrecoUnitarioLicitado),15-13*$AF$10),0)</f>
        <v>4.67</v>
      </c>
      <c r="X31" s="126">
        <f ca="1">IF($C31="S",IF(Import.TipoArredondamento&lt;&gt;"TransfereGOV",VTOTAL1,SUM(OFFSET(CÁLCULO!$AA$15,ROW($X31)-ROW($X$15),1):OFFSET(CÁLCULO!$AL$15,ROW($X31)-ROW($X$15),-1))),IF($C31=0,0,ROUND(SomaAgrup,15-13*$AF$11)))</f>
        <v>11745.05</v>
      </c>
      <c r="Y31" s="127" t="s">
        <v>245</v>
      </c>
      <c r="Z31" t="str">
        <f t="shared" ca="1" si="13"/>
        <v>RA</v>
      </c>
      <c r="AA31" s="128">
        <f ca="1">IF($C31="S",IF($Z31="CP",$X31,IF($Z31="RA",(($X31)*QCI!$AA$3),0)),SomaAgrup)</f>
        <v>51.964830803836605</v>
      </c>
      <c r="AB31" s="129">
        <f t="shared" ca="1" si="14"/>
        <v>0</v>
      </c>
      <c r="AC31" s="130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t="str">
        <f ca="1">IF(C31&lt;=CRONO.NivelExibicao,MAX($AD$15:OFFSET(AD31,-1,0))+IF($C31&lt;&gt;1,1,MAX(1,COUNTIF(QCI!$A$13:$A$24,OFFSET($E31,-1,0)))),"")</f>
        <v/>
      </c>
      <c r="AE31" s="7" t="str">
        <f ca="1">IF(AND($C31="S",ORÇAMENTO.CodBarra&lt;&gt;""),IF(ORÇAMENTO.Fonte="",ORÇAMENTO.CodBarra,CONCATENATE(ORÇAMENTO.Fonte," ",ORÇAMENTO.CodBarra)))</f>
        <v>SINAPI 88485</v>
      </c>
      <c r="AF31" s="13">
        <f ca="1">IF(ISERROR(INDIRECT(ORÇAMENTO.BancoRef)),"(abra o arquivo 'Referência "&amp;Excel_BuiltIn_Database&amp;".xlsm)",IF(OR($C31&lt;&gt;"S",ORÇAMENTO.CodBarra=""),"(Sem Código)",IF(ISERROR(MATCH($AE31,INDIRECT(ORÇAMENTO.BancoRef),0)),"(Código não identificado nas referências)",MATCH($AE31,INDIRECT(ORÇAMENTO.BancoRef),0))))</f>
        <v>6295</v>
      </c>
      <c r="AG31" s="497">
        <f ca="1">ROUND(IF(DESONERACAO="sim",REFERENCIA.Desonerado,REFERENCIA.NaoDesonerado),2)</f>
        <v>3.68</v>
      </c>
      <c r="AH31" s="498">
        <f t="shared" ca="1" si="15"/>
        <v>0.26840000000000003</v>
      </c>
      <c r="AJ31" s="500"/>
      <c r="AL31" s="526"/>
      <c r="AM31" s="380">
        <f t="shared" ca="1" si="0"/>
        <v>11745.05</v>
      </c>
      <c r="AN31" s="565">
        <f t="shared" ca="1" si="16"/>
        <v>4.67</v>
      </c>
    </row>
    <row r="32" spans="1:40" ht="5.0999999999999996" customHeight="1" x14ac:dyDescent="0.3">
      <c r="A32">
        <v>-1</v>
      </c>
      <c r="C32">
        <v>-1</v>
      </c>
      <c r="E32">
        <v>0</v>
      </c>
      <c r="F32">
        <v>0</v>
      </c>
      <c r="G32">
        <v>0</v>
      </c>
      <c r="H32">
        <v>0</v>
      </c>
      <c r="I32">
        <v>0</v>
      </c>
      <c r="L32" s="115" t="s">
        <v>246</v>
      </c>
      <c r="M32" s="491"/>
      <c r="N32" s="492"/>
      <c r="O32" s="491"/>
      <c r="P32" s="493"/>
      <c r="Q32" s="493"/>
      <c r="R32" s="493"/>
      <c r="S32" s="493"/>
      <c r="T32" s="493"/>
      <c r="U32" s="493"/>
      <c r="V32" s="493"/>
      <c r="W32" s="493"/>
      <c r="X32" s="492"/>
      <c r="AG32" s="483"/>
      <c r="AH32" s="485"/>
      <c r="AJ32" s="494"/>
      <c r="AL32" s="483"/>
      <c r="AM32" s="484"/>
      <c r="AN32" s="485"/>
    </row>
    <row r="35" spans="15:28" ht="13.8" x14ac:dyDescent="0.25">
      <c r="O35" s="139" t="s">
        <v>248</v>
      </c>
      <c r="Q35" s="620" t="s">
        <v>249</v>
      </c>
      <c r="R35" s="620"/>
      <c r="S35" s="620"/>
      <c r="T35" s="620"/>
      <c r="U35" s="620"/>
      <c r="V35" s="620"/>
      <c r="W35" s="620"/>
      <c r="X35" s="620"/>
    </row>
    <row r="37" spans="15:28" ht="13.8" x14ac:dyDescent="0.25">
      <c r="O37" s="140" t="s">
        <v>187</v>
      </c>
      <c r="X37" s="4"/>
    </row>
    <row r="38" spans="15:28" ht="12.75" customHeight="1" x14ac:dyDescent="0.25">
      <c r="O38" s="621"/>
      <c r="P38" s="621"/>
      <c r="Q38" s="621"/>
      <c r="R38" s="621"/>
      <c r="S38" s="621"/>
      <c r="T38" s="621"/>
      <c r="U38" s="621"/>
      <c r="V38" s="621"/>
      <c r="W38" s="621"/>
      <c r="X38" s="621"/>
    </row>
    <row r="39" spans="15:28" x14ac:dyDescent="0.25">
      <c r="O39" s="621"/>
      <c r="P39" s="621"/>
      <c r="Q39" s="621"/>
      <c r="R39" s="621"/>
      <c r="S39" s="621"/>
      <c r="T39" s="621"/>
      <c r="U39" s="621"/>
      <c r="V39" s="621"/>
      <c r="W39" s="621"/>
      <c r="X39" s="621"/>
    </row>
    <row r="40" spans="15:28" x14ac:dyDescent="0.25">
      <c r="O40" s="621"/>
      <c r="P40" s="621"/>
      <c r="Q40" s="621"/>
      <c r="R40" s="621"/>
      <c r="S40" s="621"/>
      <c r="T40" s="621"/>
      <c r="U40" s="621"/>
      <c r="V40" s="621"/>
      <c r="W40" s="621"/>
      <c r="X40" s="621"/>
    </row>
    <row r="41" spans="15:28" ht="13.8" x14ac:dyDescent="0.25">
      <c r="O41" s="533"/>
      <c r="P41" s="533"/>
      <c r="Q41" s="533"/>
      <c r="R41" s="533"/>
      <c r="S41" s="533"/>
      <c r="T41" s="533"/>
      <c r="U41" s="533"/>
      <c r="V41" s="533"/>
      <c r="W41" s="533"/>
      <c r="X41" s="533"/>
      <c r="Y41" s="533"/>
      <c r="Z41" s="141"/>
      <c r="AA41" s="141"/>
      <c r="AB41" s="141"/>
    </row>
    <row r="42" spans="15:28" ht="13.8" x14ac:dyDescent="0.25">
      <c r="O42" s="622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42" s="622"/>
      <c r="Q42" s="622"/>
      <c r="R42" s="622"/>
      <c r="S42" s="622"/>
      <c r="T42" s="622"/>
      <c r="U42" s="622"/>
      <c r="V42" s="622"/>
      <c r="W42" s="622"/>
      <c r="X42" s="622"/>
      <c r="Y42" s="142"/>
      <c r="Z42" s="142"/>
      <c r="AA42" s="142"/>
      <c r="AB42" s="142"/>
    </row>
    <row r="43" spans="15:28" ht="15" customHeight="1" x14ac:dyDescent="0.25">
      <c r="O43" s="624" t="s">
        <v>250</v>
      </c>
      <c r="P43" s="624"/>
      <c r="Q43" s="624"/>
      <c r="R43" s="624"/>
      <c r="S43" s="624"/>
      <c r="T43" s="624"/>
      <c r="U43" s="624"/>
      <c r="V43" s="624"/>
      <c r="W43" s="624"/>
      <c r="X43" s="624"/>
      <c r="Y43" s="142"/>
      <c r="Z43" s="142"/>
      <c r="AA43" s="142"/>
      <c r="AB43" s="142"/>
    </row>
    <row r="45" spans="15:28" ht="30" customHeight="1" x14ac:dyDescent="0.25">
      <c r="O45" s="623" t="str">
        <f>Import.Município</f>
        <v>BOM JARDIM DE MINAS - MG</v>
      </c>
      <c r="P45" s="623"/>
      <c r="Q45" s="623"/>
      <c r="S45" s="552"/>
      <c r="T45" s="552"/>
      <c r="U45" s="552"/>
      <c r="V45" s="552"/>
      <c r="W45" s="478"/>
    </row>
    <row r="46" spans="15:28" x14ac:dyDescent="0.25">
      <c r="O46" s="10" t="s">
        <v>188</v>
      </c>
      <c r="S46" s="194" t="s">
        <v>190</v>
      </c>
      <c r="T46" s="194"/>
      <c r="U46" s="194"/>
      <c r="V46" s="194"/>
    </row>
    <row r="47" spans="15:28" x14ac:dyDescent="0.25">
      <c r="S47" s="77" t="s">
        <v>108</v>
      </c>
      <c r="T47" s="78" t="str">
        <f t="array" ref="T47:T49">Import.RespOrçamento</f>
        <v>RENNAN ROBERTO DUARTE DA SILVA</v>
      </c>
      <c r="V47" s="79"/>
    </row>
    <row r="48" spans="15:28" x14ac:dyDescent="0.25">
      <c r="O48" s="618">
        <f ca="1">DADOS!$F$25</f>
        <v>45580</v>
      </c>
      <c r="P48" s="618"/>
      <c r="Q48" s="618"/>
      <c r="S48" s="77" t="s">
        <v>109</v>
      </c>
      <c r="T48" s="78" t="str">
        <v>RJ2019107419D MG</v>
      </c>
      <c r="U48" s="79"/>
      <c r="V48" s="79"/>
    </row>
    <row r="49" spans="15:22" x14ac:dyDescent="0.25">
      <c r="O49" s="145" t="s">
        <v>189</v>
      </c>
      <c r="P49" s="1"/>
      <c r="Q49" s="1"/>
      <c r="S49" s="77" t="s">
        <v>110</v>
      </c>
      <c r="T49" s="78" t="str">
        <v>MG20243409885</v>
      </c>
      <c r="U49" s="79"/>
      <c r="V49" s="79"/>
    </row>
  </sheetData>
  <sheetProtection algorithmName="SHA-512" hashValue="MR2VDH2AkOHYB2pwomi4yQSb3vLFBS5Rw436eaw08feHhMnyVZnXaRnxO6AIFx0icL+R7fCrB4jttFt0H2kntQ==" saltValue="oqm7ML+mPipQE3OxjaaLdw==" spinCount="100000" sheet="1" objects="1" scenarios="1" autoFilter="0"/>
  <autoFilter ref="L15:L32" xr:uid="{00000000-0009-0000-0000-000004000000}">
    <filterColumn colId="0">
      <filters>
        <filter val="F"/>
      </filters>
    </filterColumn>
  </autoFilter>
  <mergeCells count="24">
    <mergeCell ref="O48:Q48"/>
    <mergeCell ref="O15:R15"/>
    <mergeCell ref="Q35:X35"/>
    <mergeCell ref="O38:X40"/>
    <mergeCell ref="O42:X42"/>
    <mergeCell ref="O45:Q45"/>
    <mergeCell ref="O43:X43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16:M31">
    <cfRule type="cellIs" dxfId="230" priority="8291" stopIfTrue="1" operator="notEqual">
      <formula>$N14</formula>
    </cfRule>
  </conditionalFormatting>
  <conditionalFormatting sqref="N14:O14 R14 W14:X14 N16:O31 R16:R31 W16:X31">
    <cfRule type="expression" dxfId="229" priority="8292" stopIfTrue="1">
      <formula>$C14=1</formula>
    </cfRule>
    <cfRule type="expression" dxfId="228" priority="8293" stopIfTrue="1">
      <formula>OR($C14=0,$C14=2,$C14=3,$C14=4)</formula>
    </cfRule>
  </conditionalFormatting>
  <conditionalFormatting sqref="U14:V14 U16:V31">
    <cfRule type="expression" dxfId="227" priority="8294" stopIfTrue="1">
      <formula>$C14=1</formula>
    </cfRule>
    <cfRule type="expression" dxfId="226" priority="8295" stopIfTrue="1">
      <formula>OR($C14=0,$C14=2,$C14=3,$C14=4)</formula>
    </cfRule>
    <cfRule type="expression" dxfId="225" priority="8296" stopIfTrue="1">
      <formula>AND(TIPOORCAMENTO="Licitado",$C14&lt;&gt;"L",$C14&lt;&gt;-1)</formula>
    </cfRule>
  </conditionalFormatting>
  <conditionalFormatting sqref="P14:Q14 S14:T14 Y14 AG14:AH14 P16:Q31 S16:T31 Y16:Y31 AG16:AH31">
    <cfRule type="expression" dxfId="224" priority="8297" stopIfTrue="1">
      <formula>$C14=1</formula>
    </cfRule>
    <cfRule type="expression" dxfId="223" priority="8298" stopIfTrue="1">
      <formula>OR($C14=0,$C14=2,$C14=3,$C14=4)</formula>
    </cfRule>
  </conditionalFormatting>
  <conditionalFormatting sqref="AJ7:AJ32">
    <cfRule type="expression" dxfId="222" priority="8299" stopIfTrue="1">
      <formula>OR(ACOMPANHAMENTO&lt;&gt;"BM",TIPOORCAMENTO="Licitado")</formula>
    </cfRule>
    <cfRule type="expression" dxfId="221" priority="8300" stopIfTrue="1">
      <formula>$C7=1</formula>
    </cfRule>
    <cfRule type="expression" dxfId="220" priority="8301" stopIfTrue="1">
      <formula>OR(AND(ISNUMBER($C7),$C7=0),$C7=2,$C7=3,$C7=4)</formula>
    </cfRule>
  </conditionalFormatting>
  <conditionalFormatting sqref="AL7:AL32">
    <cfRule type="expression" dxfId="219" priority="8302" stopIfTrue="1">
      <formula>TIPOORCAMENTO="PROPOSTO"</formula>
    </cfRule>
    <cfRule type="expression" dxfId="218" priority="8303" stopIfTrue="1">
      <formula>$C7=1</formula>
    </cfRule>
    <cfRule type="expression" dxfId="217" priority="8304" stopIfTrue="1">
      <formula>OR(AND(ISNUMBER($C7),$C7=0),$C7=2,$C7=3,$C7=4)</formula>
    </cfRule>
  </conditionalFormatting>
  <conditionalFormatting sqref="O8:P8">
    <cfRule type="expression" dxfId="216" priority="8308" stopIfTrue="1">
      <formula>ISERROR(INDIRECT($F$9))</formula>
    </cfRule>
  </conditionalFormatting>
  <conditionalFormatting sqref="S7:V8">
    <cfRule type="expression" dxfId="215" priority="8309" stopIfTrue="1">
      <formula>TIPOORCAMENTO="Proposto"</formula>
    </cfRule>
  </conditionalFormatting>
  <conditionalFormatting sqref="S9:V9">
    <cfRule type="expression" dxfId="214" priority="8256" stopIfTrue="1">
      <formula>TIPOORCAMENTO="Proposto"</formula>
    </cfRule>
  </conditionalFormatting>
  <conditionalFormatting sqref="AM7:AN32">
    <cfRule type="expression" dxfId="213" priority="8305" stopIfTrue="1">
      <formula>TIPOORCAMENTO="PROPOSTO"</formula>
    </cfRule>
    <cfRule type="expression" dxfId="212" priority="8306" stopIfTrue="1">
      <formula>$C7=1</formula>
    </cfRule>
    <cfRule type="expression" dxfId="211" priority="8307" stopIfTrue="1">
      <formula>OR(AND(ISNUMBER($C7),$C7=0),$C7=2,$C7=3,$C7=4)</formula>
    </cfRule>
  </conditionalFormatting>
  <dataValidations count="7">
    <dataValidation type="decimal" operator="greaterThan" allowBlank="1" showErrorMessage="1" error="Apenas números decimais maiores que zero." sqref="U14 AL14 AJ14 AL16:AL31 U16:U31 AJ16:AJ31" xr:uid="{00000000-0002-0000-0400-000000000000}">
      <formula1>0</formula1>
      <formula2>0</formula2>
    </dataValidation>
    <dataValidation type="list" allowBlank="1" sqref="P14 P16:P31" xr:uid="{00000000-0002-0000-0400-000001000000}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31" xr:uid="{00000000-0002-0000-0400-000002000000}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31" xr:uid="{00000000-0002-0000-0400-000003000000}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31" xr:uid="{00000000-0002-0000-0400-000004000000}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31" xr:uid="{00000000-0002-0000-0400-000005000000}"/>
    <dataValidation allowBlank="1" showInputMessage="1" showErrorMessage="1" prompt="Para Orçamento Proposto, o Preço Unitário é resultado do produto do Custo Unitário pelo BDI._x000a_Para Orçamento Licitado, deve ser preenchido na Coluna AL." sqref="W14 W16:W31" xr:uid="{00000000-0002-0000-0400-000006000000}"/>
  </dataValidations>
  <pageMargins left="0.78740157480314998" right="0.78740157480314998" top="0.78740157480314998" bottom="0.78740157480314998" header="0.59055118110236204" footer="0.59055118110236204"/>
  <pageSetup paperSize="9" scale="67" firstPageNumber="0" fitToHeight="0" orientation="landscape" r:id="rId1"/>
  <headerFooter alignWithMargins="0">
    <oddHeader>&amp;C&amp;14I</oddHeader>
    <oddFooter>&amp;LPMv3.0.6&amp;R&amp;P / &amp;N</oddFooter>
  </headerFooter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457200</xdr:colOff>
                    <xdr:row>9</xdr:row>
                    <xdr:rowOff>121920</xdr:rowOff>
                  </from>
                  <to>
                    <xdr:col>19</xdr:col>
                    <xdr:colOff>891540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449580</xdr:colOff>
                    <xdr:row>9</xdr:row>
                    <xdr:rowOff>121920</xdr:rowOff>
                  </from>
                  <to>
                    <xdr:col>20</xdr:col>
                    <xdr:colOff>876300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281940</xdr:colOff>
                    <xdr:row>9</xdr:row>
                    <xdr:rowOff>121920</xdr:rowOff>
                  </from>
                  <to>
                    <xdr:col>21</xdr:col>
                    <xdr:colOff>708660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358140</xdr:colOff>
                    <xdr:row>9</xdr:row>
                    <xdr:rowOff>121920</xdr:rowOff>
                  </from>
                  <to>
                    <xdr:col>22</xdr:col>
                    <xdr:colOff>792480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449580</xdr:colOff>
                    <xdr:row>9</xdr:row>
                    <xdr:rowOff>106680</xdr:rowOff>
                  </from>
                  <to>
                    <xdr:col>23</xdr:col>
                    <xdr:colOff>876300</xdr:colOff>
                    <xdr:row>11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 filterMode="1"/>
  <dimension ref="A1:BG65300"/>
  <sheetViews>
    <sheetView showGridLines="0" zoomScale="90" zoomScaleNormal="90" zoomScaleSheetLayoutView="90" workbookViewId="0">
      <pane xSplit="8" ySplit="15" topLeftCell="I19" activePane="bottomRight" state="frozen"/>
      <selection activeCell="C1" sqref="C1"/>
      <selection pane="topRight" activeCell="I1" sqref="I1"/>
      <selection pane="bottomLeft" activeCell="C16" sqref="C16"/>
      <selection pane="bottomRight" activeCell="I22" sqref="I22"/>
    </sheetView>
  </sheetViews>
  <sheetFormatPr defaultRowHeight="0" customHeight="1" zeroHeight="1" x14ac:dyDescent="0.25"/>
  <cols>
    <col min="1" max="2" width="0" style="7" hidden="1" customWidth="1"/>
    <col min="3" max="3" width="3.6640625" style="7" customWidth="1"/>
    <col min="4" max="4" width="8.6640625" customWidth="1"/>
    <col min="5" max="5" width="12.6640625" customWidth="1"/>
    <col min="6" max="6" width="65.6640625" customWidth="1"/>
    <col min="7" max="7" width="10.6640625" customWidth="1"/>
    <col min="8" max="8" width="14.6640625" customWidth="1"/>
    <col min="9" max="9" width="29.6640625" customWidth="1"/>
    <col min="10" max="10" width="1.6640625" customWidth="1"/>
    <col min="11" max="11" width="4.6640625" customWidth="1"/>
    <col min="12" max="12" width="0.88671875" customWidth="1"/>
    <col min="13" max="13" width="9.109375" style="7" hidden="1" customWidth="1"/>
    <col min="14" max="14" width="31.6640625" customWidth="1"/>
    <col min="15" max="15" width="0" hidden="1" customWidth="1"/>
    <col min="16" max="16" width="1.6640625" customWidth="1"/>
    <col min="17" max="26" width="11.6640625" customWidth="1"/>
    <col min="27" max="27" width="0.109375" customWidth="1"/>
    <col min="28" max="59" width="9.109375" customWidth="1"/>
    <col min="60" max="60" width="1.6640625" customWidth="1"/>
  </cols>
  <sheetData>
    <row r="1" spans="1:59" ht="15.75" customHeight="1" x14ac:dyDescent="0.25">
      <c r="F1" s="626" t="str">
        <f>IF(ACOMPANHAMENTO="BM","MEMÓRIA DE CÁLCULO","PLQ - PLANILHA DE LEVANTAMENTO DE QUANTIDADES")</f>
        <v>PLQ - PLANILHA DE LEVANTAMENTO DE QUANTIDADES</v>
      </c>
      <c r="G1" s="626"/>
      <c r="H1" s="626"/>
      <c r="I1" s="146"/>
      <c r="K1" s="146"/>
      <c r="L1" s="146"/>
      <c r="M1" s="147"/>
      <c r="N1" s="146"/>
      <c r="P1" s="146"/>
      <c r="Q1" s="605" t="s">
        <v>140</v>
      </c>
      <c r="R1" s="605"/>
      <c r="Y1" s="605" t="s">
        <v>140</v>
      </c>
      <c r="Z1" s="605"/>
    </row>
    <row r="2" spans="1:59" ht="15" customHeight="1" x14ac:dyDescent="0.25">
      <c r="F2" s="627" t="str">
        <f>IF(ACOMPANHAMENTO="BM","","Memória de Cálculo")&amp;" - "&amp;import.recurso</f>
        <v>Memória de Cálculo - OGU</v>
      </c>
      <c r="G2" s="627"/>
      <c r="H2" s="627"/>
      <c r="I2" s="148"/>
      <c r="K2" s="148"/>
      <c r="L2" s="148"/>
      <c r="M2" s="149"/>
      <c r="N2" s="148"/>
      <c r="P2" s="148"/>
      <c r="Q2" s="606" t="s">
        <v>143</v>
      </c>
      <c r="R2" s="606"/>
      <c r="Y2" s="606" t="s">
        <v>143</v>
      </c>
      <c r="Z2" s="606"/>
    </row>
    <row r="3" spans="1:59" ht="12.75" customHeight="1" x14ac:dyDescent="0.25">
      <c r="AB3" t="e">
        <f ca="1">ROUND(ROUND(OFFSET(#REF!,0,AB$13),15-13*ORÇAMENTO!$AF$7)*OFFSET(ORÇAMENTO!$W$15,ROW(#REF!)-ROW(AB$15),0),15-13*ORÇAMENTO!$AF$11)</f>
        <v>#REF!</v>
      </c>
      <c r="AC3" t="e">
        <f ca="1">ROUND(ROUND(OFFSET(#REF!,0,AC$13),15-13*ORÇAMENTO!$AF$7)*OFFSET(ORÇAMENTO!$W$15,ROW(#REF!)-ROW(AC$15),0),15-13*ORÇAMENTO!$AF$11)</f>
        <v>#REF!</v>
      </c>
      <c r="AD3" t="e">
        <f ca="1">ROUND(ROUND(OFFSET(#REF!,0,AD$13),15-13*ORÇAMENTO!$AF$7)*OFFSET(ORÇAMENTO!$W$15,ROW(#REF!)-ROW(AD$15),0),15-13*ORÇAMENTO!$AF$11)</f>
        <v>#REF!</v>
      </c>
      <c r="AE3" s="574" t="e">
        <f ca="1">SUM(AB3:AD3)-SUM(#REF!)</f>
        <v>#REF!</v>
      </c>
    </row>
    <row r="4" spans="1:59" ht="12.75" customHeight="1" x14ac:dyDescent="0.25">
      <c r="E4" s="601" t="s">
        <v>202</v>
      </c>
      <c r="F4" s="601"/>
      <c r="G4" s="601" t="s">
        <v>442</v>
      </c>
      <c r="H4" s="601"/>
      <c r="I4" s="88" t="s">
        <v>146</v>
      </c>
      <c r="K4" s="150" t="s">
        <v>147</v>
      </c>
      <c r="L4" s="151"/>
      <c r="M4" s="151"/>
      <c r="N4" s="151"/>
      <c r="O4" s="151"/>
      <c r="P4" s="151"/>
      <c r="Q4" s="151"/>
      <c r="R4" s="152"/>
      <c r="S4" s="601" t="s">
        <v>146</v>
      </c>
      <c r="T4" s="601"/>
      <c r="U4" s="601" t="s">
        <v>147</v>
      </c>
      <c r="V4" s="601"/>
      <c r="W4" s="601"/>
      <c r="X4" s="601"/>
      <c r="Y4" s="601"/>
      <c r="Z4" s="601"/>
    </row>
    <row r="5" spans="1:59" ht="12.75" customHeight="1" x14ac:dyDescent="0.25">
      <c r="E5" s="604" t="str">
        <f>Import.Apelido</f>
        <v>REFORMA - COLÉGIO TABOÃO</v>
      </c>
      <c r="F5" s="604"/>
      <c r="G5" s="604" cm="1">
        <f t="array" ref="G5">Import.TransfereGOV</f>
        <v>0</v>
      </c>
      <c r="H5" s="604"/>
      <c r="I5" s="91">
        <f>Import.CR</f>
        <v>0</v>
      </c>
      <c r="K5" s="153" t="str">
        <f>Import.Proponente</f>
        <v>PREFEITURA MUNICIPAL DE BOM JARDIM DE MINAS</v>
      </c>
      <c r="L5" s="154"/>
      <c r="M5" s="101"/>
      <c r="N5" s="154"/>
      <c r="O5" s="154"/>
      <c r="P5" s="154"/>
      <c r="Q5" s="154"/>
      <c r="R5" s="92"/>
      <c r="S5" s="604">
        <f>Import.CR</f>
        <v>0</v>
      </c>
      <c r="T5" s="604"/>
      <c r="U5" s="604" t="str">
        <f>Import.Proponente</f>
        <v>PREFEITURA MUNICIPAL DE BOM JARDIM DE MINAS</v>
      </c>
      <c r="V5" s="604"/>
      <c r="W5" s="604"/>
      <c r="X5" s="604"/>
      <c r="Y5" s="604"/>
      <c r="Z5" s="604"/>
    </row>
    <row r="6" spans="1:59" ht="12.75" customHeight="1" x14ac:dyDescent="0.25">
      <c r="T6" s="574" t="e">
        <f ca="1">AE3</f>
        <v>#REF!</v>
      </c>
      <c r="AB6" t="s">
        <v>251</v>
      </c>
      <c r="AM6" t="s">
        <v>252</v>
      </c>
      <c r="AX6" t="s">
        <v>253</v>
      </c>
    </row>
    <row r="7" spans="1:59" ht="12.75" hidden="1" customHeight="1" x14ac:dyDescent="0.25"/>
    <row r="8" spans="1:59" ht="12.75" hidden="1" customHeight="1" x14ac:dyDescent="0.25"/>
    <row r="9" spans="1:59" ht="12.75" hidden="1" customHeight="1" x14ac:dyDescent="0.25"/>
    <row r="10" spans="1:59" ht="12.75" hidden="1" customHeight="1" x14ac:dyDescent="0.25"/>
    <row r="11" spans="1:59" ht="12.75" hidden="1" customHeight="1" x14ac:dyDescent="0.25"/>
    <row r="12" spans="1:59" ht="69.900000000000006" customHeight="1" x14ac:dyDescent="0.25">
      <c r="A12" s="155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254</v>
      </c>
      <c r="H12" s="156"/>
      <c r="I12" s="157"/>
      <c r="J12" s="158" t="s">
        <v>255</v>
      </c>
      <c r="K12" s="159" t="s">
        <v>256</v>
      </c>
      <c r="L12" s="158" t="s">
        <v>255</v>
      </c>
      <c r="M12" s="160">
        <f ca="1">IF(ACOMPANHAMENTO="BM",0,COUNTIF(M15:M32,0))</f>
        <v>1</v>
      </c>
      <c r="N12" s="157" t="s">
        <v>257</v>
      </c>
      <c r="O12" s="161"/>
      <c r="P12" s="158" t="s">
        <v>255</v>
      </c>
      <c r="Q12" s="542" t="s">
        <v>451</v>
      </c>
      <c r="R12" s="161" t="s">
        <v>447</v>
      </c>
      <c r="S12" s="161" t="s">
        <v>448</v>
      </c>
      <c r="T12" s="161" t="s">
        <v>452</v>
      </c>
      <c r="U12" s="161"/>
      <c r="V12" s="161"/>
      <c r="W12" s="161"/>
      <c r="X12" s="161"/>
      <c r="Y12" s="161"/>
      <c r="Z12" s="162"/>
      <c r="AA12" s="158" t="s">
        <v>255</v>
      </c>
      <c r="AB12" s="163" t="str">
        <f ca="1">OFFSET($P$12,0,AB$13)</f>
        <v>PLACA</v>
      </c>
      <c r="AC12" s="164" t="str">
        <f t="shared" ref="AC12:AK12" ca="1" si="0">OFFSET($P$12,0,AC$13)</f>
        <v>EMBOÇO, PINTURA E PISO</v>
      </c>
      <c r="AD12" s="164" t="str">
        <f t="shared" ca="1" si="0"/>
        <v>ILUMINAÇÃO E CHUVEIROS</v>
      </c>
      <c r="AE12" s="164" t="str">
        <f t="shared" ca="1" si="0"/>
        <v>LOUÇAS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PLACA</v>
      </c>
      <c r="AN12" s="164" t="str">
        <f t="shared" ref="AN12:AV12" ca="1" si="1">OFFSET($P$12,0,AN$13)</f>
        <v>EMBOÇO, PINTURA E PISO</v>
      </c>
      <c r="AO12" s="164" t="str">
        <f t="shared" ca="1" si="1"/>
        <v>ILUMINAÇÃO E CHUVEIROS</v>
      </c>
      <c r="AP12" s="164" t="str">
        <f t="shared" ca="1" si="1"/>
        <v>LOUÇAS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PLACA</v>
      </c>
      <c r="AY12" s="164" t="str">
        <f t="shared" ref="AY12:BG12" ca="1" si="2">OFFSET($P$12,0,AY$13)</f>
        <v>EMBOÇO, PINTURA E PISO</v>
      </c>
      <c r="AZ12" s="164" t="str">
        <f t="shared" ca="1" si="2"/>
        <v>ILUMINAÇÃO E CHUVEIROS</v>
      </c>
      <c r="BA12" s="164" t="str">
        <f t="shared" ca="1" si="2"/>
        <v>LOUÇAS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5">
      <c r="A13" s="84" t="s">
        <v>258</v>
      </c>
      <c r="B13" s="7" t="s">
        <v>254</v>
      </c>
      <c r="D13" s="108" t="s">
        <v>229</v>
      </c>
      <c r="E13" s="108" t="s">
        <v>231</v>
      </c>
      <c r="F13" s="108" t="s">
        <v>234</v>
      </c>
      <c r="G13" s="110" t="s">
        <v>235</v>
      </c>
      <c r="H13" s="108" t="s">
        <v>203</v>
      </c>
      <c r="I13" s="108" t="s">
        <v>259</v>
      </c>
      <c r="K13" s="108" t="s">
        <v>260</v>
      </c>
      <c r="L13" s="158"/>
      <c r="M13" s="108" t="s">
        <v>261</v>
      </c>
      <c r="N13" s="108" t="s">
        <v>262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4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4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4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3.2" hidden="1" x14ac:dyDescent="0.25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7" t="str">
        <f ca="1">OFFSET(ORÇAMENTO!N$15,ROW(D14)-ROW(D$15),0)</f>
        <v>Serviço</v>
      </c>
      <c r="E14" s="118" t="str">
        <f ca="1">OFFSET(ORÇAMENTO!O$15,ROW(E14)-ROW(E$15),0)</f>
        <v>-</v>
      </c>
      <c r="F14" s="171" t="str">
        <f ca="1">OFFSET(ORÇAMENTO!R$15,ROW(F14)-ROW(F$15),0)</f>
        <v>(Sem Código)</v>
      </c>
      <c r="G14" s="172" t="str">
        <f ca="1">IF($D14&lt;&gt;"Serviço","",OFFSET(ORÇAMENTO!S$15,ROW(G14)-ROW(G$15),0))</f>
        <v>-</v>
      </c>
      <c r="H14" s="123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0"/>
      <c r="K14" s="173"/>
      <c r="L14" s="174" t="s">
        <v>255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3">
        <f ca="1">IF(AND($D14="Serviço",AB$12&lt;&gt;0,$H14&gt;0,OR(AUTOEVENTO&lt;&gt;"manual",$M14&lt;&gt;1)),
IF(Import.TipoArredondamento&lt;&gt;"TransfereGOV",
ROUND(OFFSET($P14,0,AB$13),15-13*ORÇAMENTO!$AF$7)/$H14*OFFSET(ORÇAMENTO!$X$15,ROW(AB14)-ROW(AB$15),0),
ROUND(ROUND(OFFSET($P14,0,AB$13),15-13*ORÇAMENTO!$AF$7)*OFFSET(ORÇAMENTO!$W$15,ROW(AB14)-ROW(AB$15),0),15-13*ORÇAMENTO!$AF$11)),0)</f>
        <v>0</v>
      </c>
      <c r="AC14" s="544">
        <f ca="1">IF(AND($D14="Serviço",AC$12&lt;&gt;0,$H14&gt;0,OR(AUTOEVENTO&lt;&gt;"manual",$M14&lt;&gt;1)),
IF(Import.TipoArredondamento&lt;&gt;"TransfereGOV",
ROUND(OFFSET($P14,0,AC$13),15-13*ORÇAMENTO!$AF$7)/$H14*OFFSET(ORÇAMENTO!$X$15,ROW(AC14)-ROW(AC$15),0),
ROUND(ROUND(OFFSET($P14,0,AC$13),15-13*ORÇAMENTO!$AF$7)*OFFSET(ORÇAMENTO!$W$15,ROW(AC14)-ROW(AC$15),0),15-13*ORÇAMENTO!$AF$11)),0)</f>
        <v>0</v>
      </c>
      <c r="AD14" s="544">
        <f ca="1">IF(AND($D14="Serviço",AD$12&lt;&gt;0,$H14&gt;0,OR(AUTOEVENTO&lt;&gt;"manual",$M14&lt;&gt;1)),
IF(Import.TipoArredondamento&lt;&gt;"TransfereGOV",
ROUND(OFFSET($P14,0,AD$13),15-13*ORÇAMENTO!$AF$7)/$H14*OFFSET(ORÇAMENTO!$X$15,ROW(AD14)-ROW(AD$15),0),
ROUND(ROUND(OFFSET($P14,0,AD$13),15-13*ORÇAMENTO!$AF$7)*OFFSET(ORÇAMENTO!$W$15,ROW(AD14)-ROW(AD$15),0),15-13*ORÇAMENTO!$AF$11)),0)</f>
        <v>0</v>
      </c>
      <c r="AE14" s="544">
        <f ca="1">IF(AND($D14="Serviço",AE$12&lt;&gt;0,$H14&gt;0,OR(AUTOEVENTO&lt;&gt;"manual",$M14&lt;&gt;1)),
IF(Import.TipoArredondamento&lt;&gt;"TransfereGOV",
ROUND(OFFSET($P14,0,AE$13),15-13*ORÇAMENTO!$AF$7)/$H14*OFFSET(ORÇAMENTO!$X$15,ROW(AE14)-ROW(AE$15),0),
ROUND(ROUND(OFFSET($P14,0,AE$13),15-13*ORÇAMENTO!$AF$7)*OFFSET(ORÇAMENTO!$W$15,ROW(AE14)-ROW(AE$15),0),15-13*ORÇAMENTO!$AF$11)),0)</f>
        <v>0</v>
      </c>
      <c r="AF14" s="544">
        <f ca="1">IF(AND($D14="Serviço",AF$12&lt;&gt;0,$H14&gt;0,OR(AUTOEVENTO&lt;&gt;"manual",$M14&lt;&gt;1)),
IF(Import.TipoArredondamento&lt;&gt;"TransfereGOV",
ROUND(OFFSET($P14,0,AF$13),15-13*ORÇAMENTO!$AF$7)/$H14*OFFSET(ORÇAMENTO!$X$15,ROW(AF14)-ROW(AF$15),0),
ROUND(ROUND(OFFSET($P14,0,AF$13),15-13*ORÇAMENTO!$AF$7)*OFFSET(ORÇAMENTO!$W$15,ROW(AF14)-ROW(AF$15),0),15-13*ORÇAMENTO!$AF$11)),0)</f>
        <v>0</v>
      </c>
      <c r="AG14" s="544">
        <f ca="1">IF(AND($D14="Serviço",AG$12&lt;&gt;0,$H14&gt;0,OR(AUTOEVENTO&lt;&gt;"manual",$M14&lt;&gt;1)),
IF(Import.TipoArredondamento&lt;&gt;"TransfereGOV",
ROUND(OFFSET($P14,0,AG$13),15-13*ORÇAMENTO!$AF$7)/$H14*OFFSET(ORÇAMENTO!$X$15,ROW(AG14)-ROW(AG$15),0),
ROUND(ROUND(OFFSET($P14,0,AG$13),15-13*ORÇAMENTO!$AF$7)*OFFSET(ORÇAMENTO!$W$15,ROW(AG14)-ROW(AG$15),0),15-13*ORÇAMENTO!$AF$11)),0)</f>
        <v>0</v>
      </c>
      <c r="AH14" s="544">
        <f ca="1">IF(AND($D14="Serviço",AH$12&lt;&gt;0,$H14&gt;0,OR(AUTOEVENTO&lt;&gt;"manual",$M14&lt;&gt;1)),
IF(Import.TipoArredondamento&lt;&gt;"TransfereGOV",
ROUND(OFFSET($P14,0,AH$13),15-13*ORÇAMENTO!$AF$7)/$H14*OFFSET(ORÇAMENTO!$X$15,ROW(AH14)-ROW(AH$15),0),
ROUND(ROUND(OFFSET($P14,0,AH$13),15-13*ORÇAMENTO!$AF$7)*OFFSET(ORÇAMENTO!$W$15,ROW(AH14)-ROW(AH$15),0),15-13*ORÇAMENTO!$AF$11)),0)</f>
        <v>0</v>
      </c>
      <c r="AI14" s="544">
        <f ca="1">IF(AND($D14="Serviço",AI$12&lt;&gt;0,$H14&gt;0,OR(AUTOEVENTO&lt;&gt;"manual",$M14&lt;&gt;1)),
IF(Import.TipoArredondamento&lt;&gt;"TransfereGOV",
ROUND(OFFSET($P14,0,AI$13),15-13*ORÇAMENTO!$AF$7)/$H14*OFFSET(ORÇAMENTO!$X$15,ROW(AI14)-ROW(AI$15),0),
ROUND(ROUND(OFFSET($P14,0,AI$13),15-13*ORÇAMENTO!$AF$7)*OFFSET(ORÇAMENTO!$W$15,ROW(AI14)-ROW(AI$15),0),15-13*ORÇAMENTO!$AF$11)),0)</f>
        <v>0</v>
      </c>
      <c r="AJ14" s="544">
        <f ca="1">IF(AND($D14="Serviço",AJ$12&lt;&gt;0,$H14&gt;0,OR(AUTOEVENTO&lt;&gt;"manual",$M14&lt;&gt;1)),
IF(Import.TipoArredondamento&lt;&gt;"TransfereGOV",
ROUND(OFFSET($P14,0,AJ$13),15-13*ORÇAMENTO!$AF$7)/$H14*OFFSET(ORÇAMENTO!$X$15,ROW(AJ14)-ROW(AJ$15),0),
ROUND(ROUND(OFFSET($P14,0,AJ$13),15-13*ORÇAMENTO!$AF$7)*OFFSET(ORÇAMENTO!$W$15,ROW(AJ14)-ROW(AJ$15),0),15-13*ORÇAMENTO!$AF$11)),0)</f>
        <v>0</v>
      </c>
      <c r="AK14" s="545">
        <f ca="1">IF(AND($D14="Serviço",AK$12&lt;&gt;0,$H14&gt;0,OR(AUTOEVENTO&lt;&gt;"manual",$M14&lt;&gt;1)),
IF(Import.TipoArredondamento&lt;&gt;"TransfereGOV",
ROUND(OFFSET($P14,0,AK$13),15-13*ORÇAMENTO!$AF$7)/$H14*OFFSET(ORÇAMENTO!$X$15,ROW(AK14)-ROW(AK$15),0),
ROUND(ROUND(OFFSET($P14,0,AK$13),15-13*ORÇAMENTO!$AF$7)*OFFSET(ORÇAMENTO!$W$15,ROW(AK14)-ROW(AK$15),0),15-13*ORÇAMENTO!$AF$11)),0)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5">
      <c r="B15" s="7" t="str">
        <f ca="1">OFFSET(ORÇAMENTO!C$15,ROW(B15)-ROW(B$15),0)</f>
        <v>L</v>
      </c>
      <c r="C15" s="7" t="str">
        <f ca="1">OFFSET(ORÇAMENTO!L$15,ROW(C15)-ROW(C$15),0)</f>
        <v>F</v>
      </c>
      <c r="D15" s="131" t="str">
        <f>IF(TIPOORCAMENTO="LICITADO","CTEF","LOTE")</f>
        <v>LOTE</v>
      </c>
      <c r="E15" s="625">
        <f>Import.DescLote</f>
        <v>0</v>
      </c>
      <c r="F15" s="625"/>
      <c r="G15" s="625"/>
      <c r="H15" s="625"/>
      <c r="I15" s="561"/>
      <c r="K15" s="182"/>
      <c r="L15" s="174" t="s">
        <v>255</v>
      </c>
      <c r="M15" s="183">
        <f ca="1">IF(AUTOEVENTO="MANUAL",0,1)</f>
        <v>0</v>
      </c>
      <c r="N15" s="184" t="s">
        <v>263</v>
      </c>
      <c r="O15" s="185" t="e">
        <f ca="1">OFFSET($AA$15,0,O$13)</f>
        <v>#VALUE!</v>
      </c>
      <c r="Q15" s="186">
        <f t="shared" ref="Q15:Z15" ca="1" si="5">OFFSET($AA$15,0,Q$13)</f>
        <v>50396.25</v>
      </c>
      <c r="R15" s="185">
        <f t="shared" ca="1" si="5"/>
        <v>49495.199999999997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ROUND(SUM(OFFSET(AB$15,1,0):AB$32),2)</f>
        <v>50396.25</v>
      </c>
      <c r="AC15" s="188">
        <f ca="1">SUM(OFFSET(AC$15,1,0):AC$32)</f>
        <v>49495.199999999997</v>
      </c>
      <c r="AD15" s="188">
        <f ca="1">SUM(OFFSET(AD$15,1,0):AD$32)</f>
        <v>0</v>
      </c>
      <c r="AE15" s="188">
        <f ca="1">SUM(OFFSET(AE$15,1,0):AE$32)</f>
        <v>0</v>
      </c>
      <c r="AF15" s="188">
        <f ca="1">SUM(OFFSET(AF$15,1,0):AF$32)</f>
        <v>0</v>
      </c>
      <c r="AG15" s="188">
        <f ca="1">SUM(OFFSET(AG$15,1,0):AG$32)</f>
        <v>0</v>
      </c>
      <c r="AH15" s="188">
        <f ca="1">SUM(OFFSET(AH$15,1,0):AH$32)</f>
        <v>0</v>
      </c>
      <c r="AI15" s="188">
        <f ca="1">SUM(OFFSET(AI$15,1,0):AI$32)</f>
        <v>0</v>
      </c>
      <c r="AJ15" s="188">
        <f ca="1">SUM(OFFSET(AJ$15,1,0):AJ$32)</f>
        <v>0</v>
      </c>
      <c r="AK15" s="188">
        <f ca="1">SUM(OFFSET(AK$15,1,0):AK$32)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3.2" x14ac:dyDescent="0.25">
      <c r="A16" s="7">
        <f t="shared" ref="A16:A31" ca="1" si="8">IF(AUTOEVENTO="Manual",IF(K16&lt;&gt;"",MIN(VALUE(LEFT(K16,FIND(".",K16)-1)),COUNTA(EVENTOS.Lista)),0),IF(OR($B16&gt;AUTOEVENTO,$B16="S",$B16=0),SUBSTITUTE(OFFSET($A16,-1,0),IF($D16="Serviço",".",""),""),ROW(A16)-ROW($A$15)&amp;"."))</f>
        <v>0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7" t="str">
        <f ca="1">OFFSET(ORÇAMENTO!N$15,ROW(D16)-ROW(D$15),0)</f>
        <v>Meta</v>
      </c>
      <c r="E16" s="118" t="str">
        <f ca="1">OFFSET(ORÇAMENTO!O$15,ROW(E16)-ROW(E$15),0)</f>
        <v>1.</v>
      </c>
      <c r="F16" s="171" t="str">
        <f ca="1">OFFSET(ORÇAMENTO!R$15,ROW(F16)-ROW(F$15),0)</f>
        <v>REFORMA - COLÉGIO TABOÃO</v>
      </c>
      <c r="G16" s="172" t="str">
        <f ca="1">IF($D16&lt;&gt;"Serviço","",OFFSET(ORÇAMENTO!S$15,ROW(G16)-ROW(G$15),0))</f>
        <v/>
      </c>
      <c r="H16" s="123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0"/>
      <c r="K16" s="173"/>
      <c r="L16" s="174" t="s">
        <v>255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3">
        <f ca="1">IF(AND($D16="Serviço",AB$12&lt;&gt;0,$H16&gt;0,OR(AUTOEVENTO&lt;&gt;"manual",$M16&lt;&gt;1)),
IF(Import.TipoArredondamento&lt;&gt;"TransfereGOV",
ROUND(OFFSET($P16,0,AB$13),15-13*ORÇAMENTO!$AF$7)/$H16*OFFSET(ORÇAMENTO!$X$15,ROW(AB16)-ROW(AB$15),0),
ROUND(ROUND(OFFSET($P16,0,AB$13),15-13*ORÇAMENTO!$AF$7)*OFFSET(ORÇAMENTO!$W$15,ROW(AB16)-ROW(AB$15),0),15-13*ORÇAMENTO!$AF$11)),0)</f>
        <v>0</v>
      </c>
      <c r="AC16" s="544">
        <f ca="1">IF(AND($D16="Serviço",AC$12&lt;&gt;0,$H16&gt;0,OR(AUTOEVENTO&lt;&gt;"manual",$M16&lt;&gt;1)),
IF(Import.TipoArredondamento&lt;&gt;"TransfereGOV",
ROUND(OFFSET($P16,0,AC$13),15-13*ORÇAMENTO!$AF$7)/$H16*OFFSET(ORÇAMENTO!$X$15,ROW(AC16)-ROW(AC$15),0),
ROUND(ROUND(OFFSET($P16,0,AC$13),15-13*ORÇAMENTO!$AF$7)*OFFSET(ORÇAMENTO!$W$15,ROW(AC16)-ROW(AC$15),0),15-13*ORÇAMENTO!$AF$11)),0)</f>
        <v>0</v>
      </c>
      <c r="AD16" s="544">
        <f ca="1">IF(AND($D16="Serviço",AD$12&lt;&gt;0,$H16&gt;0,OR(AUTOEVENTO&lt;&gt;"manual",$M16&lt;&gt;1)),
IF(Import.TipoArredondamento&lt;&gt;"TransfereGOV",
ROUND(OFFSET($P16,0,AD$13),15-13*ORÇAMENTO!$AF$7)/$H16*OFFSET(ORÇAMENTO!$X$15,ROW(AD16)-ROW(AD$15),0),
ROUND(ROUND(OFFSET($P16,0,AD$13),15-13*ORÇAMENTO!$AF$7)*OFFSET(ORÇAMENTO!$W$15,ROW(AD16)-ROW(AD$15),0),15-13*ORÇAMENTO!$AF$11)),0)</f>
        <v>0</v>
      </c>
      <c r="AE16" s="544">
        <f ca="1">IF(AND($D16="Serviço",AE$12&lt;&gt;0,$H16&gt;0,OR(AUTOEVENTO&lt;&gt;"manual",$M16&lt;&gt;1)),
IF(Import.TipoArredondamento&lt;&gt;"TransfereGOV",
ROUND(OFFSET($P16,0,AE$13),15-13*ORÇAMENTO!$AF$7)/$H16*OFFSET(ORÇAMENTO!$X$15,ROW(AE16)-ROW(AE$15),0),
ROUND(ROUND(OFFSET($P16,0,AE$13),15-13*ORÇAMENTO!$AF$7)*OFFSET(ORÇAMENTO!$W$15,ROW(AE16)-ROW(AE$15),0),15-13*ORÇAMENTO!$AF$11)),0)</f>
        <v>0</v>
      </c>
      <c r="AF16" s="544">
        <f ca="1">IF(AND($D16="Serviço",AF$12&lt;&gt;0,$H16&gt;0,OR(AUTOEVENTO&lt;&gt;"manual",$M16&lt;&gt;1)),
IF(Import.TipoArredondamento&lt;&gt;"TransfereGOV",
ROUND(OFFSET($P16,0,AF$13),15-13*ORÇAMENTO!$AF$7)/$H16*OFFSET(ORÇAMENTO!$X$15,ROW(AF16)-ROW(AF$15),0),
ROUND(ROUND(OFFSET($P16,0,AF$13),15-13*ORÇAMENTO!$AF$7)*OFFSET(ORÇAMENTO!$W$15,ROW(AF16)-ROW(AF$15),0),15-13*ORÇAMENTO!$AF$11)),0)</f>
        <v>0</v>
      </c>
      <c r="AG16" s="544">
        <f ca="1">IF(AND($D16="Serviço",AG$12&lt;&gt;0,$H16&gt;0,OR(AUTOEVENTO&lt;&gt;"manual",$M16&lt;&gt;1)),
IF(Import.TipoArredondamento&lt;&gt;"TransfereGOV",
ROUND(OFFSET($P16,0,AG$13),15-13*ORÇAMENTO!$AF$7)/$H16*OFFSET(ORÇAMENTO!$X$15,ROW(AG16)-ROW(AG$15),0),
ROUND(ROUND(OFFSET($P16,0,AG$13),15-13*ORÇAMENTO!$AF$7)*OFFSET(ORÇAMENTO!$W$15,ROW(AG16)-ROW(AG$15),0),15-13*ORÇAMENTO!$AF$11)),0)</f>
        <v>0</v>
      </c>
      <c r="AH16" s="544">
        <f ca="1">IF(AND($D16="Serviço",AH$12&lt;&gt;0,$H16&gt;0,OR(AUTOEVENTO&lt;&gt;"manual",$M16&lt;&gt;1)),
IF(Import.TipoArredondamento&lt;&gt;"TransfereGOV",
ROUND(OFFSET($P16,0,AH$13),15-13*ORÇAMENTO!$AF$7)/$H16*OFFSET(ORÇAMENTO!$X$15,ROW(AH16)-ROW(AH$15),0),
ROUND(ROUND(OFFSET($P16,0,AH$13),15-13*ORÇAMENTO!$AF$7)*OFFSET(ORÇAMENTO!$W$15,ROW(AH16)-ROW(AH$15),0),15-13*ORÇAMENTO!$AF$11)),0)</f>
        <v>0</v>
      </c>
      <c r="AI16" s="544">
        <f ca="1">IF(AND($D16="Serviço",AI$12&lt;&gt;0,$H16&gt;0,OR(AUTOEVENTO&lt;&gt;"manual",$M16&lt;&gt;1)),
IF(Import.TipoArredondamento&lt;&gt;"TransfereGOV",
ROUND(OFFSET($P16,0,AI$13),15-13*ORÇAMENTO!$AF$7)/$H16*OFFSET(ORÇAMENTO!$X$15,ROW(AI16)-ROW(AI$15),0),
ROUND(ROUND(OFFSET($P16,0,AI$13),15-13*ORÇAMENTO!$AF$7)*OFFSET(ORÇAMENTO!$W$15,ROW(AI16)-ROW(AI$15),0),15-13*ORÇAMENTO!$AF$11)),0)</f>
        <v>0</v>
      </c>
      <c r="AJ16" s="544">
        <f ca="1">IF(AND($D16="Serviço",AJ$12&lt;&gt;0,$H16&gt;0,OR(AUTOEVENTO&lt;&gt;"manual",$M16&lt;&gt;1)),
IF(Import.TipoArredondamento&lt;&gt;"TransfereGOV",
ROUND(OFFSET($P16,0,AJ$13),15-13*ORÇAMENTO!$AF$7)/$H16*OFFSET(ORÇAMENTO!$X$15,ROW(AJ16)-ROW(AJ$15),0),
ROUND(ROUND(OFFSET($P16,0,AJ$13),15-13*ORÇAMENTO!$AF$7)*OFFSET(ORÇAMENTO!$W$15,ROW(AJ16)-ROW(AJ$15),0),15-13*ORÇAMENTO!$AF$11)),0)</f>
        <v>0</v>
      </c>
      <c r="AK16" s="545">
        <f ca="1">IF(AND($D16="Serviço",AK$12&lt;&gt;0,$H16&gt;0,OR(AUTOEVENTO&lt;&gt;"manual",$M16&lt;&gt;1)),
IF(Import.TipoArredondamento&lt;&gt;"TransfereGOV",
ROUND(OFFSET($P16,0,AK$13),15-13*ORÇAMENTO!$AF$7)/$H16*OFFSET(ORÇAMENTO!$X$15,ROW(AK16)-ROW(AK$15),0),
ROUND(ROUND(OFFSET($P16,0,AK$13),15-13*ORÇAMENTO!$AF$7)*OFFSET(ORÇAMENTO!$W$15,ROW(AK16)-ROW(AK$15),0),15-13*ORÇAMENTO!$AF$11)),0)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3.2" x14ac:dyDescent="0.25">
      <c r="A17" s="7">
        <f t="shared" ca="1" si="8"/>
        <v>0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7" t="str">
        <f ca="1">OFFSET(ORÇAMENTO!N$15,ROW(D17)-ROW(D$15),0)</f>
        <v>Nível 2</v>
      </c>
      <c r="E17" s="118" t="str">
        <f ca="1">OFFSET(ORÇAMENTO!O$15,ROW(E17)-ROW(E$15),0)</f>
        <v>1.1.</v>
      </c>
      <c r="F17" s="171" t="str">
        <f ca="1">OFFSET(ORÇAMENTO!R$15,ROW(F17)-ROW(F$15),0)</f>
        <v>(SERVIÇOS PRELIMINARES)</v>
      </c>
      <c r="G17" s="172" t="str">
        <f ca="1">IF($D17&lt;&gt;"Serviço","",OFFSET(ORÇAMENTO!S$15,ROW(G17)-ROW(G$15),0))</f>
        <v/>
      </c>
      <c r="H17" s="123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0"/>
      <c r="K17" s="173"/>
      <c r="L17" s="174" t="s">
        <v>255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3">
        <f ca="1">IF(AND($D17="Serviço",AB$12&lt;&gt;0,$H17&gt;0,OR(AUTOEVENTO&lt;&gt;"manual",$M17&lt;&gt;1)),
IF(Import.TipoArredondamento&lt;&gt;"TransfereGOV",
ROUND(OFFSET($P17,0,AB$13),15-13*ORÇAMENTO!$AF$7)/$H17*OFFSET(ORÇAMENTO!$X$15,ROW(AB17)-ROW(AB$15),0),
ROUND(ROUND(OFFSET($P17,0,AB$13),15-13*ORÇAMENTO!$AF$7)*OFFSET(ORÇAMENTO!$W$15,ROW(AB17)-ROW(AB$15),0),15-13*ORÇAMENTO!$AF$11)),0)</f>
        <v>0</v>
      </c>
      <c r="AC17" s="544">
        <f ca="1">IF(AND($D17="Serviço",AC$12&lt;&gt;0,$H17&gt;0,OR(AUTOEVENTO&lt;&gt;"manual",$M17&lt;&gt;1)),
IF(Import.TipoArredondamento&lt;&gt;"TransfereGOV",
ROUND(OFFSET($P17,0,AC$13),15-13*ORÇAMENTO!$AF$7)/$H17*OFFSET(ORÇAMENTO!$X$15,ROW(AC17)-ROW(AC$15),0),
ROUND(ROUND(OFFSET($P17,0,AC$13),15-13*ORÇAMENTO!$AF$7)*OFFSET(ORÇAMENTO!$W$15,ROW(AC17)-ROW(AC$15),0),15-13*ORÇAMENTO!$AF$11)),0)</f>
        <v>0</v>
      </c>
      <c r="AD17" s="544">
        <f ca="1">IF(AND($D17="Serviço",AD$12&lt;&gt;0,$H17&gt;0,OR(AUTOEVENTO&lt;&gt;"manual",$M17&lt;&gt;1)),
IF(Import.TipoArredondamento&lt;&gt;"TransfereGOV",
ROUND(OFFSET($P17,0,AD$13),15-13*ORÇAMENTO!$AF$7)/$H17*OFFSET(ORÇAMENTO!$X$15,ROW(AD17)-ROW(AD$15),0),
ROUND(ROUND(OFFSET($P17,0,AD$13),15-13*ORÇAMENTO!$AF$7)*OFFSET(ORÇAMENTO!$W$15,ROW(AD17)-ROW(AD$15),0),15-13*ORÇAMENTO!$AF$11)),0)</f>
        <v>0</v>
      </c>
      <c r="AE17" s="544">
        <f ca="1">IF(AND($D17="Serviço",AE$12&lt;&gt;0,$H17&gt;0,OR(AUTOEVENTO&lt;&gt;"manual",$M17&lt;&gt;1)),
IF(Import.TipoArredondamento&lt;&gt;"TransfereGOV",
ROUND(OFFSET($P17,0,AE$13),15-13*ORÇAMENTO!$AF$7)/$H17*OFFSET(ORÇAMENTO!$X$15,ROW(AE17)-ROW(AE$15),0),
ROUND(ROUND(OFFSET($P17,0,AE$13),15-13*ORÇAMENTO!$AF$7)*OFFSET(ORÇAMENTO!$W$15,ROW(AE17)-ROW(AE$15),0),15-13*ORÇAMENTO!$AF$11)),0)</f>
        <v>0</v>
      </c>
      <c r="AF17" s="544">
        <f ca="1">IF(AND($D17="Serviço",AF$12&lt;&gt;0,$H17&gt;0,OR(AUTOEVENTO&lt;&gt;"manual",$M17&lt;&gt;1)),
IF(Import.TipoArredondamento&lt;&gt;"TransfereGOV",
ROUND(OFFSET($P17,0,AF$13),15-13*ORÇAMENTO!$AF$7)/$H17*OFFSET(ORÇAMENTO!$X$15,ROW(AF17)-ROW(AF$15),0),
ROUND(ROUND(OFFSET($P17,0,AF$13),15-13*ORÇAMENTO!$AF$7)*OFFSET(ORÇAMENTO!$W$15,ROW(AF17)-ROW(AF$15),0),15-13*ORÇAMENTO!$AF$11)),0)</f>
        <v>0</v>
      </c>
      <c r="AG17" s="544">
        <f ca="1">IF(AND($D17="Serviço",AG$12&lt;&gt;0,$H17&gt;0,OR(AUTOEVENTO&lt;&gt;"manual",$M17&lt;&gt;1)),
IF(Import.TipoArredondamento&lt;&gt;"TransfereGOV",
ROUND(OFFSET($P17,0,AG$13),15-13*ORÇAMENTO!$AF$7)/$H17*OFFSET(ORÇAMENTO!$X$15,ROW(AG17)-ROW(AG$15),0),
ROUND(ROUND(OFFSET($P17,0,AG$13),15-13*ORÇAMENTO!$AF$7)*OFFSET(ORÇAMENTO!$W$15,ROW(AG17)-ROW(AG$15),0),15-13*ORÇAMENTO!$AF$11)),0)</f>
        <v>0</v>
      </c>
      <c r="AH17" s="544">
        <f ca="1">IF(AND($D17="Serviço",AH$12&lt;&gt;0,$H17&gt;0,OR(AUTOEVENTO&lt;&gt;"manual",$M17&lt;&gt;1)),
IF(Import.TipoArredondamento&lt;&gt;"TransfereGOV",
ROUND(OFFSET($P17,0,AH$13),15-13*ORÇAMENTO!$AF$7)/$H17*OFFSET(ORÇAMENTO!$X$15,ROW(AH17)-ROW(AH$15),0),
ROUND(ROUND(OFFSET($P17,0,AH$13),15-13*ORÇAMENTO!$AF$7)*OFFSET(ORÇAMENTO!$W$15,ROW(AH17)-ROW(AH$15),0),15-13*ORÇAMENTO!$AF$11)),0)</f>
        <v>0</v>
      </c>
      <c r="AI17" s="544">
        <f ca="1">IF(AND($D17="Serviço",AI$12&lt;&gt;0,$H17&gt;0,OR(AUTOEVENTO&lt;&gt;"manual",$M17&lt;&gt;1)),
IF(Import.TipoArredondamento&lt;&gt;"TransfereGOV",
ROUND(OFFSET($P17,0,AI$13),15-13*ORÇAMENTO!$AF$7)/$H17*OFFSET(ORÇAMENTO!$X$15,ROW(AI17)-ROW(AI$15),0),
ROUND(ROUND(OFFSET($P17,0,AI$13),15-13*ORÇAMENTO!$AF$7)*OFFSET(ORÇAMENTO!$W$15,ROW(AI17)-ROW(AI$15),0),15-13*ORÇAMENTO!$AF$11)),0)</f>
        <v>0</v>
      </c>
      <c r="AJ17" s="544">
        <f ca="1">IF(AND($D17="Serviço",AJ$12&lt;&gt;0,$H17&gt;0,OR(AUTOEVENTO&lt;&gt;"manual",$M17&lt;&gt;1)),
IF(Import.TipoArredondamento&lt;&gt;"TransfereGOV",
ROUND(OFFSET($P17,0,AJ$13),15-13*ORÇAMENTO!$AF$7)/$H17*OFFSET(ORÇAMENTO!$X$15,ROW(AJ17)-ROW(AJ$15),0),
ROUND(ROUND(OFFSET($P17,0,AJ$13),15-13*ORÇAMENTO!$AF$7)*OFFSET(ORÇAMENTO!$W$15,ROW(AJ17)-ROW(AJ$15),0),15-13*ORÇAMENTO!$AF$11)),0)</f>
        <v>0</v>
      </c>
      <c r="AK17" s="545">
        <f ca="1">IF(AND($D17="Serviço",AK$12&lt;&gt;0,$H17&gt;0,OR(AUTOEVENTO&lt;&gt;"manual",$M17&lt;&gt;1)),
IF(Import.TipoArredondamento&lt;&gt;"TransfereGOV",
ROUND(OFFSET($P17,0,AK$13),15-13*ORÇAMENTO!$AF$7)/$H17*OFFSET(ORÇAMENTO!$X$15,ROW(AK17)-ROW(AK$15),0),
ROUND(ROUND(OFFSET($P17,0,AK$13),15-13*ORÇAMENTO!$AF$7)*OFFSET(ORÇAMENTO!$W$15,ROW(AK17)-ROW(AK$15),0),15-13*ORÇAMENTO!$AF$11)),0)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9.6" x14ac:dyDescent="0.25">
      <c r="A18" s="7">
        <f t="shared" ca="1" si="8"/>
        <v>2</v>
      </c>
      <c r="B18" s="7" t="str">
        <f ca="1">OFFSET(ORÇAMENTO!C$15,ROW(B18)-ROW(B$15),0)</f>
        <v>S</v>
      </c>
      <c r="C18" s="7" t="str">
        <f ca="1">OFFSET(ORÇAMENTO!L$15,ROW(C18)-ROW(C$15),0)</f>
        <v>F</v>
      </c>
      <c r="D18" s="117" t="str">
        <f ca="1">OFFSET(ORÇAMENTO!N$15,ROW(D18)-ROW(D$15),0)</f>
        <v>Serviço</v>
      </c>
      <c r="E18" s="118" t="str">
        <f ca="1">OFFSET(ORÇAMENTO!O$15,ROW(E18)-ROW(E$15),0)</f>
        <v>1.1.1.</v>
      </c>
      <c r="F18" s="171" t="str">
        <f ca="1">OFFSET(ORÇAMENTO!R$15,ROW(F18)-ROW(F$15),0)</f>
        <v>PORTA DE MADEIRA PARA PINTURA, SEMI-OCA (LEVE OU MÉDIA), 80X210CM, ESPESSURA DE 3,5CM, INCLUSO DOBRADIÇAS - FORNECIMENTO E INSTALAÇÃO. AF_12/2019</v>
      </c>
      <c r="G18" s="172" t="str">
        <f ca="1">IF($D18&lt;&gt;"Serviço","",OFFSET(ORÇAMENTO!S$15,ROW(G18)-ROW(G$15),0))</f>
        <v>UN</v>
      </c>
      <c r="H18" s="123">
        <f ca="1">IF($D18&lt;&gt;"Serviço",0,IF(ACOMPANHAMENTO="BM",ROUND(OFFSET(ORÇAMENTO!AJ$15,ROW(H18)-ROW(H$15),0),15-13*ORÇAMENTO!$AF$7),SUMPRODUCT(($Q$12:$AA$12&lt;&gt;"")*ROUND($Q18:$AA18,15-13*ORÇAMENTO!$AF$7))))</f>
        <v>3.75</v>
      </c>
      <c r="I18" s="560" t="s">
        <v>450</v>
      </c>
      <c r="K18" s="173" t="s">
        <v>487</v>
      </c>
      <c r="L18" s="174" t="s">
        <v>255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2</v>
      </c>
      <c r="N18" s="176" t="str">
        <f ca="1">IF($D18&lt;&gt;"Serviço","",IF(AUTOEVENTO="Manual",IF($A18=0,"&lt;-- defina o número do agrupador",OFFSET(EVENTOS!$D$14,$A18,0)),OFFSET($F$15,$A18,0)))</f>
        <v>(SERVIÇOS PRELIMINARES)</v>
      </c>
      <c r="O18" s="177"/>
      <c r="Q18" s="177">
        <v>3.75</v>
      </c>
      <c r="R18" s="178"/>
      <c r="S18" s="178"/>
      <c r="T18" s="178"/>
      <c r="U18" s="178"/>
      <c r="V18" s="178"/>
      <c r="W18" s="178"/>
      <c r="X18" s="178"/>
      <c r="Y18" s="178"/>
      <c r="Z18" s="179"/>
      <c r="AB18" s="543">
        <f ca="1">IF(AND($D18="Serviço",AB$12&lt;&gt;0,$H18&gt;0,OR(AUTOEVENTO&lt;&gt;"manual",$M18&lt;&gt;1)),
IF(Import.TipoArredondamento&lt;&gt;"TransfereGOV",
ROUND(OFFSET($P18,0,AB$13),15-13*ORÇAMENTO!$AF$7)/$H18*OFFSET(ORÇAMENTO!$X$15,ROW(AB18)-ROW(AB$15),0),
ROUND(ROUND(OFFSET($P18,0,AB$13),15-13*ORÇAMENTO!$AF$7)*OFFSET(ORÇAMENTO!$W$15,ROW(AB18)-ROW(AB$15),0),15-13*ORÇAMENTO!$AF$11)),0)</f>
        <v>1725.75</v>
      </c>
      <c r="AC18" s="544">
        <f ca="1">IF(AND($D18="Serviço",AC$12&lt;&gt;0,$H18&gt;0,OR(AUTOEVENTO&lt;&gt;"manual",$M18&lt;&gt;1)),
IF(Import.TipoArredondamento&lt;&gt;"TransfereGOV",
ROUND(OFFSET($P18,0,AC$13),15-13*ORÇAMENTO!$AF$7)/$H18*OFFSET(ORÇAMENTO!$X$15,ROW(AC18)-ROW(AC$15),0),
ROUND(ROUND(OFFSET($P18,0,AC$13),15-13*ORÇAMENTO!$AF$7)*OFFSET(ORÇAMENTO!$W$15,ROW(AC18)-ROW(AC$15),0),15-13*ORÇAMENTO!$AF$11)),0)</f>
        <v>0</v>
      </c>
      <c r="AD18" s="544">
        <f ca="1">IF(AND($D18="Serviço",AD$12&lt;&gt;0,$H18&gt;0,OR(AUTOEVENTO&lt;&gt;"manual",$M18&lt;&gt;1)),
IF(Import.TipoArredondamento&lt;&gt;"TransfereGOV",
ROUND(OFFSET($P18,0,AD$13),15-13*ORÇAMENTO!$AF$7)/$H18*OFFSET(ORÇAMENTO!$X$15,ROW(AD18)-ROW(AD$15),0),
ROUND(ROUND(OFFSET($P18,0,AD$13),15-13*ORÇAMENTO!$AF$7)*OFFSET(ORÇAMENTO!$W$15,ROW(AD18)-ROW(AD$15),0),15-13*ORÇAMENTO!$AF$11)),0)</f>
        <v>0</v>
      </c>
      <c r="AE18" s="544">
        <f ca="1">IF(AND($D18="Serviço",AE$12&lt;&gt;0,$H18&gt;0,OR(AUTOEVENTO&lt;&gt;"manual",$M18&lt;&gt;1)),
IF(Import.TipoArredondamento&lt;&gt;"TransfereGOV",
ROUND(OFFSET($P18,0,AE$13),15-13*ORÇAMENTO!$AF$7)/$H18*OFFSET(ORÇAMENTO!$X$15,ROW(AE18)-ROW(AE$15),0),
ROUND(ROUND(OFFSET($P18,0,AE$13),15-13*ORÇAMENTO!$AF$7)*OFFSET(ORÇAMENTO!$W$15,ROW(AE18)-ROW(AE$15),0),15-13*ORÇAMENTO!$AF$11)),0)</f>
        <v>0</v>
      </c>
      <c r="AF18" s="544">
        <f ca="1">IF(AND($D18="Serviço",AF$12&lt;&gt;0,$H18&gt;0,OR(AUTOEVENTO&lt;&gt;"manual",$M18&lt;&gt;1)),
IF(Import.TipoArredondamento&lt;&gt;"TransfereGOV",
ROUND(OFFSET($P18,0,AF$13),15-13*ORÇAMENTO!$AF$7)/$H18*OFFSET(ORÇAMENTO!$X$15,ROW(AF18)-ROW(AF$15),0),
ROUND(ROUND(OFFSET($P18,0,AF$13),15-13*ORÇAMENTO!$AF$7)*OFFSET(ORÇAMENTO!$W$15,ROW(AF18)-ROW(AF$15),0),15-13*ORÇAMENTO!$AF$11)),0)</f>
        <v>0</v>
      </c>
      <c r="AG18" s="544">
        <f ca="1">IF(AND($D18="Serviço",AG$12&lt;&gt;0,$H18&gt;0,OR(AUTOEVENTO&lt;&gt;"manual",$M18&lt;&gt;1)),
IF(Import.TipoArredondamento&lt;&gt;"TransfereGOV",
ROUND(OFFSET($P18,0,AG$13),15-13*ORÇAMENTO!$AF$7)/$H18*OFFSET(ORÇAMENTO!$X$15,ROW(AG18)-ROW(AG$15),0),
ROUND(ROUND(OFFSET($P18,0,AG$13),15-13*ORÇAMENTO!$AF$7)*OFFSET(ORÇAMENTO!$W$15,ROW(AG18)-ROW(AG$15),0),15-13*ORÇAMENTO!$AF$11)),0)</f>
        <v>0</v>
      </c>
      <c r="AH18" s="544">
        <f ca="1">IF(AND($D18="Serviço",AH$12&lt;&gt;0,$H18&gt;0,OR(AUTOEVENTO&lt;&gt;"manual",$M18&lt;&gt;1)),
IF(Import.TipoArredondamento&lt;&gt;"TransfereGOV",
ROUND(OFFSET($P18,0,AH$13),15-13*ORÇAMENTO!$AF$7)/$H18*OFFSET(ORÇAMENTO!$X$15,ROW(AH18)-ROW(AH$15),0),
ROUND(ROUND(OFFSET($P18,0,AH$13),15-13*ORÇAMENTO!$AF$7)*OFFSET(ORÇAMENTO!$W$15,ROW(AH18)-ROW(AH$15),0),15-13*ORÇAMENTO!$AF$11)),0)</f>
        <v>0</v>
      </c>
      <c r="AI18" s="544">
        <f ca="1">IF(AND($D18="Serviço",AI$12&lt;&gt;0,$H18&gt;0,OR(AUTOEVENTO&lt;&gt;"manual",$M18&lt;&gt;1)),
IF(Import.TipoArredondamento&lt;&gt;"TransfereGOV",
ROUND(OFFSET($P18,0,AI$13),15-13*ORÇAMENTO!$AF$7)/$H18*OFFSET(ORÇAMENTO!$X$15,ROW(AI18)-ROW(AI$15),0),
ROUND(ROUND(OFFSET($P18,0,AI$13),15-13*ORÇAMENTO!$AF$7)*OFFSET(ORÇAMENTO!$W$15,ROW(AI18)-ROW(AI$15),0),15-13*ORÇAMENTO!$AF$11)),0)</f>
        <v>0</v>
      </c>
      <c r="AJ18" s="544">
        <f ca="1">IF(AND($D18="Serviço",AJ$12&lt;&gt;0,$H18&gt;0,OR(AUTOEVENTO&lt;&gt;"manual",$M18&lt;&gt;1)),
IF(Import.TipoArredondamento&lt;&gt;"TransfereGOV",
ROUND(OFFSET($P18,0,AJ$13),15-13*ORÇAMENTO!$AF$7)/$H18*OFFSET(ORÇAMENTO!$X$15,ROW(AJ18)-ROW(AJ$15),0),
ROUND(ROUND(OFFSET($P18,0,AJ$13),15-13*ORÇAMENTO!$AF$7)*OFFSET(ORÇAMENTO!$W$15,ROW(AJ18)-ROW(AJ$15),0),15-13*ORÇAMENTO!$AF$11)),0)</f>
        <v>0</v>
      </c>
      <c r="AK18" s="545">
        <f ca="1">IF(AND($D18="Serviço",AK$12&lt;&gt;0,$H18&gt;0,OR(AUTOEVENTO&lt;&gt;"manual",$M18&lt;&gt;1)),
IF(Import.TipoArredondamento&lt;&gt;"TransfereGOV",
ROUND(OFFSET($P18,0,AK$13),15-13*ORÇAMENTO!$AF$7)/$H18*OFFSET(ORÇAMENTO!$X$15,ROW(AK18)-ROW(AK$15),0),
ROUND(ROUND(OFFSET($P18,0,AK$13),15-13*ORÇAMENTO!$AF$7)*OFFSET(ORÇAMENTO!$W$15,ROW(AK18)-ROW(AK$15),0),15-13*ORÇAMENTO!$AF$11)),0)</f>
        <v>0</v>
      </c>
      <c r="AM18" s="180">
        <f ca="1">IF($D18&lt;&gt;"Serviço",0,IF(AND(AUTOEVENTO="Manual",$M18=1),0,IF(OFFSET(CRONOPLE!$F$14,$M18,AM$13)="",10^12,OFFSET(CRONOPLE!$F$14,$M18,AM$13))))</f>
        <v>1</v>
      </c>
      <c r="AN18" s="180">
        <f ca="1">IF($D18&lt;&gt;"Serviço",0,IF(AND(AUTOEVENTO="Manual",$M18=1),0,IF(OFFSET(CRONOPLE!$F$14,$M18,AN$13)="",10^12,OFFSET(CRONOPLE!$F$14,$M18,AN$13))))</f>
        <v>1000000000000</v>
      </c>
      <c r="AO18" s="180">
        <f ca="1">IF($D18&lt;&gt;"Serviço",0,IF(AND(AUTOEVENTO="Manual",$M18=1),0,IF(OFFSET(CRONOPLE!$F$14,$M18,AO$13)="",10^12,OFFSET(CRONOPLE!$F$14,$M18,AO$13))))</f>
        <v>1000000000000</v>
      </c>
      <c r="AP18" s="180">
        <f ca="1">IF($D18&lt;&gt;"Serviço",0,IF(AND(AUTOEVENTO="Manual",$M18=1),0,IF(OFFSET(CRONOPLE!$F$14,$M18,AP$13)="",10^12,OFFSET(CRONOPLE!$F$14,$M18,AP$13))))</f>
        <v>1000000000000</v>
      </c>
      <c r="AQ18" s="180">
        <f ca="1">IF($D18&lt;&gt;"Serviço",0,IF(AND(AUTOEVENTO="Manual",$M18=1),0,IF(OFFSET(CRONOPLE!$F$14,$M18,AQ$13)="",10^12,OFFSET(CRONOPLE!$F$14,$M18,AQ$13))))</f>
        <v>1000000000000</v>
      </c>
      <c r="AR18" s="180">
        <f ca="1">IF($D18&lt;&gt;"Serviço",0,IF(AND(AUTOEVENTO="Manual",$M18=1),0,IF(OFFSET(CRONOPLE!$F$14,$M18,AR$13)="",10^12,OFFSET(CRONOPLE!$F$14,$M18,AR$13))))</f>
        <v>1000000000000</v>
      </c>
      <c r="AS18" s="180">
        <f ca="1">IF($D18&lt;&gt;"Serviço",0,IF(AND(AUTOEVENTO="Manual",$M18=1),0,IF(OFFSET(CRONOPLE!$F$14,$M18,AS$13)="",10^12,OFFSET(CRONOPLE!$F$14,$M18,AS$13))))</f>
        <v>1000000000000</v>
      </c>
      <c r="AT18" s="180">
        <f ca="1">IF($D18&lt;&gt;"Serviço",0,IF(AND(AUTOEVENTO="Manual",$M18=1),0,IF(OFFSET(CRONOPLE!$F$14,$M18,AT$13)="",10^12,OFFSET(CRONOPLE!$F$14,$M18,AT$13))))</f>
        <v>1000000000000</v>
      </c>
      <c r="AU18" s="180">
        <f ca="1">IF($D18&lt;&gt;"Serviço",0,IF(AND(AUTOEVENTO="Manual",$M18=1),0,IF(OFFSET(CRONOPLE!$F$14,$M18,AU$13)="",10^12,OFFSET(CRONOPLE!$F$14,$M18,AU$13))))</f>
        <v>1000000000000</v>
      </c>
      <c r="AV18" s="180">
        <f ca="1">IF($D18&lt;&gt;"Serviço",0,IF(AND(AUTOEVENTO="Manual",$M18=1),0,IF(OFFSET(CRONOPLE!$F$14,$M18,AV$13)="",10^12,OFFSET(CRONOPLE!$F$14,$M18,AV$13))))</f>
        <v>1000000000000</v>
      </c>
      <c r="AX18" s="181">
        <f ca="1">IF($D18&lt;&gt;"Serviço",0,IF(OR(AND(AUTOEVENTO="Manual",$M18=1),$M18&gt;(ROW(PLE.lastrow)-ROW(PLE.firstrow))),0,IF(OFFSET(PLE!$G$14,$M18,AX$13)="",10^12,OFFSET(PLE!$G$14,$M18,AX$13))))</f>
        <v>1000000000000</v>
      </c>
      <c r="AY18" s="181">
        <f ca="1">IF($D18&lt;&gt;"Serviço",0,IF(OR(AND(AUTOEVENTO="Manual",$M18=1),$M18&gt;(ROW(PLE.lastrow)-ROW(PLE.firstrow))),0,IF(OFFSET(PLE!$G$14,$M18,AY$13)="",10^12,OFFSET(PLE!$G$14,$M18,AY$13))))</f>
        <v>1000000000000</v>
      </c>
      <c r="AZ18" s="181">
        <f ca="1">IF($D18&lt;&gt;"Serviço",0,IF(OR(AND(AUTOEVENTO="Manual",$M18=1),$M18&gt;(ROW(PLE.lastrow)-ROW(PLE.firstrow))),0,IF(OFFSET(PLE!$G$14,$M18,AZ$13)="",10^12,OFFSET(PLE!$G$14,$M18,AZ$13))))</f>
        <v>1000000000000</v>
      </c>
      <c r="BA18" s="181">
        <f ca="1">IF($D18&lt;&gt;"Serviço",0,IF(OR(AND(AUTOEVENTO="Manual",$M18=1),$M18&gt;(ROW(PLE.lastrow)-ROW(PLE.firstrow))),0,IF(OFFSET(PLE!$G$14,$M18,BA$13)="",10^12,OFFSET(PLE!$G$14,$M18,BA$13))))</f>
        <v>1000000000000</v>
      </c>
      <c r="BB18" s="181">
        <f ca="1">IF($D18&lt;&gt;"Serviço",0,IF(OR(AND(AUTOEVENTO="Manual",$M18=1),$M18&gt;(ROW(PLE.lastrow)-ROW(PLE.firstrow))),0,IF(OFFSET(PLE!$G$14,$M18,BB$13)="",10^12,OFFSET(PLE!$G$14,$M18,BB$13))))</f>
        <v>1000000000000</v>
      </c>
      <c r="BC18" s="181">
        <f ca="1">IF($D18&lt;&gt;"Serviço",0,IF(OR(AND(AUTOEVENTO="Manual",$M18=1),$M18&gt;(ROW(PLE.lastrow)-ROW(PLE.firstrow))),0,IF(OFFSET(PLE!$G$14,$M18,BC$13)="",10^12,OFFSET(PLE!$G$14,$M18,BC$13))))</f>
        <v>1000000000000</v>
      </c>
      <c r="BD18" s="181">
        <f ca="1">IF($D18&lt;&gt;"Serviço",0,IF(OR(AND(AUTOEVENTO="Manual",$M18=1),$M18&gt;(ROW(PLE.lastrow)-ROW(PLE.firstrow))),0,IF(OFFSET(PLE!$G$14,$M18,BD$13)="",10^12,OFFSET(PLE!$G$14,$M18,BD$13))))</f>
        <v>1000000000000</v>
      </c>
      <c r="BE18" s="181">
        <f ca="1">IF($D18&lt;&gt;"Serviço",0,IF(OR(AND(AUTOEVENTO="Manual",$M18=1),$M18&gt;(ROW(PLE.lastrow)-ROW(PLE.firstrow))),0,IF(OFFSET(PLE!$G$14,$M18,BE$13)="",10^12,OFFSET(PLE!$G$14,$M18,BE$13))))</f>
        <v>1000000000000</v>
      </c>
      <c r="BF18" s="181">
        <f ca="1">IF($D18&lt;&gt;"Serviço",0,IF(OR(AND(AUTOEVENTO="Manual",$M18=1),$M18&gt;(ROW(PLE.lastrow)-ROW(PLE.firstrow))),0,IF(OFFSET(PLE!$G$14,$M18,BF$13)="",10^12,OFFSET(PLE!$G$14,$M18,BF$13))))</f>
        <v>1000000000000</v>
      </c>
      <c r="BG18" s="181">
        <f ca="1">IF($D18&lt;&gt;"Serviço",0,IF(OR(AND(AUTOEVENTO="Manual",$M18=1),$M18&gt;(ROW(PLE.lastrow)-ROW(PLE.firstrow))),0,IF(OFFSET(PLE!$G$14,$M18,BG$13)="",10^12,OFFSET(PLE!$G$14,$M18,BG$13))))</f>
        <v>1000000000000</v>
      </c>
    </row>
    <row r="19" spans="1:59" ht="13.2" x14ac:dyDescent="0.25">
      <c r="A19" s="7">
        <f t="shared" ca="1" si="8"/>
        <v>0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7" t="str">
        <f ca="1">OFFSET(ORÇAMENTO!N$15,ROW(D19)-ROW(D$15),0)</f>
        <v>Nível 2</v>
      </c>
      <c r="E19" s="118" t="str">
        <f ca="1">OFFSET(ORÇAMENTO!O$15,ROW(E19)-ROW(E$15),0)</f>
        <v>1.2.</v>
      </c>
      <c r="F19" s="171" t="str">
        <f ca="1">OFFSET(ORÇAMENTO!R$15,ROW(F19)-ROW(F$15),0)</f>
        <v>EMBOÇO, FORRO, LOUÇAS E PORTAS</v>
      </c>
      <c r="G19" s="172" t="str">
        <f ca="1">IF($D19&lt;&gt;"Serviço","",OFFSET(ORÇAMENTO!S$15,ROW(G19)-ROW(G$15),0))</f>
        <v/>
      </c>
      <c r="H19" s="123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0"/>
      <c r="K19" s="173"/>
      <c r="L19" s="174" t="s">
        <v>255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3">
        <f ca="1">IF(AND($D19="Serviço",AB$12&lt;&gt;0,$H19&gt;0,OR(AUTOEVENTO&lt;&gt;"manual",$M19&lt;&gt;1)),
IF(Import.TipoArredondamento&lt;&gt;"TransfereGOV",
ROUND(OFFSET($P19,0,AB$13),15-13*ORÇAMENTO!$AF$7)/$H19*OFFSET(ORÇAMENTO!$X$15,ROW(AB19)-ROW(AB$15),0),
ROUND(ROUND(OFFSET($P19,0,AB$13),15-13*ORÇAMENTO!$AF$7)*OFFSET(ORÇAMENTO!$W$15,ROW(AB19)-ROW(AB$15),0),15-13*ORÇAMENTO!$AF$11)),0)</f>
        <v>0</v>
      </c>
      <c r="AC19" s="544">
        <f ca="1">IF(AND($D19="Serviço",AC$12&lt;&gt;0,$H19&gt;0,OR(AUTOEVENTO&lt;&gt;"manual",$M19&lt;&gt;1)),
IF(Import.TipoArredondamento&lt;&gt;"TransfereGOV",
ROUND(OFFSET($P19,0,AC$13),15-13*ORÇAMENTO!$AF$7)/$H19*OFFSET(ORÇAMENTO!$X$15,ROW(AC19)-ROW(AC$15),0),
ROUND(ROUND(OFFSET($P19,0,AC$13),15-13*ORÇAMENTO!$AF$7)*OFFSET(ORÇAMENTO!$W$15,ROW(AC19)-ROW(AC$15),0),15-13*ORÇAMENTO!$AF$11)),0)</f>
        <v>0</v>
      </c>
      <c r="AD19" s="544">
        <f ca="1">IF(AND($D19="Serviço",AD$12&lt;&gt;0,$H19&gt;0,OR(AUTOEVENTO&lt;&gt;"manual",$M19&lt;&gt;1)),
IF(Import.TipoArredondamento&lt;&gt;"TransfereGOV",
ROUND(OFFSET($P19,0,AD$13),15-13*ORÇAMENTO!$AF$7)/$H19*OFFSET(ORÇAMENTO!$X$15,ROW(AD19)-ROW(AD$15),0),
ROUND(ROUND(OFFSET($P19,0,AD$13),15-13*ORÇAMENTO!$AF$7)*OFFSET(ORÇAMENTO!$W$15,ROW(AD19)-ROW(AD$15),0),15-13*ORÇAMENTO!$AF$11)),0)</f>
        <v>0</v>
      </c>
      <c r="AE19" s="544">
        <f ca="1">IF(AND($D19="Serviço",AE$12&lt;&gt;0,$H19&gt;0,OR(AUTOEVENTO&lt;&gt;"manual",$M19&lt;&gt;1)),
IF(Import.TipoArredondamento&lt;&gt;"TransfereGOV",
ROUND(OFFSET($P19,0,AE$13),15-13*ORÇAMENTO!$AF$7)/$H19*OFFSET(ORÇAMENTO!$X$15,ROW(AE19)-ROW(AE$15),0),
ROUND(ROUND(OFFSET($P19,0,AE$13),15-13*ORÇAMENTO!$AF$7)*OFFSET(ORÇAMENTO!$W$15,ROW(AE19)-ROW(AE$15),0),15-13*ORÇAMENTO!$AF$11)),0)</f>
        <v>0</v>
      </c>
      <c r="AF19" s="544">
        <f ca="1">IF(AND($D19="Serviço",AF$12&lt;&gt;0,$H19&gt;0,OR(AUTOEVENTO&lt;&gt;"manual",$M19&lt;&gt;1)),
IF(Import.TipoArredondamento&lt;&gt;"TransfereGOV",
ROUND(OFFSET($P19,0,AF$13),15-13*ORÇAMENTO!$AF$7)/$H19*OFFSET(ORÇAMENTO!$X$15,ROW(AF19)-ROW(AF$15),0),
ROUND(ROUND(OFFSET($P19,0,AF$13),15-13*ORÇAMENTO!$AF$7)*OFFSET(ORÇAMENTO!$W$15,ROW(AF19)-ROW(AF$15),0),15-13*ORÇAMENTO!$AF$11)),0)</f>
        <v>0</v>
      </c>
      <c r="AG19" s="544">
        <f ca="1">IF(AND($D19="Serviço",AG$12&lt;&gt;0,$H19&gt;0,OR(AUTOEVENTO&lt;&gt;"manual",$M19&lt;&gt;1)),
IF(Import.TipoArredondamento&lt;&gt;"TransfereGOV",
ROUND(OFFSET($P19,0,AG$13),15-13*ORÇAMENTO!$AF$7)/$H19*OFFSET(ORÇAMENTO!$X$15,ROW(AG19)-ROW(AG$15),0),
ROUND(ROUND(OFFSET($P19,0,AG$13),15-13*ORÇAMENTO!$AF$7)*OFFSET(ORÇAMENTO!$W$15,ROW(AG19)-ROW(AG$15),0),15-13*ORÇAMENTO!$AF$11)),0)</f>
        <v>0</v>
      </c>
      <c r="AH19" s="544">
        <f ca="1">IF(AND($D19="Serviço",AH$12&lt;&gt;0,$H19&gt;0,OR(AUTOEVENTO&lt;&gt;"manual",$M19&lt;&gt;1)),
IF(Import.TipoArredondamento&lt;&gt;"TransfereGOV",
ROUND(OFFSET($P19,0,AH$13),15-13*ORÇAMENTO!$AF$7)/$H19*OFFSET(ORÇAMENTO!$X$15,ROW(AH19)-ROW(AH$15),0),
ROUND(ROUND(OFFSET($P19,0,AH$13),15-13*ORÇAMENTO!$AF$7)*OFFSET(ORÇAMENTO!$W$15,ROW(AH19)-ROW(AH$15),0),15-13*ORÇAMENTO!$AF$11)),0)</f>
        <v>0</v>
      </c>
      <c r="AI19" s="544">
        <f ca="1">IF(AND($D19="Serviço",AI$12&lt;&gt;0,$H19&gt;0,OR(AUTOEVENTO&lt;&gt;"manual",$M19&lt;&gt;1)),
IF(Import.TipoArredondamento&lt;&gt;"TransfereGOV",
ROUND(OFFSET($P19,0,AI$13),15-13*ORÇAMENTO!$AF$7)/$H19*OFFSET(ORÇAMENTO!$X$15,ROW(AI19)-ROW(AI$15),0),
ROUND(ROUND(OFFSET($P19,0,AI$13),15-13*ORÇAMENTO!$AF$7)*OFFSET(ORÇAMENTO!$W$15,ROW(AI19)-ROW(AI$15),0),15-13*ORÇAMENTO!$AF$11)),0)</f>
        <v>0</v>
      </c>
      <c r="AJ19" s="544">
        <f ca="1">IF(AND($D19="Serviço",AJ$12&lt;&gt;0,$H19&gt;0,OR(AUTOEVENTO&lt;&gt;"manual",$M19&lt;&gt;1)),
IF(Import.TipoArredondamento&lt;&gt;"TransfereGOV",
ROUND(OFFSET($P19,0,AJ$13),15-13*ORÇAMENTO!$AF$7)/$H19*OFFSET(ORÇAMENTO!$X$15,ROW(AJ19)-ROW(AJ$15),0),
ROUND(ROUND(OFFSET($P19,0,AJ$13),15-13*ORÇAMENTO!$AF$7)*OFFSET(ORÇAMENTO!$W$15,ROW(AJ19)-ROW(AJ$15),0),15-13*ORÇAMENTO!$AF$11)),0)</f>
        <v>0</v>
      </c>
      <c r="AK19" s="545">
        <f ca="1">IF(AND($D19="Serviço",AK$12&lt;&gt;0,$H19&gt;0,OR(AUTOEVENTO&lt;&gt;"manual",$M19&lt;&gt;1)),
IF(Import.TipoArredondamento&lt;&gt;"TransfereGOV",
ROUND(OFFSET($P19,0,AK$13),15-13*ORÇAMENTO!$AF$7)/$H19*OFFSET(ORÇAMENTO!$X$15,ROW(AK19)-ROW(AK$15),0),
ROUND(ROUND(OFFSET($P19,0,AK$13),15-13*ORÇAMENTO!$AF$7)*OFFSET(ORÇAMENTO!$W$15,ROW(AK19)-ROW(AK$15),0),15-13*ORÇAMENTO!$AF$11)),0)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39.6" x14ac:dyDescent="0.25">
      <c r="A20" s="7">
        <f t="shared" ca="1" si="8"/>
        <v>3</v>
      </c>
      <c r="B20" s="7" t="str">
        <f ca="1">OFFSET(ORÇAMENTO!C$15,ROW(B20)-ROW(B$15),0)</f>
        <v>S</v>
      </c>
      <c r="C20" s="7" t="str">
        <f ca="1">OFFSET(ORÇAMENTO!L$15,ROW(C20)-ROW(C$15),0)</f>
        <v>F</v>
      </c>
      <c r="D20" s="117" t="str">
        <f ca="1">OFFSET(ORÇAMENTO!N$15,ROW(D20)-ROW(D$15),0)</f>
        <v>Serviço</v>
      </c>
      <c r="E20" s="118" t="str">
        <f ca="1">OFFSET(ORÇAMENTO!O$15,ROW(E20)-ROW(E$15),0)</f>
        <v>1.2.1.</v>
      </c>
      <c r="F20" s="171" t="str">
        <f ca="1">OFFSET(ORÇAMENTO!R$15,ROW(F20)-ROW(F$15),0)</f>
        <v>FORRO EM RÉGUAS DE PVC, FRISADO, PARA AMBIENTES COMERCIAIS, INCLUSIVE ESTRUTURA BIDIRECIONAL DE FIXAÇÃO. AF_08/2023_PS</v>
      </c>
      <c r="G20" s="172" t="str">
        <f ca="1">IF($D20&lt;&gt;"Serviço","",OFFSET(ORÇAMENTO!S$15,ROW(G20)-ROW(G$15),0))</f>
        <v>M2</v>
      </c>
      <c r="H20" s="123">
        <f ca="1">IF($D20&lt;&gt;"Serviço",0,IF(ACOMPANHAMENTO="BM",ROUND(OFFSET(ORÇAMENTO!AJ$15,ROW(H20)-ROW(H$15),0),15-13*ORÇAMENTO!$AF$7),SUMPRODUCT(($Q$12:$AA$12&lt;&gt;"")*ROUND($Q20:$AA20,15-13*ORÇAMENTO!$AF$7))))</f>
        <v>187.27</v>
      </c>
      <c r="I20" s="560" t="s">
        <v>475</v>
      </c>
      <c r="K20" s="173" t="s">
        <v>486</v>
      </c>
      <c r="L20" s="174" t="s">
        <v>255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3</v>
      </c>
      <c r="N20" s="176" t="str">
        <f ca="1">IF($D20&lt;&gt;"Serviço","",IF(AUTOEVENTO="Manual",IF($A20=0,"&lt;-- defina o número do agrupador",OFFSET(EVENTOS!$D$14,$A20,0)),OFFSET($F$15,$A20,0)))</f>
        <v>EMBOÇO, FORRO, LOUÇAS E PORTAS</v>
      </c>
      <c r="O20" s="177"/>
      <c r="Q20" s="177" t="s">
        <v>475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3">
        <f ca="1">IF(AND($D20="Serviço",AB$12&lt;&gt;0,$H20&gt;0,OR(AUTOEVENTO&lt;&gt;"manual",$M20&lt;&gt;1)),
IF(Import.TipoArredondamento&lt;&gt;"TransfereGOV",
ROUND(OFFSET($P20,0,AB$13),15-13*ORÇAMENTO!$AF$7)/$H20*OFFSET(ORÇAMENTO!$X$15,ROW(AB20)-ROW(AB$15),0),
ROUND(ROUND(OFFSET($P20,0,AB$13),15-13*ORÇAMENTO!$AF$7)*OFFSET(ORÇAMENTO!$W$15,ROW(AB20)-ROW(AB$15),0),15-13*ORÇAMENTO!$AF$11)),0)</f>
        <v>16024.69</v>
      </c>
      <c r="AC20" s="544">
        <f ca="1">IF(AND($D20="Serviço",AC$12&lt;&gt;0,$H20&gt;0,OR(AUTOEVENTO&lt;&gt;"manual",$M20&lt;&gt;1)),
IF(Import.TipoArredondamento&lt;&gt;"TransfereGOV",
ROUND(OFFSET($P20,0,AC$13),15-13*ORÇAMENTO!$AF$7)/$H20*OFFSET(ORÇAMENTO!$X$15,ROW(AC20)-ROW(AC$15),0),
ROUND(ROUND(OFFSET($P20,0,AC$13),15-13*ORÇAMENTO!$AF$7)*OFFSET(ORÇAMENTO!$W$15,ROW(AC20)-ROW(AC$15),0),15-13*ORÇAMENTO!$AF$11)),0)</f>
        <v>0</v>
      </c>
      <c r="AD20" s="544">
        <f ca="1">IF(AND($D20="Serviço",AD$12&lt;&gt;0,$H20&gt;0,OR(AUTOEVENTO&lt;&gt;"manual",$M20&lt;&gt;1)),
IF(Import.TipoArredondamento&lt;&gt;"TransfereGOV",
ROUND(OFFSET($P20,0,AD$13),15-13*ORÇAMENTO!$AF$7)/$H20*OFFSET(ORÇAMENTO!$X$15,ROW(AD20)-ROW(AD$15),0),
ROUND(ROUND(OFFSET($P20,0,AD$13),15-13*ORÇAMENTO!$AF$7)*OFFSET(ORÇAMENTO!$W$15,ROW(AD20)-ROW(AD$15),0),15-13*ORÇAMENTO!$AF$11)),0)</f>
        <v>0</v>
      </c>
      <c r="AE20" s="544">
        <f ca="1">IF(AND($D20="Serviço",AE$12&lt;&gt;0,$H20&gt;0,OR(AUTOEVENTO&lt;&gt;"manual",$M20&lt;&gt;1)),
IF(Import.TipoArredondamento&lt;&gt;"TransfereGOV",
ROUND(OFFSET($P20,0,AE$13),15-13*ORÇAMENTO!$AF$7)/$H20*OFFSET(ORÇAMENTO!$X$15,ROW(AE20)-ROW(AE$15),0),
ROUND(ROUND(OFFSET($P20,0,AE$13),15-13*ORÇAMENTO!$AF$7)*OFFSET(ORÇAMENTO!$W$15,ROW(AE20)-ROW(AE$15),0),15-13*ORÇAMENTO!$AF$11)),0)</f>
        <v>0</v>
      </c>
      <c r="AF20" s="544">
        <f ca="1">IF(AND($D20="Serviço",AF$12&lt;&gt;0,$H20&gt;0,OR(AUTOEVENTO&lt;&gt;"manual",$M20&lt;&gt;1)),
IF(Import.TipoArredondamento&lt;&gt;"TransfereGOV",
ROUND(OFFSET($P20,0,AF$13),15-13*ORÇAMENTO!$AF$7)/$H20*OFFSET(ORÇAMENTO!$X$15,ROW(AF20)-ROW(AF$15),0),
ROUND(ROUND(OFFSET($P20,0,AF$13),15-13*ORÇAMENTO!$AF$7)*OFFSET(ORÇAMENTO!$W$15,ROW(AF20)-ROW(AF$15),0),15-13*ORÇAMENTO!$AF$11)),0)</f>
        <v>0</v>
      </c>
      <c r="AG20" s="544">
        <f ca="1">IF(AND($D20="Serviço",AG$12&lt;&gt;0,$H20&gt;0,OR(AUTOEVENTO&lt;&gt;"manual",$M20&lt;&gt;1)),
IF(Import.TipoArredondamento&lt;&gt;"TransfereGOV",
ROUND(OFFSET($P20,0,AG$13),15-13*ORÇAMENTO!$AF$7)/$H20*OFFSET(ORÇAMENTO!$X$15,ROW(AG20)-ROW(AG$15),0),
ROUND(ROUND(OFFSET($P20,0,AG$13),15-13*ORÇAMENTO!$AF$7)*OFFSET(ORÇAMENTO!$W$15,ROW(AG20)-ROW(AG$15),0),15-13*ORÇAMENTO!$AF$11)),0)</f>
        <v>0</v>
      </c>
      <c r="AH20" s="544">
        <f ca="1">IF(AND($D20="Serviço",AH$12&lt;&gt;0,$H20&gt;0,OR(AUTOEVENTO&lt;&gt;"manual",$M20&lt;&gt;1)),
IF(Import.TipoArredondamento&lt;&gt;"TransfereGOV",
ROUND(OFFSET($P20,0,AH$13),15-13*ORÇAMENTO!$AF$7)/$H20*OFFSET(ORÇAMENTO!$X$15,ROW(AH20)-ROW(AH$15),0),
ROUND(ROUND(OFFSET($P20,0,AH$13),15-13*ORÇAMENTO!$AF$7)*OFFSET(ORÇAMENTO!$W$15,ROW(AH20)-ROW(AH$15),0),15-13*ORÇAMENTO!$AF$11)),0)</f>
        <v>0</v>
      </c>
      <c r="AI20" s="544">
        <f ca="1">IF(AND($D20="Serviço",AI$12&lt;&gt;0,$H20&gt;0,OR(AUTOEVENTO&lt;&gt;"manual",$M20&lt;&gt;1)),
IF(Import.TipoArredondamento&lt;&gt;"TransfereGOV",
ROUND(OFFSET($P20,0,AI$13),15-13*ORÇAMENTO!$AF$7)/$H20*OFFSET(ORÇAMENTO!$X$15,ROW(AI20)-ROW(AI$15),0),
ROUND(ROUND(OFFSET($P20,0,AI$13),15-13*ORÇAMENTO!$AF$7)*OFFSET(ORÇAMENTO!$W$15,ROW(AI20)-ROW(AI$15),0),15-13*ORÇAMENTO!$AF$11)),0)</f>
        <v>0</v>
      </c>
      <c r="AJ20" s="544">
        <f ca="1">IF(AND($D20="Serviço",AJ$12&lt;&gt;0,$H20&gt;0,OR(AUTOEVENTO&lt;&gt;"manual",$M20&lt;&gt;1)),
IF(Import.TipoArredondamento&lt;&gt;"TransfereGOV",
ROUND(OFFSET($P20,0,AJ$13),15-13*ORÇAMENTO!$AF$7)/$H20*OFFSET(ORÇAMENTO!$X$15,ROW(AJ20)-ROW(AJ$15),0),
ROUND(ROUND(OFFSET($P20,0,AJ$13),15-13*ORÇAMENTO!$AF$7)*OFFSET(ORÇAMENTO!$W$15,ROW(AJ20)-ROW(AJ$15),0),15-13*ORÇAMENTO!$AF$11)),0)</f>
        <v>0</v>
      </c>
      <c r="AK20" s="545">
        <f ca="1">IF(AND($D20="Serviço",AK$12&lt;&gt;0,$H20&gt;0,OR(AUTOEVENTO&lt;&gt;"manual",$M20&lt;&gt;1)),
IF(Import.TipoArredondamento&lt;&gt;"TransfereGOV",
ROUND(OFFSET($P20,0,AK$13),15-13*ORÇAMENTO!$AF$7)/$H20*OFFSET(ORÇAMENTO!$X$15,ROW(AK20)-ROW(AK$15),0),
ROUND(ROUND(OFFSET($P20,0,AK$13),15-13*ORÇAMENTO!$AF$7)*OFFSET(ORÇAMENTO!$W$15,ROW(AK20)-ROW(AK$15),0),15-13*ORÇAMENTO!$AF$11)),0)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2</v>
      </c>
      <c r="AO20" s="180">
        <f ca="1">IF($D20&lt;&gt;"Serviço",0,IF(AND(AUTOEVENTO="Manual",$M20=1),0,IF(OFFSET(CRONOPLE!$F$14,$M20,AO$13)="",10^12,OFFSET(CRONOPLE!$F$14,$M20,AO$13))))</f>
        <v>1000000000000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1000000000000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26.4" x14ac:dyDescent="0.25">
      <c r="A21" s="7">
        <f ca="1">IF(AUTOEVENTO="Manual",IF(K21&lt;&gt;"",MIN(VALUE(LEFT(K21,FIND(".",K21)-1)),COUNTA(EVENTOS.Lista)),0),IF(OR($B21&gt;AUTOEVENTO,$B21="S",$B21=0),SUBSTITUTE(OFFSET($A21,-1,0),IF($D21="Serviço",".",""),""),ROW(A21)-ROW($A$15)&amp;"."))</f>
        <v>3</v>
      </c>
      <c r="B21" s="7" t="str">
        <f ca="1">OFFSET(ORÇAMENTO!C$15,ROW(B21)-ROW(B$15),0)</f>
        <v>S</v>
      </c>
      <c r="C21" s="7" t="str">
        <f ca="1">OFFSET(ORÇAMENTO!L$15,ROW(C21)-ROW(C$15),0)</f>
        <v>F</v>
      </c>
      <c r="D21" s="117" t="str">
        <f ca="1">OFFSET(ORÇAMENTO!N$15,ROW(D21)-ROW(D$15),0)</f>
        <v>Serviço</v>
      </c>
      <c r="E21" s="118" t="str">
        <f ca="1">OFFSET(ORÇAMENTO!O$15,ROW(E21)-ROW(E$15),0)</f>
        <v>1.2.2.</v>
      </c>
      <c r="F21" s="171" t="str">
        <f ca="1">OFFSET(ORÇAMENTO!R$15,ROW(F21)-ROW(F$15),0)</f>
        <v>REMOÇÃO DE FORROS DE DRYWALL, PVC E FIBROMINERAL, DE FORMA MANUAL, SEM REAPROVEITAMENTO. AF_09/2023</v>
      </c>
      <c r="G21" s="172" t="str">
        <f ca="1">IF($D21&lt;&gt;"Serviço","",OFFSET(ORÇAMENTO!S$15,ROW(G21)-ROW(G$15),0))</f>
        <v>M2</v>
      </c>
      <c r="H21" s="123">
        <f ca="1">IF($D21&lt;&gt;"Serviço",0,IF(ACOMPANHAMENTO="BM",ROUND(OFFSET(ORÇAMENTO!AJ$15,ROW(H21)-ROW(H$15),0),15-13*ORÇAMENTO!$AF$7),SUMPRODUCT(($Q$12:$AA$12&lt;&gt;"")*ROUND($Q21:$AA21,15-13*ORÇAMENTO!$AF$7))))</f>
        <v>187.27</v>
      </c>
      <c r="I21" s="560" t="s">
        <v>475</v>
      </c>
      <c r="K21" s="173" t="s">
        <v>486</v>
      </c>
      <c r="L21" s="174" t="s">
        <v>255</v>
      </c>
      <c r="M21" s="175">
        <f ca="1">IF($D21&lt;&gt;"Serviço","",IF(AUTOEVENTO="manual",$A21,IF(ISERROR(MATCH($A21,$A$15:OFFSET($A21,-1,0),0)),MAX($M$15:OFFSET(M21,-1,0))+1,INDEX($M$15:OFFSET(M21,-1,0),MATCH($A21,$A$15:OFFSET($A21,-1,0),0)))))</f>
        <v>3</v>
      </c>
      <c r="N21" s="176" t="str">
        <f ca="1">IF($D21&lt;&gt;"Serviço","",IF(AUTOEVENTO="Manual",IF($A21=0,"&lt;-- defina o número do agrupador",OFFSET(EVENTOS!$D$14,$A21,0)),OFFSET($F$15,$A21,0)))</f>
        <v>EMBOÇO, FORRO, LOUÇAS E PORTAS</v>
      </c>
      <c r="O21" s="177"/>
      <c r="Q21" s="177" t="s">
        <v>475</v>
      </c>
      <c r="R21" s="178"/>
      <c r="S21" s="178"/>
      <c r="T21" s="178"/>
      <c r="U21" s="178"/>
      <c r="V21" s="178"/>
      <c r="W21" s="178"/>
      <c r="X21" s="178"/>
      <c r="Y21" s="178"/>
      <c r="Z21" s="179"/>
      <c r="AB21" s="543">
        <f ca="1">IF(AND($D21="Serviço",AB$12&lt;&gt;0,$H21&gt;0,OR(AUTOEVENTO&lt;&gt;"manual",$M21&lt;&gt;1)),
IF(Import.TipoArredondamento&lt;&gt;"TransfereGOV",
ROUND(OFFSET($P21,0,AB$13),15-13*ORÇAMENTO!$AF$7)/$H21*OFFSET(ORÇAMENTO!$X$15,ROW(AB21)-ROW(AB$15),0),
ROUND(ROUND(OFFSET($P21,0,AB$13),15-13*ORÇAMENTO!$AF$7)*OFFSET(ORÇAMENTO!$W$15,ROW(AB21)-ROW(AB$15),0),15-13*ORÇAMENTO!$AF$11)),0)</f>
        <v>441.96</v>
      </c>
      <c r="AC21" s="544">
        <f ca="1">IF(AND($D21="Serviço",AC$12&lt;&gt;0,$H21&gt;0,OR(AUTOEVENTO&lt;&gt;"manual",$M21&lt;&gt;1)),
IF(Import.TipoArredondamento&lt;&gt;"TransfereGOV",
ROUND(OFFSET($P21,0,AC$13),15-13*ORÇAMENTO!$AF$7)/$H21*OFFSET(ORÇAMENTO!$X$15,ROW(AC21)-ROW(AC$15),0),
ROUND(ROUND(OFFSET($P21,0,AC$13),15-13*ORÇAMENTO!$AF$7)*OFFSET(ORÇAMENTO!$W$15,ROW(AC21)-ROW(AC$15),0),15-13*ORÇAMENTO!$AF$11)),0)</f>
        <v>0</v>
      </c>
      <c r="AD21" s="544">
        <f ca="1">IF(AND($D21="Serviço",AD$12&lt;&gt;0,$H21&gt;0,OR(AUTOEVENTO&lt;&gt;"manual",$M21&lt;&gt;1)),
IF(Import.TipoArredondamento&lt;&gt;"TransfereGOV",
ROUND(OFFSET($P21,0,AD$13),15-13*ORÇAMENTO!$AF$7)/$H21*OFFSET(ORÇAMENTO!$X$15,ROW(AD21)-ROW(AD$15),0),
ROUND(ROUND(OFFSET($P21,0,AD$13),15-13*ORÇAMENTO!$AF$7)*OFFSET(ORÇAMENTO!$W$15,ROW(AD21)-ROW(AD$15),0),15-13*ORÇAMENTO!$AF$11)),0)</f>
        <v>0</v>
      </c>
      <c r="AE21" s="544">
        <f ca="1">IF(AND($D21="Serviço",AE$12&lt;&gt;0,$H21&gt;0,OR(AUTOEVENTO&lt;&gt;"manual",$M21&lt;&gt;1)),
IF(Import.TipoArredondamento&lt;&gt;"TransfereGOV",
ROUND(OFFSET($P21,0,AE$13),15-13*ORÇAMENTO!$AF$7)/$H21*OFFSET(ORÇAMENTO!$X$15,ROW(AE21)-ROW(AE$15),0),
ROUND(ROUND(OFFSET($P21,0,AE$13),15-13*ORÇAMENTO!$AF$7)*OFFSET(ORÇAMENTO!$W$15,ROW(AE21)-ROW(AE$15),0),15-13*ORÇAMENTO!$AF$11)),0)</f>
        <v>0</v>
      </c>
      <c r="AF21" s="544">
        <f ca="1">IF(AND($D21="Serviço",AF$12&lt;&gt;0,$H21&gt;0,OR(AUTOEVENTO&lt;&gt;"manual",$M21&lt;&gt;1)),
IF(Import.TipoArredondamento&lt;&gt;"TransfereGOV",
ROUND(OFFSET($P21,0,AF$13),15-13*ORÇAMENTO!$AF$7)/$H21*OFFSET(ORÇAMENTO!$X$15,ROW(AF21)-ROW(AF$15),0),
ROUND(ROUND(OFFSET($P21,0,AF$13),15-13*ORÇAMENTO!$AF$7)*OFFSET(ORÇAMENTO!$W$15,ROW(AF21)-ROW(AF$15),0),15-13*ORÇAMENTO!$AF$11)),0)</f>
        <v>0</v>
      </c>
      <c r="AG21" s="544">
        <f ca="1">IF(AND($D21="Serviço",AG$12&lt;&gt;0,$H21&gt;0,OR(AUTOEVENTO&lt;&gt;"manual",$M21&lt;&gt;1)),
IF(Import.TipoArredondamento&lt;&gt;"TransfereGOV",
ROUND(OFFSET($P21,0,AG$13),15-13*ORÇAMENTO!$AF$7)/$H21*OFFSET(ORÇAMENTO!$X$15,ROW(AG21)-ROW(AG$15),0),
ROUND(ROUND(OFFSET($P21,0,AG$13),15-13*ORÇAMENTO!$AF$7)*OFFSET(ORÇAMENTO!$W$15,ROW(AG21)-ROW(AG$15),0),15-13*ORÇAMENTO!$AF$11)),0)</f>
        <v>0</v>
      </c>
      <c r="AH21" s="544">
        <f ca="1">IF(AND($D21="Serviço",AH$12&lt;&gt;0,$H21&gt;0,OR(AUTOEVENTO&lt;&gt;"manual",$M21&lt;&gt;1)),
IF(Import.TipoArredondamento&lt;&gt;"TransfereGOV",
ROUND(OFFSET($P21,0,AH$13),15-13*ORÇAMENTO!$AF$7)/$H21*OFFSET(ORÇAMENTO!$X$15,ROW(AH21)-ROW(AH$15),0),
ROUND(ROUND(OFFSET($P21,0,AH$13),15-13*ORÇAMENTO!$AF$7)*OFFSET(ORÇAMENTO!$W$15,ROW(AH21)-ROW(AH$15),0),15-13*ORÇAMENTO!$AF$11)),0)</f>
        <v>0</v>
      </c>
      <c r="AI21" s="544">
        <f ca="1">IF(AND($D21="Serviço",AI$12&lt;&gt;0,$H21&gt;0,OR(AUTOEVENTO&lt;&gt;"manual",$M21&lt;&gt;1)),
IF(Import.TipoArredondamento&lt;&gt;"TransfereGOV",
ROUND(OFFSET($P21,0,AI$13),15-13*ORÇAMENTO!$AF$7)/$H21*OFFSET(ORÇAMENTO!$X$15,ROW(AI21)-ROW(AI$15),0),
ROUND(ROUND(OFFSET($P21,0,AI$13),15-13*ORÇAMENTO!$AF$7)*OFFSET(ORÇAMENTO!$W$15,ROW(AI21)-ROW(AI$15),0),15-13*ORÇAMENTO!$AF$11)),0)</f>
        <v>0</v>
      </c>
      <c r="AJ21" s="544">
        <f ca="1">IF(AND($D21="Serviço",AJ$12&lt;&gt;0,$H21&gt;0,OR(AUTOEVENTO&lt;&gt;"manual",$M21&lt;&gt;1)),
IF(Import.TipoArredondamento&lt;&gt;"TransfereGOV",
ROUND(OFFSET($P21,0,AJ$13),15-13*ORÇAMENTO!$AF$7)/$H21*OFFSET(ORÇAMENTO!$X$15,ROW(AJ21)-ROW(AJ$15),0),
ROUND(ROUND(OFFSET($P21,0,AJ$13),15-13*ORÇAMENTO!$AF$7)*OFFSET(ORÇAMENTO!$W$15,ROW(AJ21)-ROW(AJ$15),0),15-13*ORÇAMENTO!$AF$11)),0)</f>
        <v>0</v>
      </c>
      <c r="AK21" s="545">
        <f ca="1">IF(AND($D21="Serviço",AK$12&lt;&gt;0,$H21&gt;0,OR(AUTOEVENTO&lt;&gt;"manual",$M21&lt;&gt;1)),
IF(Import.TipoArredondamento&lt;&gt;"TransfereGOV",
ROUND(OFFSET($P21,0,AK$13),15-13*ORÇAMENTO!$AF$7)/$H21*OFFSET(ORÇAMENTO!$X$15,ROW(AK21)-ROW(AK$15),0),
ROUND(ROUND(OFFSET($P21,0,AK$13),15-13*ORÇAMENTO!$AF$7)*OFFSET(ORÇAMENTO!$W$15,ROW(AK21)-ROW(AK$15),0),15-13*ORÇAMENTO!$AF$11)),0)</f>
        <v>0</v>
      </c>
      <c r="AM21" s="180">
        <f ca="1">IF($D21&lt;&gt;"Serviço",0,IF(AND(AUTOEVENTO="Manual",$M21=1),0,IF(OFFSET(CRONOPLE!$F$14,$M21,AM$13)="",10^12,OFFSET(CRONOPLE!$F$14,$M21,AM$13))))</f>
        <v>1</v>
      </c>
      <c r="AN21" s="180">
        <f ca="1">IF($D21&lt;&gt;"Serviço",0,IF(AND(AUTOEVENTO="Manual",$M21=1),0,IF(OFFSET(CRONOPLE!$F$14,$M21,AN$13)="",10^12,OFFSET(CRONOPLE!$F$14,$M21,AN$13))))</f>
        <v>2</v>
      </c>
      <c r="AO21" s="180">
        <f ca="1">IF($D21&lt;&gt;"Serviço",0,IF(AND(AUTOEVENTO="Manual",$M21=1),0,IF(OFFSET(CRONOPLE!$F$14,$M21,AO$13)="",10^12,OFFSET(CRONOPLE!$F$14,$M21,AO$13))))</f>
        <v>1000000000000</v>
      </c>
      <c r="AP21" s="180">
        <f ca="1">IF($D21&lt;&gt;"Serviço",0,IF(AND(AUTOEVENTO="Manual",$M21=1),0,IF(OFFSET(CRONOPLE!$F$14,$M21,AP$13)="",10^12,OFFSET(CRONOPLE!$F$14,$M21,AP$13))))</f>
        <v>1000000000000</v>
      </c>
      <c r="AQ21" s="180">
        <f ca="1">IF($D21&lt;&gt;"Serviço",0,IF(AND(AUTOEVENTO="Manual",$M21=1),0,IF(OFFSET(CRONOPLE!$F$14,$M21,AQ$13)="",10^12,OFFSET(CRONOPLE!$F$14,$M21,AQ$13))))</f>
        <v>1000000000000</v>
      </c>
      <c r="AR21" s="180">
        <f ca="1">IF($D21&lt;&gt;"Serviço",0,IF(AND(AUTOEVENTO="Manual",$M21=1),0,IF(OFFSET(CRONOPLE!$F$14,$M21,AR$13)="",10^12,OFFSET(CRONOPLE!$F$14,$M21,AR$13))))</f>
        <v>1000000000000</v>
      </c>
      <c r="AS21" s="180">
        <f ca="1">IF($D21&lt;&gt;"Serviço",0,IF(AND(AUTOEVENTO="Manual",$M21=1),0,IF(OFFSET(CRONOPLE!$F$14,$M21,AS$13)="",10^12,OFFSET(CRONOPLE!$F$14,$M21,AS$13))))</f>
        <v>1000000000000</v>
      </c>
      <c r="AT21" s="180">
        <f ca="1">IF($D21&lt;&gt;"Serviço",0,IF(AND(AUTOEVENTO="Manual",$M21=1),0,IF(OFFSET(CRONOPLE!$F$14,$M21,AT$13)="",10^12,OFFSET(CRONOPLE!$F$14,$M21,AT$13))))</f>
        <v>1000000000000</v>
      </c>
      <c r="AU21" s="180">
        <f ca="1">IF($D21&lt;&gt;"Serviço",0,IF(AND(AUTOEVENTO="Manual",$M21=1),0,IF(OFFSET(CRONOPLE!$F$14,$M21,AU$13)="",10^12,OFFSET(CRONOPLE!$F$14,$M21,AU$13))))</f>
        <v>1000000000000</v>
      </c>
      <c r="AV21" s="180">
        <f ca="1">IF($D21&lt;&gt;"Serviço",0,IF(AND(AUTOEVENTO="Manual",$M21=1),0,IF(OFFSET(CRONOPLE!$F$14,$M21,AV$13)="",10^12,OFFSET(CRONOPLE!$F$14,$M21,AV$13))))</f>
        <v>1000000000000</v>
      </c>
      <c r="AX21" s="181">
        <f ca="1">IF($D21&lt;&gt;"Serviço",0,IF(OR(AND(AUTOEVENTO="Manual",$M21=1),$M21&gt;(ROW(PLE.lastrow)-ROW(PLE.firstrow))),0,IF(OFFSET(PLE!$G$14,$M21,AX$13)="",10^12,OFFSET(PLE!$G$14,$M21,AX$13))))</f>
        <v>1000000000000</v>
      </c>
      <c r="AY21" s="181">
        <f ca="1">IF($D21&lt;&gt;"Serviço",0,IF(OR(AND(AUTOEVENTO="Manual",$M21=1),$M21&gt;(ROW(PLE.lastrow)-ROW(PLE.firstrow))),0,IF(OFFSET(PLE!$G$14,$M21,AY$13)="",10^12,OFFSET(PLE!$G$14,$M21,AY$13))))</f>
        <v>1000000000000</v>
      </c>
      <c r="AZ21" s="181">
        <f ca="1">IF($D21&lt;&gt;"Serviço",0,IF(OR(AND(AUTOEVENTO="Manual",$M21=1),$M21&gt;(ROW(PLE.lastrow)-ROW(PLE.firstrow))),0,IF(OFFSET(PLE!$G$14,$M21,AZ$13)="",10^12,OFFSET(PLE!$G$14,$M21,AZ$13))))</f>
        <v>1000000000000</v>
      </c>
      <c r="BA21" s="181">
        <f ca="1">IF($D21&lt;&gt;"Serviço",0,IF(OR(AND(AUTOEVENTO="Manual",$M21=1),$M21&gt;(ROW(PLE.lastrow)-ROW(PLE.firstrow))),0,IF(OFFSET(PLE!$G$14,$M21,BA$13)="",10^12,OFFSET(PLE!$G$14,$M21,BA$13))))</f>
        <v>1000000000000</v>
      </c>
      <c r="BB21" s="181">
        <f ca="1">IF($D21&lt;&gt;"Serviço",0,IF(OR(AND(AUTOEVENTO="Manual",$M21=1),$M21&gt;(ROW(PLE.lastrow)-ROW(PLE.firstrow))),0,IF(OFFSET(PLE!$G$14,$M21,BB$13)="",10^12,OFFSET(PLE!$G$14,$M21,BB$13))))</f>
        <v>1000000000000</v>
      </c>
      <c r="BC21" s="181">
        <f ca="1">IF($D21&lt;&gt;"Serviço",0,IF(OR(AND(AUTOEVENTO="Manual",$M21=1),$M21&gt;(ROW(PLE.lastrow)-ROW(PLE.firstrow))),0,IF(OFFSET(PLE!$G$14,$M21,BC$13)="",10^12,OFFSET(PLE!$G$14,$M21,BC$13))))</f>
        <v>1000000000000</v>
      </c>
      <c r="BD21" s="181">
        <f ca="1">IF($D21&lt;&gt;"Serviço",0,IF(OR(AND(AUTOEVENTO="Manual",$M21=1),$M21&gt;(ROW(PLE.lastrow)-ROW(PLE.firstrow))),0,IF(OFFSET(PLE!$G$14,$M21,BD$13)="",10^12,OFFSET(PLE!$G$14,$M21,BD$13))))</f>
        <v>1000000000000</v>
      </c>
      <c r="BE21" s="181">
        <f ca="1">IF($D21&lt;&gt;"Serviço",0,IF(OR(AND(AUTOEVENTO="Manual",$M21=1),$M21&gt;(ROW(PLE.lastrow)-ROW(PLE.firstrow))),0,IF(OFFSET(PLE!$G$14,$M21,BE$13)="",10^12,OFFSET(PLE!$G$14,$M21,BE$13))))</f>
        <v>1000000000000</v>
      </c>
      <c r="BF21" s="181">
        <f ca="1">IF($D21&lt;&gt;"Serviço",0,IF(OR(AND(AUTOEVENTO="Manual",$M21=1),$M21&gt;(ROW(PLE.lastrow)-ROW(PLE.firstrow))),0,IF(OFFSET(PLE!$G$14,$M21,BF$13)="",10^12,OFFSET(PLE!$G$14,$M21,BF$13))))</f>
        <v>1000000000000</v>
      </c>
      <c r="BG21" s="181">
        <f ca="1">IF($D21&lt;&gt;"Serviço",0,IF(OR(AND(AUTOEVENTO="Manual",$M21=1),$M21&gt;(ROW(PLE.lastrow)-ROW(PLE.firstrow))),0,IF(OFFSET(PLE!$G$14,$M21,BG$13)="",10^12,OFFSET(PLE!$G$14,$M21,BG$13))))</f>
        <v>1000000000000</v>
      </c>
    </row>
    <row r="22" spans="1:59" ht="39.6" x14ac:dyDescent="0.25">
      <c r="A22" s="7">
        <f t="shared" ca="1" si="8"/>
        <v>3</v>
      </c>
      <c r="B22" s="7" t="str">
        <f ca="1">OFFSET(ORÇAMENTO!C$15,ROW(B22)-ROW(B$15),0)</f>
        <v>S</v>
      </c>
      <c r="C22" s="7" t="str">
        <f ca="1">OFFSET(ORÇAMENTO!L$15,ROW(C22)-ROW(C$15),0)</f>
        <v>F</v>
      </c>
      <c r="D22" s="117" t="str">
        <f ca="1">OFFSET(ORÇAMENTO!N$15,ROW(D22)-ROW(D$15),0)</f>
        <v>Serviço</v>
      </c>
      <c r="E22" s="118" t="str">
        <f ca="1">OFFSET(ORÇAMENTO!O$15,ROW(E22)-ROW(E$15),0)</f>
        <v>1.2.3.</v>
      </c>
      <c r="F22" s="171" t="str">
        <f ca="1">OFFSET(ORÇAMENTO!R$15,ROW(F22)-ROW(F$15),0)</f>
        <v>PORTA DE MADEIRA PARA PINTURA, SEMI-OCA (LEVE OU MÉDIA), 80X210CM, ESPESSURA DE 3,5CM, INCLUSO DOBRADIÇAS - FORNECIMENTO E INSTALAÇÃO. AF_12/2019</v>
      </c>
      <c r="G22" s="172" t="str">
        <f ca="1">IF($D22&lt;&gt;"Serviço","",OFFSET(ORÇAMENTO!S$15,ROW(G22)-ROW(G$15),0))</f>
        <v>UN</v>
      </c>
      <c r="H22" s="123">
        <f ca="1">IF($D22&lt;&gt;"Serviço",0,IF(ACOMPANHAMENTO="BM",ROUND(OFFSET(ORÇAMENTO!AJ$15,ROW(H22)-ROW(H$15),0),15-13*ORÇAMENTO!$AF$7),SUMPRODUCT(($Q$12:$AA$12&lt;&gt;"")*ROUND($Q22:$AA22,15-13*ORÇAMENTO!$AF$7))))</f>
        <v>22</v>
      </c>
      <c r="I22" s="560" t="s">
        <v>476</v>
      </c>
      <c r="K22" s="173" t="s">
        <v>486</v>
      </c>
      <c r="L22" s="174" t="s">
        <v>255</v>
      </c>
      <c r="M22" s="175">
        <f ca="1">IF($D22&lt;&gt;"Serviço","",IF(AUTOEVENTO="manual",$A22,IF(ISERROR(MATCH($A22,$A$15:OFFSET($A22,-1,0),0)),MAX($M$15:OFFSET(M22,-1,0))+1,INDEX($M$15:OFFSET(M22,-1,0),MATCH($A22,$A$15:OFFSET($A22,-1,0),0)))))</f>
        <v>3</v>
      </c>
      <c r="N22" s="176" t="str">
        <f ca="1">IF($D22&lt;&gt;"Serviço","",IF(AUTOEVENTO="Manual",IF($A22=0,"&lt;-- defina o número do agrupador",OFFSET(EVENTOS!$D$14,$A22,0)),OFFSET($F$15,$A22,0)))</f>
        <v>EMBOÇO, FORRO, LOUÇAS E PORTAS</v>
      </c>
      <c r="O22" s="177"/>
      <c r="Q22" s="177" t="s">
        <v>476</v>
      </c>
      <c r="R22" s="178"/>
      <c r="S22" s="178"/>
      <c r="T22" s="178"/>
      <c r="U22" s="178"/>
      <c r="V22" s="178"/>
      <c r="W22" s="178"/>
      <c r="X22" s="178"/>
      <c r="Y22" s="178"/>
      <c r="Z22" s="179"/>
      <c r="AB22" s="543">
        <f ca="1">IF(AND($D22="Serviço",AB$12&lt;&gt;0,$H22&gt;0,OR(AUTOEVENTO&lt;&gt;"manual",$M22&lt;&gt;1)),
IF(Import.TipoArredondamento&lt;&gt;"TransfereGOV",
ROUND(OFFSET($P22,0,AB$13),15-13*ORÇAMENTO!$AF$7)/$H22*OFFSET(ORÇAMENTO!$X$15,ROW(AB22)-ROW(AB$15),0),
ROUND(ROUND(OFFSET($P22,0,AB$13),15-13*ORÇAMENTO!$AF$7)*OFFSET(ORÇAMENTO!$W$15,ROW(AB22)-ROW(AB$15),0),15-13*ORÇAMENTO!$AF$11)),0)</f>
        <v>10124.4</v>
      </c>
      <c r="AC22" s="544">
        <f ca="1">IF(AND($D22="Serviço",AC$12&lt;&gt;0,$H22&gt;0,OR(AUTOEVENTO&lt;&gt;"manual",$M22&lt;&gt;1)),
IF(Import.TipoArredondamento&lt;&gt;"TransfereGOV",
ROUND(OFFSET($P22,0,AC$13),15-13*ORÇAMENTO!$AF$7)/$H22*OFFSET(ORÇAMENTO!$X$15,ROW(AC22)-ROW(AC$15),0),
ROUND(ROUND(OFFSET($P22,0,AC$13),15-13*ORÇAMENTO!$AF$7)*OFFSET(ORÇAMENTO!$W$15,ROW(AC22)-ROW(AC$15),0),15-13*ORÇAMENTO!$AF$11)),0)</f>
        <v>0</v>
      </c>
      <c r="AD22" s="544">
        <f ca="1">IF(AND($D22="Serviço",AD$12&lt;&gt;0,$H22&gt;0,OR(AUTOEVENTO&lt;&gt;"manual",$M22&lt;&gt;1)),
IF(Import.TipoArredondamento&lt;&gt;"TransfereGOV",
ROUND(OFFSET($P22,0,AD$13),15-13*ORÇAMENTO!$AF$7)/$H22*OFFSET(ORÇAMENTO!$X$15,ROW(AD22)-ROW(AD$15),0),
ROUND(ROUND(OFFSET($P22,0,AD$13),15-13*ORÇAMENTO!$AF$7)*OFFSET(ORÇAMENTO!$W$15,ROW(AD22)-ROW(AD$15),0),15-13*ORÇAMENTO!$AF$11)),0)</f>
        <v>0</v>
      </c>
      <c r="AE22" s="544">
        <f ca="1">IF(AND($D22="Serviço",AE$12&lt;&gt;0,$H22&gt;0,OR(AUTOEVENTO&lt;&gt;"manual",$M22&lt;&gt;1)),
IF(Import.TipoArredondamento&lt;&gt;"TransfereGOV",
ROUND(OFFSET($P22,0,AE$13),15-13*ORÇAMENTO!$AF$7)/$H22*OFFSET(ORÇAMENTO!$X$15,ROW(AE22)-ROW(AE$15),0),
ROUND(ROUND(OFFSET($P22,0,AE$13),15-13*ORÇAMENTO!$AF$7)*OFFSET(ORÇAMENTO!$W$15,ROW(AE22)-ROW(AE$15),0),15-13*ORÇAMENTO!$AF$11)),0)</f>
        <v>0</v>
      </c>
      <c r="AF22" s="544">
        <f ca="1">IF(AND($D22="Serviço",AF$12&lt;&gt;0,$H22&gt;0,OR(AUTOEVENTO&lt;&gt;"manual",$M22&lt;&gt;1)),
IF(Import.TipoArredondamento&lt;&gt;"TransfereGOV",
ROUND(OFFSET($P22,0,AF$13),15-13*ORÇAMENTO!$AF$7)/$H22*OFFSET(ORÇAMENTO!$X$15,ROW(AF22)-ROW(AF$15),0),
ROUND(ROUND(OFFSET($P22,0,AF$13),15-13*ORÇAMENTO!$AF$7)*OFFSET(ORÇAMENTO!$W$15,ROW(AF22)-ROW(AF$15),0),15-13*ORÇAMENTO!$AF$11)),0)</f>
        <v>0</v>
      </c>
      <c r="AG22" s="544">
        <f ca="1">IF(AND($D22="Serviço",AG$12&lt;&gt;0,$H22&gt;0,OR(AUTOEVENTO&lt;&gt;"manual",$M22&lt;&gt;1)),
IF(Import.TipoArredondamento&lt;&gt;"TransfereGOV",
ROUND(OFFSET($P22,0,AG$13),15-13*ORÇAMENTO!$AF$7)/$H22*OFFSET(ORÇAMENTO!$X$15,ROW(AG22)-ROW(AG$15),0),
ROUND(ROUND(OFFSET($P22,0,AG$13),15-13*ORÇAMENTO!$AF$7)*OFFSET(ORÇAMENTO!$W$15,ROW(AG22)-ROW(AG$15),0),15-13*ORÇAMENTO!$AF$11)),0)</f>
        <v>0</v>
      </c>
      <c r="AH22" s="544">
        <f ca="1">IF(AND($D22="Serviço",AH$12&lt;&gt;0,$H22&gt;0,OR(AUTOEVENTO&lt;&gt;"manual",$M22&lt;&gt;1)),
IF(Import.TipoArredondamento&lt;&gt;"TransfereGOV",
ROUND(OFFSET($P22,0,AH$13),15-13*ORÇAMENTO!$AF$7)/$H22*OFFSET(ORÇAMENTO!$X$15,ROW(AH22)-ROW(AH$15),0),
ROUND(ROUND(OFFSET($P22,0,AH$13),15-13*ORÇAMENTO!$AF$7)*OFFSET(ORÇAMENTO!$W$15,ROW(AH22)-ROW(AH$15),0),15-13*ORÇAMENTO!$AF$11)),0)</f>
        <v>0</v>
      </c>
      <c r="AI22" s="544">
        <f ca="1">IF(AND($D22="Serviço",AI$12&lt;&gt;0,$H22&gt;0,OR(AUTOEVENTO&lt;&gt;"manual",$M22&lt;&gt;1)),
IF(Import.TipoArredondamento&lt;&gt;"TransfereGOV",
ROUND(OFFSET($P22,0,AI$13),15-13*ORÇAMENTO!$AF$7)/$H22*OFFSET(ORÇAMENTO!$X$15,ROW(AI22)-ROW(AI$15),0),
ROUND(ROUND(OFFSET($P22,0,AI$13),15-13*ORÇAMENTO!$AF$7)*OFFSET(ORÇAMENTO!$W$15,ROW(AI22)-ROW(AI$15),0),15-13*ORÇAMENTO!$AF$11)),0)</f>
        <v>0</v>
      </c>
      <c r="AJ22" s="544">
        <f ca="1">IF(AND($D22="Serviço",AJ$12&lt;&gt;0,$H22&gt;0,OR(AUTOEVENTO&lt;&gt;"manual",$M22&lt;&gt;1)),
IF(Import.TipoArredondamento&lt;&gt;"TransfereGOV",
ROUND(OFFSET($P22,0,AJ$13),15-13*ORÇAMENTO!$AF$7)/$H22*OFFSET(ORÇAMENTO!$X$15,ROW(AJ22)-ROW(AJ$15),0),
ROUND(ROUND(OFFSET($P22,0,AJ$13),15-13*ORÇAMENTO!$AF$7)*OFFSET(ORÇAMENTO!$W$15,ROW(AJ22)-ROW(AJ$15),0),15-13*ORÇAMENTO!$AF$11)),0)</f>
        <v>0</v>
      </c>
      <c r="AK22" s="545">
        <f ca="1">IF(AND($D22="Serviço",AK$12&lt;&gt;0,$H22&gt;0,OR(AUTOEVENTO&lt;&gt;"manual",$M22&lt;&gt;1)),
IF(Import.TipoArredondamento&lt;&gt;"TransfereGOV",
ROUND(OFFSET($P22,0,AK$13),15-13*ORÇAMENTO!$AF$7)/$H22*OFFSET(ORÇAMENTO!$X$15,ROW(AK22)-ROW(AK$15),0),
ROUND(ROUND(OFFSET($P22,0,AK$13),15-13*ORÇAMENTO!$AF$7)*OFFSET(ORÇAMENTO!$W$15,ROW(AK22)-ROW(AK$15),0),15-13*ORÇAMENTO!$AF$11)),0)</f>
        <v>0</v>
      </c>
      <c r="AM22" s="180">
        <f ca="1">IF($D22&lt;&gt;"Serviço",0,IF(AND(AUTOEVENTO="Manual",$M22=1),0,IF(OFFSET(CRONOPLE!$F$14,$M22,AM$13)="",10^12,OFFSET(CRONOPLE!$F$14,$M22,AM$13))))</f>
        <v>1</v>
      </c>
      <c r="AN22" s="180">
        <f ca="1">IF($D22&lt;&gt;"Serviço",0,IF(AND(AUTOEVENTO="Manual",$M22=1),0,IF(OFFSET(CRONOPLE!$F$14,$M22,AN$13)="",10^12,OFFSET(CRONOPLE!$F$14,$M22,AN$13))))</f>
        <v>2</v>
      </c>
      <c r="AO22" s="180">
        <f ca="1">IF($D22&lt;&gt;"Serviço",0,IF(AND(AUTOEVENTO="Manual",$M22=1),0,IF(OFFSET(CRONOPLE!$F$14,$M22,AO$13)="",10^12,OFFSET(CRONOPLE!$F$14,$M22,AO$13))))</f>
        <v>1000000000000</v>
      </c>
      <c r="AP22" s="180">
        <f ca="1">IF($D22&lt;&gt;"Serviço",0,IF(AND(AUTOEVENTO="Manual",$M22=1),0,IF(OFFSET(CRONOPLE!$F$14,$M22,AP$13)="",10^12,OFFSET(CRONOPLE!$F$14,$M22,AP$13))))</f>
        <v>1000000000000</v>
      </c>
      <c r="AQ22" s="180">
        <f ca="1">IF($D22&lt;&gt;"Serviço",0,IF(AND(AUTOEVENTO="Manual",$M22=1),0,IF(OFFSET(CRONOPLE!$F$14,$M22,AQ$13)="",10^12,OFFSET(CRONOPLE!$F$14,$M22,AQ$13))))</f>
        <v>1000000000000</v>
      </c>
      <c r="AR22" s="180">
        <f ca="1">IF($D22&lt;&gt;"Serviço",0,IF(AND(AUTOEVENTO="Manual",$M22=1),0,IF(OFFSET(CRONOPLE!$F$14,$M22,AR$13)="",10^12,OFFSET(CRONOPLE!$F$14,$M22,AR$13))))</f>
        <v>1000000000000</v>
      </c>
      <c r="AS22" s="180">
        <f ca="1">IF($D22&lt;&gt;"Serviço",0,IF(AND(AUTOEVENTO="Manual",$M22=1),0,IF(OFFSET(CRONOPLE!$F$14,$M22,AS$13)="",10^12,OFFSET(CRONOPLE!$F$14,$M22,AS$13))))</f>
        <v>1000000000000</v>
      </c>
      <c r="AT22" s="180">
        <f ca="1">IF($D22&lt;&gt;"Serviço",0,IF(AND(AUTOEVENTO="Manual",$M22=1),0,IF(OFFSET(CRONOPLE!$F$14,$M22,AT$13)="",10^12,OFFSET(CRONOPLE!$F$14,$M22,AT$13))))</f>
        <v>1000000000000</v>
      </c>
      <c r="AU22" s="180">
        <f ca="1">IF($D22&lt;&gt;"Serviço",0,IF(AND(AUTOEVENTO="Manual",$M22=1),0,IF(OFFSET(CRONOPLE!$F$14,$M22,AU$13)="",10^12,OFFSET(CRONOPLE!$F$14,$M22,AU$13))))</f>
        <v>1000000000000</v>
      </c>
      <c r="AV22" s="180">
        <f ca="1">IF($D22&lt;&gt;"Serviço",0,IF(AND(AUTOEVENTO="Manual",$M22=1),0,IF(OFFSET(CRONOPLE!$F$14,$M22,AV$13)="",10^12,OFFSET(CRONOPLE!$F$14,$M22,AV$13))))</f>
        <v>1000000000000</v>
      </c>
      <c r="AX22" s="181">
        <f ca="1">IF($D22&lt;&gt;"Serviço",0,IF(OR(AND(AUTOEVENTO="Manual",$M22=1),$M22&gt;(ROW(PLE.lastrow)-ROW(PLE.firstrow))),0,IF(OFFSET(PLE!$G$14,$M22,AX$13)="",10^12,OFFSET(PLE!$G$14,$M22,AX$13))))</f>
        <v>1000000000000</v>
      </c>
      <c r="AY22" s="181">
        <f ca="1">IF($D22&lt;&gt;"Serviço",0,IF(OR(AND(AUTOEVENTO="Manual",$M22=1),$M22&gt;(ROW(PLE.lastrow)-ROW(PLE.firstrow))),0,IF(OFFSET(PLE!$G$14,$M22,AY$13)="",10^12,OFFSET(PLE!$G$14,$M22,AY$13))))</f>
        <v>1000000000000</v>
      </c>
      <c r="AZ22" s="181">
        <f ca="1">IF($D22&lt;&gt;"Serviço",0,IF(OR(AND(AUTOEVENTO="Manual",$M22=1),$M22&gt;(ROW(PLE.lastrow)-ROW(PLE.firstrow))),0,IF(OFFSET(PLE!$G$14,$M22,AZ$13)="",10^12,OFFSET(PLE!$G$14,$M22,AZ$13))))</f>
        <v>1000000000000</v>
      </c>
      <c r="BA22" s="181">
        <f ca="1">IF($D22&lt;&gt;"Serviço",0,IF(OR(AND(AUTOEVENTO="Manual",$M22=1),$M22&gt;(ROW(PLE.lastrow)-ROW(PLE.firstrow))),0,IF(OFFSET(PLE!$G$14,$M22,BA$13)="",10^12,OFFSET(PLE!$G$14,$M22,BA$13))))</f>
        <v>1000000000000</v>
      </c>
      <c r="BB22" s="181">
        <f ca="1">IF($D22&lt;&gt;"Serviço",0,IF(OR(AND(AUTOEVENTO="Manual",$M22=1),$M22&gt;(ROW(PLE.lastrow)-ROW(PLE.firstrow))),0,IF(OFFSET(PLE!$G$14,$M22,BB$13)="",10^12,OFFSET(PLE!$G$14,$M22,BB$13))))</f>
        <v>1000000000000</v>
      </c>
      <c r="BC22" s="181">
        <f ca="1">IF($D22&lt;&gt;"Serviço",0,IF(OR(AND(AUTOEVENTO="Manual",$M22=1),$M22&gt;(ROW(PLE.lastrow)-ROW(PLE.firstrow))),0,IF(OFFSET(PLE!$G$14,$M22,BC$13)="",10^12,OFFSET(PLE!$G$14,$M22,BC$13))))</f>
        <v>1000000000000</v>
      </c>
      <c r="BD22" s="181">
        <f ca="1">IF($D22&lt;&gt;"Serviço",0,IF(OR(AND(AUTOEVENTO="Manual",$M22=1),$M22&gt;(ROW(PLE.lastrow)-ROW(PLE.firstrow))),0,IF(OFFSET(PLE!$G$14,$M22,BD$13)="",10^12,OFFSET(PLE!$G$14,$M22,BD$13))))</f>
        <v>1000000000000</v>
      </c>
      <c r="BE22" s="181">
        <f ca="1">IF($D22&lt;&gt;"Serviço",0,IF(OR(AND(AUTOEVENTO="Manual",$M22=1),$M22&gt;(ROW(PLE.lastrow)-ROW(PLE.firstrow))),0,IF(OFFSET(PLE!$G$14,$M22,BE$13)="",10^12,OFFSET(PLE!$G$14,$M22,BE$13))))</f>
        <v>1000000000000</v>
      </c>
      <c r="BF22" s="181">
        <f ca="1">IF($D22&lt;&gt;"Serviço",0,IF(OR(AND(AUTOEVENTO="Manual",$M22=1),$M22&gt;(ROW(PLE.lastrow)-ROW(PLE.firstrow))),0,IF(OFFSET(PLE!$G$14,$M22,BF$13)="",10^12,OFFSET(PLE!$G$14,$M22,BF$13))))</f>
        <v>1000000000000</v>
      </c>
      <c r="BG22" s="181">
        <f ca="1">IF($D22&lt;&gt;"Serviço",0,IF(OR(AND(AUTOEVENTO="Manual",$M22=1),$M22&gt;(ROW(PLE.lastrow)-ROW(PLE.firstrow))),0,IF(OFFSET(PLE!$G$14,$M22,BG$13)="",10^12,OFFSET(PLE!$G$14,$M22,BG$13))))</f>
        <v>1000000000000</v>
      </c>
    </row>
    <row r="23" spans="1:59" ht="26.4" x14ac:dyDescent="0.25">
      <c r="A23" s="7">
        <f t="shared" ca="1" si="8"/>
        <v>3</v>
      </c>
      <c r="B23" s="7" t="str">
        <f ca="1">OFFSET(ORÇAMENTO!C$15,ROW(B23)-ROW(B$15),0)</f>
        <v>S</v>
      </c>
      <c r="C23" s="7" t="str">
        <f ca="1">OFFSET(ORÇAMENTO!L$15,ROW(C23)-ROW(C$15),0)</f>
        <v>F</v>
      </c>
      <c r="D23" s="117" t="str">
        <f ca="1">OFFSET(ORÇAMENTO!N$15,ROW(D23)-ROW(D$15),0)</f>
        <v>Serviço</v>
      </c>
      <c r="E23" s="118" t="str">
        <f ca="1">OFFSET(ORÇAMENTO!O$15,ROW(E23)-ROW(E$15),0)</f>
        <v>1.2.4.</v>
      </c>
      <c r="F23" s="171" t="str">
        <f ca="1">OFFSET(ORÇAMENTO!R$15,ROW(F23)-ROW(F$15),0)</f>
        <v>PINTURA VERNIZ (INCOLOR) ALQUÍDICO EM MADEIRA, USO INTERNO E EXTERNO, 1 DEMÃO. AF_01/2021</v>
      </c>
      <c r="G23" s="172" t="str">
        <f ca="1">IF($D23&lt;&gt;"Serviço","",OFFSET(ORÇAMENTO!S$15,ROW(G23)-ROW(G$15),0))</f>
        <v>M2</v>
      </c>
      <c r="H23" s="123">
        <f ca="1">IF($D23&lt;&gt;"Serviço",0,IF(ACOMPANHAMENTO="BM",ROUND(OFFSET(ORÇAMENTO!AJ$15,ROW(H23)-ROW(H$15),0),15-13*ORÇAMENTO!$AF$7),SUMPRODUCT(($Q$12:$AA$12&lt;&gt;"")*ROUND($Q23:$AA23,15-13*ORÇAMENTO!$AF$7))))</f>
        <v>36.96</v>
      </c>
      <c r="I23" s="560" t="s">
        <v>477</v>
      </c>
      <c r="K23" s="173" t="s">
        <v>486</v>
      </c>
      <c r="L23" s="174" t="s">
        <v>255</v>
      </c>
      <c r="M23" s="175">
        <f ca="1">IF($D23&lt;&gt;"Serviço","",IF(AUTOEVENTO="manual",$A23,IF(ISERROR(MATCH($A23,$A$15:OFFSET($A23,-1,0),0)),MAX($M$15:OFFSET(M23,-1,0))+1,INDEX($M$15:OFFSET(M23,-1,0),MATCH($A23,$A$15:OFFSET($A23,-1,0),0)))))</f>
        <v>3</v>
      </c>
      <c r="N23" s="176" t="str">
        <f ca="1">IF($D23&lt;&gt;"Serviço","",IF(AUTOEVENTO="Manual",IF($A23=0,"&lt;-- defina o número do agrupador",OFFSET(EVENTOS!$D$14,$A23,0)),OFFSET($F$15,$A23,0)))</f>
        <v>EMBOÇO, FORRO, LOUÇAS E PORTAS</v>
      </c>
      <c r="O23" s="177"/>
      <c r="Q23" s="177" t="s">
        <v>477</v>
      </c>
      <c r="R23" s="178"/>
      <c r="S23" s="178"/>
      <c r="T23" s="178"/>
      <c r="U23" s="178"/>
      <c r="V23" s="178"/>
      <c r="W23" s="178"/>
      <c r="X23" s="178"/>
      <c r="Y23" s="178"/>
      <c r="Z23" s="179"/>
      <c r="AB23" s="543">
        <f ca="1">IF(AND($D23="Serviço",AB$12&lt;&gt;0,$H23&gt;0,OR(AUTOEVENTO&lt;&gt;"manual",$M23&lt;&gt;1)),
IF(Import.TipoArredondamento&lt;&gt;"TransfereGOV",
ROUND(OFFSET($P23,0,AB$13),15-13*ORÇAMENTO!$AF$7)/$H23*OFFSET(ORÇAMENTO!$X$15,ROW(AB23)-ROW(AB$15),0),
ROUND(ROUND(OFFSET($P23,0,AB$13),15-13*ORÇAMENTO!$AF$7)*OFFSET(ORÇAMENTO!$W$15,ROW(AB23)-ROW(AB$15),0),15-13*ORÇAMENTO!$AF$11)),0)</f>
        <v>486.02</v>
      </c>
      <c r="AC23" s="544">
        <f ca="1">IF(AND($D23="Serviço",AC$12&lt;&gt;0,$H23&gt;0,OR(AUTOEVENTO&lt;&gt;"manual",$M23&lt;&gt;1)),
IF(Import.TipoArredondamento&lt;&gt;"TransfereGOV",
ROUND(OFFSET($P23,0,AC$13),15-13*ORÇAMENTO!$AF$7)/$H23*OFFSET(ORÇAMENTO!$X$15,ROW(AC23)-ROW(AC$15),0),
ROUND(ROUND(OFFSET($P23,0,AC$13),15-13*ORÇAMENTO!$AF$7)*OFFSET(ORÇAMENTO!$W$15,ROW(AC23)-ROW(AC$15),0),15-13*ORÇAMENTO!$AF$11)),0)</f>
        <v>0</v>
      </c>
      <c r="AD23" s="544">
        <f ca="1">IF(AND($D23="Serviço",AD$12&lt;&gt;0,$H23&gt;0,OR(AUTOEVENTO&lt;&gt;"manual",$M23&lt;&gt;1)),
IF(Import.TipoArredondamento&lt;&gt;"TransfereGOV",
ROUND(OFFSET($P23,0,AD$13),15-13*ORÇAMENTO!$AF$7)/$H23*OFFSET(ORÇAMENTO!$X$15,ROW(AD23)-ROW(AD$15),0),
ROUND(ROUND(OFFSET($P23,0,AD$13),15-13*ORÇAMENTO!$AF$7)*OFFSET(ORÇAMENTO!$W$15,ROW(AD23)-ROW(AD$15),0),15-13*ORÇAMENTO!$AF$11)),0)</f>
        <v>0</v>
      </c>
      <c r="AE23" s="544">
        <f ca="1">IF(AND($D23="Serviço",AE$12&lt;&gt;0,$H23&gt;0,OR(AUTOEVENTO&lt;&gt;"manual",$M23&lt;&gt;1)),
IF(Import.TipoArredondamento&lt;&gt;"TransfereGOV",
ROUND(OFFSET($P23,0,AE$13),15-13*ORÇAMENTO!$AF$7)/$H23*OFFSET(ORÇAMENTO!$X$15,ROW(AE23)-ROW(AE$15),0),
ROUND(ROUND(OFFSET($P23,0,AE$13),15-13*ORÇAMENTO!$AF$7)*OFFSET(ORÇAMENTO!$W$15,ROW(AE23)-ROW(AE$15),0),15-13*ORÇAMENTO!$AF$11)),0)</f>
        <v>0</v>
      </c>
      <c r="AF23" s="544">
        <f ca="1">IF(AND($D23="Serviço",AF$12&lt;&gt;0,$H23&gt;0,OR(AUTOEVENTO&lt;&gt;"manual",$M23&lt;&gt;1)),
IF(Import.TipoArredondamento&lt;&gt;"TransfereGOV",
ROUND(OFFSET($P23,0,AF$13),15-13*ORÇAMENTO!$AF$7)/$H23*OFFSET(ORÇAMENTO!$X$15,ROW(AF23)-ROW(AF$15),0),
ROUND(ROUND(OFFSET($P23,0,AF$13),15-13*ORÇAMENTO!$AF$7)*OFFSET(ORÇAMENTO!$W$15,ROW(AF23)-ROW(AF$15),0),15-13*ORÇAMENTO!$AF$11)),0)</f>
        <v>0</v>
      </c>
      <c r="AG23" s="544">
        <f ca="1">IF(AND($D23="Serviço",AG$12&lt;&gt;0,$H23&gt;0,OR(AUTOEVENTO&lt;&gt;"manual",$M23&lt;&gt;1)),
IF(Import.TipoArredondamento&lt;&gt;"TransfereGOV",
ROUND(OFFSET($P23,0,AG$13),15-13*ORÇAMENTO!$AF$7)/$H23*OFFSET(ORÇAMENTO!$X$15,ROW(AG23)-ROW(AG$15),0),
ROUND(ROUND(OFFSET($P23,0,AG$13),15-13*ORÇAMENTO!$AF$7)*OFFSET(ORÇAMENTO!$W$15,ROW(AG23)-ROW(AG$15),0),15-13*ORÇAMENTO!$AF$11)),0)</f>
        <v>0</v>
      </c>
      <c r="AH23" s="544">
        <f ca="1">IF(AND($D23="Serviço",AH$12&lt;&gt;0,$H23&gt;0,OR(AUTOEVENTO&lt;&gt;"manual",$M23&lt;&gt;1)),
IF(Import.TipoArredondamento&lt;&gt;"TransfereGOV",
ROUND(OFFSET($P23,0,AH$13),15-13*ORÇAMENTO!$AF$7)/$H23*OFFSET(ORÇAMENTO!$X$15,ROW(AH23)-ROW(AH$15),0),
ROUND(ROUND(OFFSET($P23,0,AH$13),15-13*ORÇAMENTO!$AF$7)*OFFSET(ORÇAMENTO!$W$15,ROW(AH23)-ROW(AH$15),0),15-13*ORÇAMENTO!$AF$11)),0)</f>
        <v>0</v>
      </c>
      <c r="AI23" s="544">
        <f ca="1">IF(AND($D23="Serviço",AI$12&lt;&gt;0,$H23&gt;0,OR(AUTOEVENTO&lt;&gt;"manual",$M23&lt;&gt;1)),
IF(Import.TipoArredondamento&lt;&gt;"TransfereGOV",
ROUND(OFFSET($P23,0,AI$13),15-13*ORÇAMENTO!$AF$7)/$H23*OFFSET(ORÇAMENTO!$X$15,ROW(AI23)-ROW(AI$15),0),
ROUND(ROUND(OFFSET($P23,0,AI$13),15-13*ORÇAMENTO!$AF$7)*OFFSET(ORÇAMENTO!$W$15,ROW(AI23)-ROW(AI$15),0),15-13*ORÇAMENTO!$AF$11)),0)</f>
        <v>0</v>
      </c>
      <c r="AJ23" s="544">
        <f ca="1">IF(AND($D23="Serviço",AJ$12&lt;&gt;0,$H23&gt;0,OR(AUTOEVENTO&lt;&gt;"manual",$M23&lt;&gt;1)),
IF(Import.TipoArredondamento&lt;&gt;"TransfereGOV",
ROUND(OFFSET($P23,0,AJ$13),15-13*ORÇAMENTO!$AF$7)/$H23*OFFSET(ORÇAMENTO!$X$15,ROW(AJ23)-ROW(AJ$15),0),
ROUND(ROUND(OFFSET($P23,0,AJ$13),15-13*ORÇAMENTO!$AF$7)*OFFSET(ORÇAMENTO!$W$15,ROW(AJ23)-ROW(AJ$15),0),15-13*ORÇAMENTO!$AF$11)),0)</f>
        <v>0</v>
      </c>
      <c r="AK23" s="545">
        <f ca="1">IF(AND($D23="Serviço",AK$12&lt;&gt;0,$H23&gt;0,OR(AUTOEVENTO&lt;&gt;"manual",$M23&lt;&gt;1)),
IF(Import.TipoArredondamento&lt;&gt;"TransfereGOV",
ROUND(OFFSET($P23,0,AK$13),15-13*ORÇAMENTO!$AF$7)/$H23*OFFSET(ORÇAMENTO!$X$15,ROW(AK23)-ROW(AK$15),0),
ROUND(ROUND(OFFSET($P23,0,AK$13),15-13*ORÇAMENTO!$AF$7)*OFFSET(ORÇAMENTO!$W$15,ROW(AK23)-ROW(AK$15),0),15-13*ORÇAMENTO!$AF$11)),0)</f>
        <v>0</v>
      </c>
      <c r="AM23" s="180">
        <f ca="1">IF($D23&lt;&gt;"Serviço",0,IF(AND(AUTOEVENTO="Manual",$M23=1),0,IF(OFFSET(CRONOPLE!$F$14,$M23,AM$13)="",10^12,OFFSET(CRONOPLE!$F$14,$M23,AM$13))))</f>
        <v>1</v>
      </c>
      <c r="AN23" s="180">
        <f ca="1">IF($D23&lt;&gt;"Serviço",0,IF(AND(AUTOEVENTO="Manual",$M23=1),0,IF(OFFSET(CRONOPLE!$F$14,$M23,AN$13)="",10^12,OFFSET(CRONOPLE!$F$14,$M23,AN$13))))</f>
        <v>2</v>
      </c>
      <c r="AO23" s="180">
        <f ca="1">IF($D23&lt;&gt;"Serviço",0,IF(AND(AUTOEVENTO="Manual",$M23=1),0,IF(OFFSET(CRONOPLE!$F$14,$M23,AO$13)="",10^12,OFFSET(CRONOPLE!$F$14,$M23,AO$13))))</f>
        <v>1000000000000</v>
      </c>
      <c r="AP23" s="180">
        <f ca="1">IF($D23&lt;&gt;"Serviço",0,IF(AND(AUTOEVENTO="Manual",$M23=1),0,IF(OFFSET(CRONOPLE!$F$14,$M23,AP$13)="",10^12,OFFSET(CRONOPLE!$F$14,$M23,AP$13))))</f>
        <v>1000000000000</v>
      </c>
      <c r="AQ23" s="180">
        <f ca="1">IF($D23&lt;&gt;"Serviço",0,IF(AND(AUTOEVENTO="Manual",$M23=1),0,IF(OFFSET(CRONOPLE!$F$14,$M23,AQ$13)="",10^12,OFFSET(CRONOPLE!$F$14,$M23,AQ$13))))</f>
        <v>1000000000000</v>
      </c>
      <c r="AR23" s="180">
        <f ca="1">IF($D23&lt;&gt;"Serviço",0,IF(AND(AUTOEVENTO="Manual",$M23=1),0,IF(OFFSET(CRONOPLE!$F$14,$M23,AR$13)="",10^12,OFFSET(CRONOPLE!$F$14,$M23,AR$13))))</f>
        <v>1000000000000</v>
      </c>
      <c r="AS23" s="180">
        <f ca="1">IF($D23&lt;&gt;"Serviço",0,IF(AND(AUTOEVENTO="Manual",$M23=1),0,IF(OFFSET(CRONOPLE!$F$14,$M23,AS$13)="",10^12,OFFSET(CRONOPLE!$F$14,$M23,AS$13))))</f>
        <v>1000000000000</v>
      </c>
      <c r="AT23" s="180">
        <f ca="1">IF($D23&lt;&gt;"Serviço",0,IF(AND(AUTOEVENTO="Manual",$M23=1),0,IF(OFFSET(CRONOPLE!$F$14,$M23,AT$13)="",10^12,OFFSET(CRONOPLE!$F$14,$M23,AT$13))))</f>
        <v>1000000000000</v>
      </c>
      <c r="AU23" s="180">
        <f ca="1">IF($D23&lt;&gt;"Serviço",0,IF(AND(AUTOEVENTO="Manual",$M23=1),0,IF(OFFSET(CRONOPLE!$F$14,$M23,AU$13)="",10^12,OFFSET(CRONOPLE!$F$14,$M23,AU$13))))</f>
        <v>1000000000000</v>
      </c>
      <c r="AV23" s="180">
        <f ca="1">IF($D23&lt;&gt;"Serviço",0,IF(AND(AUTOEVENTO="Manual",$M23=1),0,IF(OFFSET(CRONOPLE!$F$14,$M23,AV$13)="",10^12,OFFSET(CRONOPLE!$F$14,$M23,AV$13))))</f>
        <v>1000000000000</v>
      </c>
      <c r="AX23" s="181">
        <f ca="1">IF($D23&lt;&gt;"Serviço",0,IF(OR(AND(AUTOEVENTO="Manual",$M23=1),$M23&gt;(ROW(PLE.lastrow)-ROW(PLE.firstrow))),0,IF(OFFSET(PLE!$G$14,$M23,AX$13)="",10^12,OFFSET(PLE!$G$14,$M23,AX$13))))</f>
        <v>1000000000000</v>
      </c>
      <c r="AY23" s="181">
        <f ca="1">IF($D23&lt;&gt;"Serviço",0,IF(OR(AND(AUTOEVENTO="Manual",$M23=1),$M23&gt;(ROW(PLE.lastrow)-ROW(PLE.firstrow))),0,IF(OFFSET(PLE!$G$14,$M23,AY$13)="",10^12,OFFSET(PLE!$G$14,$M23,AY$13))))</f>
        <v>1000000000000</v>
      </c>
      <c r="AZ23" s="181">
        <f ca="1">IF($D23&lt;&gt;"Serviço",0,IF(OR(AND(AUTOEVENTO="Manual",$M23=1),$M23&gt;(ROW(PLE.lastrow)-ROW(PLE.firstrow))),0,IF(OFFSET(PLE!$G$14,$M23,AZ$13)="",10^12,OFFSET(PLE!$G$14,$M23,AZ$13))))</f>
        <v>1000000000000</v>
      </c>
      <c r="BA23" s="181">
        <f ca="1">IF($D23&lt;&gt;"Serviço",0,IF(OR(AND(AUTOEVENTO="Manual",$M23=1),$M23&gt;(ROW(PLE.lastrow)-ROW(PLE.firstrow))),0,IF(OFFSET(PLE!$G$14,$M23,BA$13)="",10^12,OFFSET(PLE!$G$14,$M23,BA$13))))</f>
        <v>1000000000000</v>
      </c>
      <c r="BB23" s="181">
        <f ca="1">IF($D23&lt;&gt;"Serviço",0,IF(OR(AND(AUTOEVENTO="Manual",$M23=1),$M23&gt;(ROW(PLE.lastrow)-ROW(PLE.firstrow))),0,IF(OFFSET(PLE!$G$14,$M23,BB$13)="",10^12,OFFSET(PLE!$G$14,$M23,BB$13))))</f>
        <v>1000000000000</v>
      </c>
      <c r="BC23" s="181">
        <f ca="1">IF($D23&lt;&gt;"Serviço",0,IF(OR(AND(AUTOEVENTO="Manual",$M23=1),$M23&gt;(ROW(PLE.lastrow)-ROW(PLE.firstrow))),0,IF(OFFSET(PLE!$G$14,$M23,BC$13)="",10^12,OFFSET(PLE!$G$14,$M23,BC$13))))</f>
        <v>1000000000000</v>
      </c>
      <c r="BD23" s="181">
        <f ca="1">IF($D23&lt;&gt;"Serviço",0,IF(OR(AND(AUTOEVENTO="Manual",$M23=1),$M23&gt;(ROW(PLE.lastrow)-ROW(PLE.firstrow))),0,IF(OFFSET(PLE!$G$14,$M23,BD$13)="",10^12,OFFSET(PLE!$G$14,$M23,BD$13))))</f>
        <v>1000000000000</v>
      </c>
      <c r="BE23" s="181">
        <f ca="1">IF($D23&lt;&gt;"Serviço",0,IF(OR(AND(AUTOEVENTO="Manual",$M23=1),$M23&gt;(ROW(PLE.lastrow)-ROW(PLE.firstrow))),0,IF(OFFSET(PLE!$G$14,$M23,BE$13)="",10^12,OFFSET(PLE!$G$14,$M23,BE$13))))</f>
        <v>1000000000000</v>
      </c>
      <c r="BF23" s="181">
        <f ca="1">IF($D23&lt;&gt;"Serviço",0,IF(OR(AND(AUTOEVENTO="Manual",$M23=1),$M23&gt;(ROW(PLE.lastrow)-ROW(PLE.firstrow))),0,IF(OFFSET(PLE!$G$14,$M23,BF$13)="",10^12,OFFSET(PLE!$G$14,$M23,BF$13))))</f>
        <v>1000000000000</v>
      </c>
      <c r="BG23" s="181">
        <f ca="1">IF($D23&lt;&gt;"Serviço",0,IF(OR(AND(AUTOEVENTO="Manual",$M23=1),$M23&gt;(ROW(PLE.lastrow)-ROW(PLE.firstrow))),0,IF(OFFSET(PLE!$G$14,$M23,BG$13)="",10^12,OFFSET(PLE!$G$14,$M23,BG$13))))</f>
        <v>1000000000000</v>
      </c>
    </row>
    <row r="24" spans="1:59" ht="39.6" x14ac:dyDescent="0.25">
      <c r="A24" s="7">
        <f t="shared" ca="1" si="8"/>
        <v>3</v>
      </c>
      <c r="B24" s="7" t="str">
        <f ca="1">OFFSET(ORÇAMENTO!C$15,ROW(B24)-ROW(B$15),0)</f>
        <v>S</v>
      </c>
      <c r="C24" s="7" t="str">
        <f ca="1">OFFSET(ORÇAMENTO!L$15,ROW(C24)-ROW(C$15),0)</f>
        <v>F</v>
      </c>
      <c r="D24" s="117" t="str">
        <f ca="1">OFFSET(ORÇAMENTO!N$15,ROW(D24)-ROW(D$15),0)</f>
        <v>Serviço</v>
      </c>
      <c r="E24" s="118" t="str">
        <f ca="1">OFFSET(ORÇAMENTO!O$15,ROW(E24)-ROW(E$15),0)</f>
        <v>1.2.5.</v>
      </c>
      <c r="F24" s="171" t="str">
        <f ca="1">OFFSET(ORÇAMENTO!R$15,ROW(F24)-ROW(F$15),0)</f>
        <v>PORTA DE ALUMÍNIO DE ABRIR COM LAMBRI, COM GUARNIÇÃO, FIXAÇÃO COM PARAFUSOS - FORNECIMENTO E INSTALAÇÃO. AF_12/2019</v>
      </c>
      <c r="G24" s="172" t="str">
        <f ca="1">IF($D24&lt;&gt;"Serviço","",OFFSET(ORÇAMENTO!S$15,ROW(G24)-ROW(G$15),0))</f>
        <v>M2</v>
      </c>
      <c r="H24" s="123">
        <f ca="1">IF($D24&lt;&gt;"Serviço",0,IF(ACOMPANHAMENTO="BM",ROUND(OFFSET(ORÇAMENTO!AJ$15,ROW(H24)-ROW(H$15),0),15-13*ORÇAMENTO!$AF$7),SUMPRODUCT(($Q$12:$AA$12&lt;&gt;"")*ROUND($Q24:$AA24,15-13*ORÇAMENTO!$AF$7))))</f>
        <v>6.72</v>
      </c>
      <c r="I24" s="560" t="s">
        <v>478</v>
      </c>
      <c r="K24" s="173" t="s">
        <v>486</v>
      </c>
      <c r="L24" s="174" t="s">
        <v>255</v>
      </c>
      <c r="M24" s="175">
        <f ca="1">IF($D24&lt;&gt;"Serviço","",IF(AUTOEVENTO="manual",$A24,IF(ISERROR(MATCH($A24,$A$15:OFFSET($A24,-1,0),0)),MAX($M$15:OFFSET(M24,-1,0))+1,INDEX($M$15:OFFSET(M24,-1,0),MATCH($A24,$A$15:OFFSET($A24,-1,0),0)))))</f>
        <v>3</v>
      </c>
      <c r="N24" s="176" t="str">
        <f ca="1">IF($D24&lt;&gt;"Serviço","",IF(AUTOEVENTO="Manual",IF($A24=0,"&lt;-- defina o número do agrupador",OFFSET(EVENTOS!$D$14,$A24,0)),OFFSET($F$15,$A24,0)))</f>
        <v>EMBOÇO, FORRO, LOUÇAS E PORTAS</v>
      </c>
      <c r="O24" s="177"/>
      <c r="Q24" s="177" t="s">
        <v>478</v>
      </c>
      <c r="R24" s="178"/>
      <c r="S24" s="178"/>
      <c r="T24" s="178"/>
      <c r="U24" s="178"/>
      <c r="V24" s="178"/>
      <c r="W24" s="178"/>
      <c r="X24" s="178"/>
      <c r="Y24" s="178"/>
      <c r="Z24" s="179"/>
      <c r="AB24" s="543">
        <f ca="1">IF(AND($D24="Serviço",AB$12&lt;&gt;0,$H24&gt;0,OR(AUTOEVENTO&lt;&gt;"manual",$M24&lt;&gt;1)),
IF(Import.TipoArredondamento&lt;&gt;"TransfereGOV",
ROUND(OFFSET($P24,0,AB$13),15-13*ORÇAMENTO!$AF$7)/$H24*OFFSET(ORÇAMENTO!$X$15,ROW(AB24)-ROW(AB$15),0),
ROUND(ROUND(OFFSET($P24,0,AB$13),15-13*ORÇAMENTO!$AF$7)*OFFSET(ORÇAMENTO!$W$15,ROW(AB24)-ROW(AB$15),0),15-13*ORÇAMENTO!$AF$11)),0)</f>
        <v>10648.11</v>
      </c>
      <c r="AC24" s="544">
        <f ca="1">IF(AND($D24="Serviço",AC$12&lt;&gt;0,$H24&gt;0,OR(AUTOEVENTO&lt;&gt;"manual",$M24&lt;&gt;1)),
IF(Import.TipoArredondamento&lt;&gt;"TransfereGOV",
ROUND(OFFSET($P24,0,AC$13),15-13*ORÇAMENTO!$AF$7)/$H24*OFFSET(ORÇAMENTO!$X$15,ROW(AC24)-ROW(AC$15),0),
ROUND(ROUND(OFFSET($P24,0,AC$13),15-13*ORÇAMENTO!$AF$7)*OFFSET(ORÇAMENTO!$W$15,ROW(AC24)-ROW(AC$15),0),15-13*ORÇAMENTO!$AF$11)),0)</f>
        <v>0</v>
      </c>
      <c r="AD24" s="544">
        <f ca="1">IF(AND($D24="Serviço",AD$12&lt;&gt;0,$H24&gt;0,OR(AUTOEVENTO&lt;&gt;"manual",$M24&lt;&gt;1)),
IF(Import.TipoArredondamento&lt;&gt;"TransfereGOV",
ROUND(OFFSET($P24,0,AD$13),15-13*ORÇAMENTO!$AF$7)/$H24*OFFSET(ORÇAMENTO!$X$15,ROW(AD24)-ROW(AD$15),0),
ROUND(ROUND(OFFSET($P24,0,AD$13),15-13*ORÇAMENTO!$AF$7)*OFFSET(ORÇAMENTO!$W$15,ROW(AD24)-ROW(AD$15),0),15-13*ORÇAMENTO!$AF$11)),0)</f>
        <v>0</v>
      </c>
      <c r="AE24" s="544">
        <f ca="1">IF(AND($D24="Serviço",AE$12&lt;&gt;0,$H24&gt;0,OR(AUTOEVENTO&lt;&gt;"manual",$M24&lt;&gt;1)),
IF(Import.TipoArredondamento&lt;&gt;"TransfereGOV",
ROUND(OFFSET($P24,0,AE$13),15-13*ORÇAMENTO!$AF$7)/$H24*OFFSET(ORÇAMENTO!$X$15,ROW(AE24)-ROW(AE$15),0),
ROUND(ROUND(OFFSET($P24,0,AE$13),15-13*ORÇAMENTO!$AF$7)*OFFSET(ORÇAMENTO!$W$15,ROW(AE24)-ROW(AE$15),0),15-13*ORÇAMENTO!$AF$11)),0)</f>
        <v>0</v>
      </c>
      <c r="AF24" s="544">
        <f ca="1">IF(AND($D24="Serviço",AF$12&lt;&gt;0,$H24&gt;0,OR(AUTOEVENTO&lt;&gt;"manual",$M24&lt;&gt;1)),
IF(Import.TipoArredondamento&lt;&gt;"TransfereGOV",
ROUND(OFFSET($P24,0,AF$13),15-13*ORÇAMENTO!$AF$7)/$H24*OFFSET(ORÇAMENTO!$X$15,ROW(AF24)-ROW(AF$15),0),
ROUND(ROUND(OFFSET($P24,0,AF$13),15-13*ORÇAMENTO!$AF$7)*OFFSET(ORÇAMENTO!$W$15,ROW(AF24)-ROW(AF$15),0),15-13*ORÇAMENTO!$AF$11)),0)</f>
        <v>0</v>
      </c>
      <c r="AG24" s="544">
        <f ca="1">IF(AND($D24="Serviço",AG$12&lt;&gt;0,$H24&gt;0,OR(AUTOEVENTO&lt;&gt;"manual",$M24&lt;&gt;1)),
IF(Import.TipoArredondamento&lt;&gt;"TransfereGOV",
ROUND(OFFSET($P24,0,AG$13),15-13*ORÇAMENTO!$AF$7)/$H24*OFFSET(ORÇAMENTO!$X$15,ROW(AG24)-ROW(AG$15),0),
ROUND(ROUND(OFFSET($P24,0,AG$13),15-13*ORÇAMENTO!$AF$7)*OFFSET(ORÇAMENTO!$W$15,ROW(AG24)-ROW(AG$15),0),15-13*ORÇAMENTO!$AF$11)),0)</f>
        <v>0</v>
      </c>
      <c r="AH24" s="544">
        <f ca="1">IF(AND($D24="Serviço",AH$12&lt;&gt;0,$H24&gt;0,OR(AUTOEVENTO&lt;&gt;"manual",$M24&lt;&gt;1)),
IF(Import.TipoArredondamento&lt;&gt;"TransfereGOV",
ROUND(OFFSET($P24,0,AH$13),15-13*ORÇAMENTO!$AF$7)/$H24*OFFSET(ORÇAMENTO!$X$15,ROW(AH24)-ROW(AH$15),0),
ROUND(ROUND(OFFSET($P24,0,AH$13),15-13*ORÇAMENTO!$AF$7)*OFFSET(ORÇAMENTO!$W$15,ROW(AH24)-ROW(AH$15),0),15-13*ORÇAMENTO!$AF$11)),0)</f>
        <v>0</v>
      </c>
      <c r="AI24" s="544">
        <f ca="1">IF(AND($D24="Serviço",AI$12&lt;&gt;0,$H24&gt;0,OR(AUTOEVENTO&lt;&gt;"manual",$M24&lt;&gt;1)),
IF(Import.TipoArredondamento&lt;&gt;"TransfereGOV",
ROUND(OFFSET($P24,0,AI$13),15-13*ORÇAMENTO!$AF$7)/$H24*OFFSET(ORÇAMENTO!$X$15,ROW(AI24)-ROW(AI$15),0),
ROUND(ROUND(OFFSET($P24,0,AI$13),15-13*ORÇAMENTO!$AF$7)*OFFSET(ORÇAMENTO!$W$15,ROW(AI24)-ROW(AI$15),0),15-13*ORÇAMENTO!$AF$11)),0)</f>
        <v>0</v>
      </c>
      <c r="AJ24" s="544">
        <f ca="1">IF(AND($D24="Serviço",AJ$12&lt;&gt;0,$H24&gt;0,OR(AUTOEVENTO&lt;&gt;"manual",$M24&lt;&gt;1)),
IF(Import.TipoArredondamento&lt;&gt;"TransfereGOV",
ROUND(OFFSET($P24,0,AJ$13),15-13*ORÇAMENTO!$AF$7)/$H24*OFFSET(ORÇAMENTO!$X$15,ROW(AJ24)-ROW(AJ$15),0),
ROUND(ROUND(OFFSET($P24,0,AJ$13),15-13*ORÇAMENTO!$AF$7)*OFFSET(ORÇAMENTO!$W$15,ROW(AJ24)-ROW(AJ$15),0),15-13*ORÇAMENTO!$AF$11)),0)</f>
        <v>0</v>
      </c>
      <c r="AK24" s="545">
        <f ca="1">IF(AND($D24="Serviço",AK$12&lt;&gt;0,$H24&gt;0,OR(AUTOEVENTO&lt;&gt;"manual",$M24&lt;&gt;1)),
IF(Import.TipoArredondamento&lt;&gt;"TransfereGOV",
ROUND(OFFSET($P24,0,AK$13),15-13*ORÇAMENTO!$AF$7)/$H24*OFFSET(ORÇAMENTO!$X$15,ROW(AK24)-ROW(AK$15),0),
ROUND(ROUND(OFFSET($P24,0,AK$13),15-13*ORÇAMENTO!$AF$7)*OFFSET(ORÇAMENTO!$W$15,ROW(AK24)-ROW(AK$15),0),15-13*ORÇAMENTO!$AF$11)),0)</f>
        <v>0</v>
      </c>
      <c r="AM24" s="180">
        <f ca="1">IF($D24&lt;&gt;"Serviço",0,IF(AND(AUTOEVENTO="Manual",$M24=1),0,IF(OFFSET(CRONOPLE!$F$14,$M24,AM$13)="",10^12,OFFSET(CRONOPLE!$F$14,$M24,AM$13))))</f>
        <v>1</v>
      </c>
      <c r="AN24" s="180">
        <f ca="1">IF($D24&lt;&gt;"Serviço",0,IF(AND(AUTOEVENTO="Manual",$M24=1),0,IF(OFFSET(CRONOPLE!$F$14,$M24,AN$13)="",10^12,OFFSET(CRONOPLE!$F$14,$M24,AN$13))))</f>
        <v>2</v>
      </c>
      <c r="AO24" s="180">
        <f ca="1">IF($D24&lt;&gt;"Serviço",0,IF(AND(AUTOEVENTO="Manual",$M24=1),0,IF(OFFSET(CRONOPLE!$F$14,$M24,AO$13)="",10^12,OFFSET(CRONOPLE!$F$14,$M24,AO$13))))</f>
        <v>1000000000000</v>
      </c>
      <c r="AP24" s="180">
        <f ca="1">IF($D24&lt;&gt;"Serviço",0,IF(AND(AUTOEVENTO="Manual",$M24=1),0,IF(OFFSET(CRONOPLE!$F$14,$M24,AP$13)="",10^12,OFFSET(CRONOPLE!$F$14,$M24,AP$13))))</f>
        <v>1000000000000</v>
      </c>
      <c r="AQ24" s="180">
        <f ca="1">IF($D24&lt;&gt;"Serviço",0,IF(AND(AUTOEVENTO="Manual",$M24=1),0,IF(OFFSET(CRONOPLE!$F$14,$M24,AQ$13)="",10^12,OFFSET(CRONOPLE!$F$14,$M24,AQ$13))))</f>
        <v>1000000000000</v>
      </c>
      <c r="AR24" s="180">
        <f ca="1">IF($D24&lt;&gt;"Serviço",0,IF(AND(AUTOEVENTO="Manual",$M24=1),0,IF(OFFSET(CRONOPLE!$F$14,$M24,AR$13)="",10^12,OFFSET(CRONOPLE!$F$14,$M24,AR$13))))</f>
        <v>1000000000000</v>
      </c>
      <c r="AS24" s="180">
        <f ca="1">IF($D24&lt;&gt;"Serviço",0,IF(AND(AUTOEVENTO="Manual",$M24=1),0,IF(OFFSET(CRONOPLE!$F$14,$M24,AS$13)="",10^12,OFFSET(CRONOPLE!$F$14,$M24,AS$13))))</f>
        <v>1000000000000</v>
      </c>
      <c r="AT24" s="180">
        <f ca="1">IF($D24&lt;&gt;"Serviço",0,IF(AND(AUTOEVENTO="Manual",$M24=1),0,IF(OFFSET(CRONOPLE!$F$14,$M24,AT$13)="",10^12,OFFSET(CRONOPLE!$F$14,$M24,AT$13))))</f>
        <v>1000000000000</v>
      </c>
      <c r="AU24" s="180">
        <f ca="1">IF($D24&lt;&gt;"Serviço",0,IF(AND(AUTOEVENTO="Manual",$M24=1),0,IF(OFFSET(CRONOPLE!$F$14,$M24,AU$13)="",10^12,OFFSET(CRONOPLE!$F$14,$M24,AU$13))))</f>
        <v>1000000000000</v>
      </c>
      <c r="AV24" s="180">
        <f ca="1">IF($D24&lt;&gt;"Serviço",0,IF(AND(AUTOEVENTO="Manual",$M24=1),0,IF(OFFSET(CRONOPLE!$F$14,$M24,AV$13)="",10^12,OFFSET(CRONOPLE!$F$14,$M24,AV$13))))</f>
        <v>1000000000000</v>
      </c>
      <c r="AX24" s="181">
        <f ca="1">IF($D24&lt;&gt;"Serviço",0,IF(OR(AND(AUTOEVENTO="Manual",$M24=1),$M24&gt;(ROW(PLE.lastrow)-ROW(PLE.firstrow))),0,IF(OFFSET(PLE!$G$14,$M24,AX$13)="",10^12,OFFSET(PLE!$G$14,$M24,AX$13))))</f>
        <v>1000000000000</v>
      </c>
      <c r="AY24" s="181">
        <f ca="1">IF($D24&lt;&gt;"Serviço",0,IF(OR(AND(AUTOEVENTO="Manual",$M24=1),$M24&gt;(ROW(PLE.lastrow)-ROW(PLE.firstrow))),0,IF(OFFSET(PLE!$G$14,$M24,AY$13)="",10^12,OFFSET(PLE!$G$14,$M24,AY$13))))</f>
        <v>1000000000000</v>
      </c>
      <c r="AZ24" s="181">
        <f ca="1">IF($D24&lt;&gt;"Serviço",0,IF(OR(AND(AUTOEVENTO="Manual",$M24=1),$M24&gt;(ROW(PLE.lastrow)-ROW(PLE.firstrow))),0,IF(OFFSET(PLE!$G$14,$M24,AZ$13)="",10^12,OFFSET(PLE!$G$14,$M24,AZ$13))))</f>
        <v>1000000000000</v>
      </c>
      <c r="BA24" s="181">
        <f ca="1">IF($D24&lt;&gt;"Serviço",0,IF(OR(AND(AUTOEVENTO="Manual",$M24=1),$M24&gt;(ROW(PLE.lastrow)-ROW(PLE.firstrow))),0,IF(OFFSET(PLE!$G$14,$M24,BA$13)="",10^12,OFFSET(PLE!$G$14,$M24,BA$13))))</f>
        <v>1000000000000</v>
      </c>
      <c r="BB24" s="181">
        <f ca="1">IF($D24&lt;&gt;"Serviço",0,IF(OR(AND(AUTOEVENTO="Manual",$M24=1),$M24&gt;(ROW(PLE.lastrow)-ROW(PLE.firstrow))),0,IF(OFFSET(PLE!$G$14,$M24,BB$13)="",10^12,OFFSET(PLE!$G$14,$M24,BB$13))))</f>
        <v>1000000000000</v>
      </c>
      <c r="BC24" s="181">
        <f ca="1">IF($D24&lt;&gt;"Serviço",0,IF(OR(AND(AUTOEVENTO="Manual",$M24=1),$M24&gt;(ROW(PLE.lastrow)-ROW(PLE.firstrow))),0,IF(OFFSET(PLE!$G$14,$M24,BC$13)="",10^12,OFFSET(PLE!$G$14,$M24,BC$13))))</f>
        <v>1000000000000</v>
      </c>
      <c r="BD24" s="181">
        <f ca="1">IF($D24&lt;&gt;"Serviço",0,IF(OR(AND(AUTOEVENTO="Manual",$M24=1),$M24&gt;(ROW(PLE.lastrow)-ROW(PLE.firstrow))),0,IF(OFFSET(PLE!$G$14,$M24,BD$13)="",10^12,OFFSET(PLE!$G$14,$M24,BD$13))))</f>
        <v>1000000000000</v>
      </c>
      <c r="BE24" s="181">
        <f ca="1">IF($D24&lt;&gt;"Serviço",0,IF(OR(AND(AUTOEVENTO="Manual",$M24=1),$M24&gt;(ROW(PLE.lastrow)-ROW(PLE.firstrow))),0,IF(OFFSET(PLE!$G$14,$M24,BE$13)="",10^12,OFFSET(PLE!$G$14,$M24,BE$13))))</f>
        <v>1000000000000</v>
      </c>
      <c r="BF24" s="181">
        <f ca="1">IF($D24&lt;&gt;"Serviço",0,IF(OR(AND(AUTOEVENTO="Manual",$M24=1),$M24&gt;(ROW(PLE.lastrow)-ROW(PLE.firstrow))),0,IF(OFFSET(PLE!$G$14,$M24,BF$13)="",10^12,OFFSET(PLE!$G$14,$M24,BF$13))))</f>
        <v>1000000000000</v>
      </c>
      <c r="BG24" s="181">
        <f ca="1">IF($D24&lt;&gt;"Serviço",0,IF(OR(AND(AUTOEVENTO="Manual",$M24=1),$M24&gt;(ROW(PLE.lastrow)-ROW(PLE.firstrow))),0,IF(OFFSET(PLE!$G$14,$M24,BG$13)="",10^12,OFFSET(PLE!$G$14,$M24,BG$13))))</f>
        <v>1000000000000</v>
      </c>
    </row>
    <row r="25" spans="1:59" ht="26.4" x14ac:dyDescent="0.25">
      <c r="A25" s="7">
        <f t="shared" ca="1" si="8"/>
        <v>3</v>
      </c>
      <c r="B25" s="7" t="str">
        <f ca="1">OFFSET(ORÇAMENTO!C$15,ROW(B25)-ROW(B$15),0)</f>
        <v>S</v>
      </c>
      <c r="C25" s="7" t="str">
        <f ca="1">OFFSET(ORÇAMENTO!L$15,ROW(C25)-ROW(C$15),0)</f>
        <v>F</v>
      </c>
      <c r="D25" s="117" t="str">
        <f ca="1">OFFSET(ORÇAMENTO!N$15,ROW(D25)-ROW(D$15),0)</f>
        <v>Serviço</v>
      </c>
      <c r="E25" s="118" t="str">
        <f ca="1">OFFSET(ORÇAMENTO!O$15,ROW(E25)-ROW(E$15),0)</f>
        <v>1.2.6.</v>
      </c>
      <c r="F25" s="171" t="str">
        <f ca="1">OFFSET(ORÇAMENTO!R$15,ROW(F25)-ROW(F$15),0)</f>
        <v>VASO SANITÁRIO SIFONADO COM CAIXA ACOPLADA LOUÇA BRANCA - FORNECIMENTO E INSTALAÇÃO. AF_01/2020</v>
      </c>
      <c r="G25" s="172" t="str">
        <f ca="1">IF($D25&lt;&gt;"Serviço","",OFFSET(ORÇAMENTO!S$15,ROW(G25)-ROW(G$15),0))</f>
        <v>UN</v>
      </c>
      <c r="H25" s="123">
        <f ca="1">IF($D25&lt;&gt;"Serviço",0,IF(ACOMPANHAMENTO="BM",ROUND(OFFSET(ORÇAMENTO!AJ$15,ROW(H25)-ROW(H$15),0),15-13*ORÇAMENTO!$AF$7),SUMPRODUCT(($Q$12:$AA$12&lt;&gt;"")*ROUND($Q25:$AA25,15-13*ORÇAMENTO!$AF$7))))</f>
        <v>4</v>
      </c>
      <c r="I25" s="560" t="s">
        <v>479</v>
      </c>
      <c r="K25" s="173" t="s">
        <v>486</v>
      </c>
      <c r="L25" s="174" t="s">
        <v>255</v>
      </c>
      <c r="M25" s="175">
        <f ca="1">IF($D25&lt;&gt;"Serviço","",IF(AUTOEVENTO="manual",$A25,IF(ISERROR(MATCH($A25,$A$15:OFFSET($A25,-1,0),0)),MAX($M$15:OFFSET(M25,-1,0))+1,INDEX($M$15:OFFSET(M25,-1,0),MATCH($A25,$A$15:OFFSET($A25,-1,0),0)))))</f>
        <v>3</v>
      </c>
      <c r="N25" s="176" t="str">
        <f ca="1">IF($D25&lt;&gt;"Serviço","",IF(AUTOEVENTO="Manual",IF($A25=0,"&lt;-- defina o número do agrupador",OFFSET(EVENTOS!$D$14,$A25,0)),OFFSET($F$15,$A25,0)))</f>
        <v>EMBOÇO, FORRO, LOUÇAS E PORTAS</v>
      </c>
      <c r="O25" s="177"/>
      <c r="Q25" s="177" t="s">
        <v>479</v>
      </c>
      <c r="R25" s="178"/>
      <c r="S25" s="178"/>
      <c r="T25" s="178"/>
      <c r="U25" s="178"/>
      <c r="V25" s="178"/>
      <c r="W25" s="178"/>
      <c r="X25" s="178"/>
      <c r="Y25" s="178"/>
      <c r="Z25" s="179"/>
      <c r="AB25" s="543">
        <f ca="1">IF(AND($D25="Serviço",AB$12&lt;&gt;0,$H25&gt;0,OR(AUTOEVENTO&lt;&gt;"manual",$M25&lt;&gt;1)),
IF(Import.TipoArredondamento&lt;&gt;"TransfereGOV",
ROUND(OFFSET($P25,0,AB$13),15-13*ORÇAMENTO!$AF$7)/$H25*OFFSET(ORÇAMENTO!$X$15,ROW(AB25)-ROW(AB$15),0),
ROUND(ROUND(OFFSET($P25,0,AB$13),15-13*ORÇAMENTO!$AF$7)*OFFSET(ORÇAMENTO!$W$15,ROW(AB25)-ROW(AB$15),0),15-13*ORÇAMENTO!$AF$11)),0)</f>
        <v>2400.2800000000002</v>
      </c>
      <c r="AC25" s="544">
        <f ca="1">IF(AND($D25="Serviço",AC$12&lt;&gt;0,$H25&gt;0,OR(AUTOEVENTO&lt;&gt;"manual",$M25&lt;&gt;1)),
IF(Import.TipoArredondamento&lt;&gt;"TransfereGOV",
ROUND(OFFSET($P25,0,AC$13),15-13*ORÇAMENTO!$AF$7)/$H25*OFFSET(ORÇAMENTO!$X$15,ROW(AC25)-ROW(AC$15),0),
ROUND(ROUND(OFFSET($P25,0,AC$13),15-13*ORÇAMENTO!$AF$7)*OFFSET(ORÇAMENTO!$W$15,ROW(AC25)-ROW(AC$15),0),15-13*ORÇAMENTO!$AF$11)),0)</f>
        <v>0</v>
      </c>
      <c r="AD25" s="544">
        <f ca="1">IF(AND($D25="Serviço",AD$12&lt;&gt;0,$H25&gt;0,OR(AUTOEVENTO&lt;&gt;"manual",$M25&lt;&gt;1)),
IF(Import.TipoArredondamento&lt;&gt;"TransfereGOV",
ROUND(OFFSET($P25,0,AD$13),15-13*ORÇAMENTO!$AF$7)/$H25*OFFSET(ORÇAMENTO!$X$15,ROW(AD25)-ROW(AD$15),0),
ROUND(ROUND(OFFSET($P25,0,AD$13),15-13*ORÇAMENTO!$AF$7)*OFFSET(ORÇAMENTO!$W$15,ROW(AD25)-ROW(AD$15),0),15-13*ORÇAMENTO!$AF$11)),0)</f>
        <v>0</v>
      </c>
      <c r="AE25" s="544">
        <f ca="1">IF(AND($D25="Serviço",AE$12&lt;&gt;0,$H25&gt;0,OR(AUTOEVENTO&lt;&gt;"manual",$M25&lt;&gt;1)),
IF(Import.TipoArredondamento&lt;&gt;"TransfereGOV",
ROUND(OFFSET($P25,0,AE$13),15-13*ORÇAMENTO!$AF$7)/$H25*OFFSET(ORÇAMENTO!$X$15,ROW(AE25)-ROW(AE$15),0),
ROUND(ROUND(OFFSET($P25,0,AE$13),15-13*ORÇAMENTO!$AF$7)*OFFSET(ORÇAMENTO!$W$15,ROW(AE25)-ROW(AE$15),0),15-13*ORÇAMENTO!$AF$11)),0)</f>
        <v>0</v>
      </c>
      <c r="AF25" s="544">
        <f ca="1">IF(AND($D25="Serviço",AF$12&lt;&gt;0,$H25&gt;0,OR(AUTOEVENTO&lt;&gt;"manual",$M25&lt;&gt;1)),
IF(Import.TipoArredondamento&lt;&gt;"TransfereGOV",
ROUND(OFFSET($P25,0,AF$13),15-13*ORÇAMENTO!$AF$7)/$H25*OFFSET(ORÇAMENTO!$X$15,ROW(AF25)-ROW(AF$15),0),
ROUND(ROUND(OFFSET($P25,0,AF$13),15-13*ORÇAMENTO!$AF$7)*OFFSET(ORÇAMENTO!$W$15,ROW(AF25)-ROW(AF$15),0),15-13*ORÇAMENTO!$AF$11)),0)</f>
        <v>0</v>
      </c>
      <c r="AG25" s="544">
        <f ca="1">IF(AND($D25="Serviço",AG$12&lt;&gt;0,$H25&gt;0,OR(AUTOEVENTO&lt;&gt;"manual",$M25&lt;&gt;1)),
IF(Import.TipoArredondamento&lt;&gt;"TransfereGOV",
ROUND(OFFSET($P25,0,AG$13),15-13*ORÇAMENTO!$AF$7)/$H25*OFFSET(ORÇAMENTO!$X$15,ROW(AG25)-ROW(AG$15),0),
ROUND(ROUND(OFFSET($P25,0,AG$13),15-13*ORÇAMENTO!$AF$7)*OFFSET(ORÇAMENTO!$W$15,ROW(AG25)-ROW(AG$15),0),15-13*ORÇAMENTO!$AF$11)),0)</f>
        <v>0</v>
      </c>
      <c r="AH25" s="544">
        <f ca="1">IF(AND($D25="Serviço",AH$12&lt;&gt;0,$H25&gt;0,OR(AUTOEVENTO&lt;&gt;"manual",$M25&lt;&gt;1)),
IF(Import.TipoArredondamento&lt;&gt;"TransfereGOV",
ROUND(OFFSET($P25,0,AH$13),15-13*ORÇAMENTO!$AF$7)/$H25*OFFSET(ORÇAMENTO!$X$15,ROW(AH25)-ROW(AH$15),0),
ROUND(ROUND(OFFSET($P25,0,AH$13),15-13*ORÇAMENTO!$AF$7)*OFFSET(ORÇAMENTO!$W$15,ROW(AH25)-ROW(AH$15),0),15-13*ORÇAMENTO!$AF$11)),0)</f>
        <v>0</v>
      </c>
      <c r="AI25" s="544">
        <f ca="1">IF(AND($D25="Serviço",AI$12&lt;&gt;0,$H25&gt;0,OR(AUTOEVENTO&lt;&gt;"manual",$M25&lt;&gt;1)),
IF(Import.TipoArredondamento&lt;&gt;"TransfereGOV",
ROUND(OFFSET($P25,0,AI$13),15-13*ORÇAMENTO!$AF$7)/$H25*OFFSET(ORÇAMENTO!$X$15,ROW(AI25)-ROW(AI$15),0),
ROUND(ROUND(OFFSET($P25,0,AI$13),15-13*ORÇAMENTO!$AF$7)*OFFSET(ORÇAMENTO!$W$15,ROW(AI25)-ROW(AI$15),0),15-13*ORÇAMENTO!$AF$11)),0)</f>
        <v>0</v>
      </c>
      <c r="AJ25" s="544">
        <f ca="1">IF(AND($D25="Serviço",AJ$12&lt;&gt;0,$H25&gt;0,OR(AUTOEVENTO&lt;&gt;"manual",$M25&lt;&gt;1)),
IF(Import.TipoArredondamento&lt;&gt;"TransfereGOV",
ROUND(OFFSET($P25,0,AJ$13),15-13*ORÇAMENTO!$AF$7)/$H25*OFFSET(ORÇAMENTO!$X$15,ROW(AJ25)-ROW(AJ$15),0),
ROUND(ROUND(OFFSET($P25,0,AJ$13),15-13*ORÇAMENTO!$AF$7)*OFFSET(ORÇAMENTO!$W$15,ROW(AJ25)-ROW(AJ$15),0),15-13*ORÇAMENTO!$AF$11)),0)</f>
        <v>0</v>
      </c>
      <c r="AK25" s="545">
        <f ca="1">IF(AND($D25="Serviço",AK$12&lt;&gt;0,$H25&gt;0,OR(AUTOEVENTO&lt;&gt;"manual",$M25&lt;&gt;1)),
IF(Import.TipoArredondamento&lt;&gt;"TransfereGOV",
ROUND(OFFSET($P25,0,AK$13),15-13*ORÇAMENTO!$AF$7)/$H25*OFFSET(ORÇAMENTO!$X$15,ROW(AK25)-ROW(AK$15),0),
ROUND(ROUND(OFFSET($P25,0,AK$13),15-13*ORÇAMENTO!$AF$7)*OFFSET(ORÇAMENTO!$W$15,ROW(AK25)-ROW(AK$15),0),15-13*ORÇAMENTO!$AF$11)),0)</f>
        <v>0</v>
      </c>
      <c r="AM25" s="180">
        <f ca="1">IF($D25&lt;&gt;"Serviço",0,IF(AND(AUTOEVENTO="Manual",$M25=1),0,IF(OFFSET(CRONOPLE!$F$14,$M25,AM$13)="",10^12,OFFSET(CRONOPLE!$F$14,$M25,AM$13))))</f>
        <v>1</v>
      </c>
      <c r="AN25" s="180">
        <f ca="1">IF($D25&lt;&gt;"Serviço",0,IF(AND(AUTOEVENTO="Manual",$M25=1),0,IF(OFFSET(CRONOPLE!$F$14,$M25,AN$13)="",10^12,OFFSET(CRONOPLE!$F$14,$M25,AN$13))))</f>
        <v>2</v>
      </c>
      <c r="AO25" s="180">
        <f ca="1">IF($D25&lt;&gt;"Serviço",0,IF(AND(AUTOEVENTO="Manual",$M25=1),0,IF(OFFSET(CRONOPLE!$F$14,$M25,AO$13)="",10^12,OFFSET(CRONOPLE!$F$14,$M25,AO$13))))</f>
        <v>1000000000000</v>
      </c>
      <c r="AP25" s="180">
        <f ca="1">IF($D25&lt;&gt;"Serviço",0,IF(AND(AUTOEVENTO="Manual",$M25=1),0,IF(OFFSET(CRONOPLE!$F$14,$M25,AP$13)="",10^12,OFFSET(CRONOPLE!$F$14,$M25,AP$13))))</f>
        <v>1000000000000</v>
      </c>
      <c r="AQ25" s="180">
        <f ca="1">IF($D25&lt;&gt;"Serviço",0,IF(AND(AUTOEVENTO="Manual",$M25=1),0,IF(OFFSET(CRONOPLE!$F$14,$M25,AQ$13)="",10^12,OFFSET(CRONOPLE!$F$14,$M25,AQ$13))))</f>
        <v>1000000000000</v>
      </c>
      <c r="AR25" s="180">
        <f ca="1">IF($D25&lt;&gt;"Serviço",0,IF(AND(AUTOEVENTO="Manual",$M25=1),0,IF(OFFSET(CRONOPLE!$F$14,$M25,AR$13)="",10^12,OFFSET(CRONOPLE!$F$14,$M25,AR$13))))</f>
        <v>1000000000000</v>
      </c>
      <c r="AS25" s="180">
        <f ca="1">IF($D25&lt;&gt;"Serviço",0,IF(AND(AUTOEVENTO="Manual",$M25=1),0,IF(OFFSET(CRONOPLE!$F$14,$M25,AS$13)="",10^12,OFFSET(CRONOPLE!$F$14,$M25,AS$13))))</f>
        <v>1000000000000</v>
      </c>
      <c r="AT25" s="180">
        <f ca="1">IF($D25&lt;&gt;"Serviço",0,IF(AND(AUTOEVENTO="Manual",$M25=1),0,IF(OFFSET(CRONOPLE!$F$14,$M25,AT$13)="",10^12,OFFSET(CRONOPLE!$F$14,$M25,AT$13))))</f>
        <v>1000000000000</v>
      </c>
      <c r="AU25" s="180">
        <f ca="1">IF($D25&lt;&gt;"Serviço",0,IF(AND(AUTOEVENTO="Manual",$M25=1),0,IF(OFFSET(CRONOPLE!$F$14,$M25,AU$13)="",10^12,OFFSET(CRONOPLE!$F$14,$M25,AU$13))))</f>
        <v>1000000000000</v>
      </c>
      <c r="AV25" s="180">
        <f ca="1">IF($D25&lt;&gt;"Serviço",0,IF(AND(AUTOEVENTO="Manual",$M25=1),0,IF(OFFSET(CRONOPLE!$F$14,$M25,AV$13)="",10^12,OFFSET(CRONOPLE!$F$14,$M25,AV$13))))</f>
        <v>1000000000000</v>
      </c>
      <c r="AX25" s="181">
        <f ca="1">IF($D25&lt;&gt;"Serviço",0,IF(OR(AND(AUTOEVENTO="Manual",$M25=1),$M25&gt;(ROW(PLE.lastrow)-ROW(PLE.firstrow))),0,IF(OFFSET(PLE!$G$14,$M25,AX$13)="",10^12,OFFSET(PLE!$G$14,$M25,AX$13))))</f>
        <v>1000000000000</v>
      </c>
      <c r="AY25" s="181">
        <f ca="1">IF($D25&lt;&gt;"Serviço",0,IF(OR(AND(AUTOEVENTO="Manual",$M25=1),$M25&gt;(ROW(PLE.lastrow)-ROW(PLE.firstrow))),0,IF(OFFSET(PLE!$G$14,$M25,AY$13)="",10^12,OFFSET(PLE!$G$14,$M25,AY$13))))</f>
        <v>1000000000000</v>
      </c>
      <c r="AZ25" s="181">
        <f ca="1">IF($D25&lt;&gt;"Serviço",0,IF(OR(AND(AUTOEVENTO="Manual",$M25=1),$M25&gt;(ROW(PLE.lastrow)-ROW(PLE.firstrow))),0,IF(OFFSET(PLE!$G$14,$M25,AZ$13)="",10^12,OFFSET(PLE!$G$14,$M25,AZ$13))))</f>
        <v>1000000000000</v>
      </c>
      <c r="BA25" s="181">
        <f ca="1">IF($D25&lt;&gt;"Serviço",0,IF(OR(AND(AUTOEVENTO="Manual",$M25=1),$M25&gt;(ROW(PLE.lastrow)-ROW(PLE.firstrow))),0,IF(OFFSET(PLE!$G$14,$M25,BA$13)="",10^12,OFFSET(PLE!$G$14,$M25,BA$13))))</f>
        <v>1000000000000</v>
      </c>
      <c r="BB25" s="181">
        <f ca="1">IF($D25&lt;&gt;"Serviço",0,IF(OR(AND(AUTOEVENTO="Manual",$M25=1),$M25&gt;(ROW(PLE.lastrow)-ROW(PLE.firstrow))),0,IF(OFFSET(PLE!$G$14,$M25,BB$13)="",10^12,OFFSET(PLE!$G$14,$M25,BB$13))))</f>
        <v>1000000000000</v>
      </c>
      <c r="BC25" s="181">
        <f ca="1">IF($D25&lt;&gt;"Serviço",0,IF(OR(AND(AUTOEVENTO="Manual",$M25=1),$M25&gt;(ROW(PLE.lastrow)-ROW(PLE.firstrow))),0,IF(OFFSET(PLE!$G$14,$M25,BC$13)="",10^12,OFFSET(PLE!$G$14,$M25,BC$13))))</f>
        <v>1000000000000</v>
      </c>
      <c r="BD25" s="181">
        <f ca="1">IF($D25&lt;&gt;"Serviço",0,IF(OR(AND(AUTOEVENTO="Manual",$M25=1),$M25&gt;(ROW(PLE.lastrow)-ROW(PLE.firstrow))),0,IF(OFFSET(PLE!$G$14,$M25,BD$13)="",10^12,OFFSET(PLE!$G$14,$M25,BD$13))))</f>
        <v>1000000000000</v>
      </c>
      <c r="BE25" s="181">
        <f ca="1">IF($D25&lt;&gt;"Serviço",0,IF(OR(AND(AUTOEVENTO="Manual",$M25=1),$M25&gt;(ROW(PLE.lastrow)-ROW(PLE.firstrow))),0,IF(OFFSET(PLE!$G$14,$M25,BE$13)="",10^12,OFFSET(PLE!$G$14,$M25,BE$13))))</f>
        <v>1000000000000</v>
      </c>
      <c r="BF25" s="181">
        <f ca="1">IF($D25&lt;&gt;"Serviço",0,IF(OR(AND(AUTOEVENTO="Manual",$M25=1),$M25&gt;(ROW(PLE.lastrow)-ROW(PLE.firstrow))),0,IF(OFFSET(PLE!$G$14,$M25,BF$13)="",10^12,OFFSET(PLE!$G$14,$M25,BF$13))))</f>
        <v>1000000000000</v>
      </c>
      <c r="BG25" s="181">
        <f ca="1">IF($D25&lt;&gt;"Serviço",0,IF(OR(AND(AUTOEVENTO="Manual",$M25=1),$M25&gt;(ROW(PLE.lastrow)-ROW(PLE.firstrow))),0,IF(OFFSET(PLE!$G$14,$M25,BG$13)="",10^12,OFFSET(PLE!$G$14,$M25,BG$13))))</f>
        <v>1000000000000</v>
      </c>
    </row>
    <row r="26" spans="1:59" ht="39.6" x14ac:dyDescent="0.25">
      <c r="A26" s="7">
        <f t="shared" ca="1" si="8"/>
        <v>3</v>
      </c>
      <c r="B26" s="7" t="str">
        <f ca="1">OFFSET(ORÇAMENTO!C$15,ROW(B26)-ROW(B$15),0)</f>
        <v>S</v>
      </c>
      <c r="C26" s="7" t="str">
        <f ca="1">OFFSET(ORÇAMENTO!L$15,ROW(C26)-ROW(C$15),0)</f>
        <v>F</v>
      </c>
      <c r="D26" s="117" t="str">
        <f ca="1">OFFSET(ORÇAMENTO!N$15,ROW(D26)-ROW(D$15),0)</f>
        <v>Serviço</v>
      </c>
      <c r="E26" s="118" t="str">
        <f ca="1">OFFSET(ORÇAMENTO!O$15,ROW(E26)-ROW(E$15),0)</f>
        <v>1.2.7.</v>
      </c>
      <c r="F26" s="171" t="str">
        <f ca="1">OFFSET(ORÇAMENTO!R$15,ROW(F26)-ROW(F$15),0)</f>
        <v>EMBOÇO OU MASSA ÚNICA EM ARGAMASSA TRAÇO 1:2:8, PREPARO MANUAL, APLICADA MANUALMENTE EM PANOS DE FACHADA COM PRESENÇA DE VÃOS, ESPESSURA DE 25 MM. AF_08/2022</v>
      </c>
      <c r="G26" s="172" t="str">
        <f ca="1">IF($D26&lt;&gt;"Serviço","",OFFSET(ORÇAMENTO!S$15,ROW(G26)-ROW(G$15),0))</f>
        <v>M2</v>
      </c>
      <c r="H26" s="123">
        <f ca="1">IF($D26&lt;&gt;"Serviço",0,IF(ACOMPANHAMENTO="BM",ROUND(OFFSET(ORÇAMENTO!AJ$15,ROW(H26)-ROW(H$15),0),15-13*ORÇAMENTO!$AF$7),SUMPRODUCT(($Q$12:$AA$12&lt;&gt;"")*ROUND($Q26:$AA26,15-13*ORÇAMENTO!$AF$7))))</f>
        <v>90</v>
      </c>
      <c r="I26" s="560" t="s">
        <v>480</v>
      </c>
      <c r="K26" s="173" t="s">
        <v>486</v>
      </c>
      <c r="L26" s="174" t="s">
        <v>255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3</v>
      </c>
      <c r="N26" s="176" t="str">
        <f ca="1">IF($D26&lt;&gt;"Serviço","",IF(AUTOEVENTO="Manual",IF($A26=0,"&lt;-- defina o número do agrupador",OFFSET(EVENTOS!$D$14,$A26,0)),OFFSET($F$15,$A26,0)))</f>
        <v>EMBOÇO, FORRO, LOUÇAS E PORTAS</v>
      </c>
      <c r="O26" s="177"/>
      <c r="Q26" s="177" t="s">
        <v>480</v>
      </c>
      <c r="R26" s="178"/>
      <c r="S26" s="178"/>
      <c r="T26" s="178"/>
      <c r="U26" s="178"/>
      <c r="V26" s="178"/>
      <c r="W26" s="178"/>
      <c r="X26" s="178"/>
      <c r="Y26" s="178"/>
      <c r="Z26" s="179"/>
      <c r="AB26" s="543">
        <f ca="1">IF(AND($D26="Serviço",AB$12&lt;&gt;0,$H26&gt;0,OR(AUTOEVENTO&lt;&gt;"manual",$M26&lt;&gt;1)),
IF(Import.TipoArredondamento&lt;&gt;"TransfereGOV",
ROUND(OFFSET($P26,0,AB$13),15-13*ORÇAMENTO!$AF$7)/$H26*OFFSET(ORÇAMENTO!$X$15,ROW(AB26)-ROW(AB$15),0),
ROUND(ROUND(OFFSET($P26,0,AB$13),15-13*ORÇAMENTO!$AF$7)*OFFSET(ORÇAMENTO!$W$15,ROW(AB26)-ROW(AB$15),0),15-13*ORÇAMENTO!$AF$11)),0)</f>
        <v>6591.6</v>
      </c>
      <c r="AC26" s="544">
        <f ca="1">IF(AND($D26="Serviço",AC$12&lt;&gt;0,$H26&gt;0,OR(AUTOEVENTO&lt;&gt;"manual",$M26&lt;&gt;1)),
IF(Import.TipoArredondamento&lt;&gt;"TransfereGOV",
ROUND(OFFSET($P26,0,AC$13),15-13*ORÇAMENTO!$AF$7)/$H26*OFFSET(ORÇAMENTO!$X$15,ROW(AC26)-ROW(AC$15),0),
ROUND(ROUND(OFFSET($P26,0,AC$13),15-13*ORÇAMENTO!$AF$7)*OFFSET(ORÇAMENTO!$W$15,ROW(AC26)-ROW(AC$15),0),15-13*ORÇAMENTO!$AF$11)),0)</f>
        <v>0</v>
      </c>
      <c r="AD26" s="544">
        <f ca="1">IF(AND($D26="Serviço",AD$12&lt;&gt;0,$H26&gt;0,OR(AUTOEVENTO&lt;&gt;"manual",$M26&lt;&gt;1)),
IF(Import.TipoArredondamento&lt;&gt;"TransfereGOV",
ROUND(OFFSET($P26,0,AD$13),15-13*ORÇAMENTO!$AF$7)/$H26*OFFSET(ORÇAMENTO!$X$15,ROW(AD26)-ROW(AD$15),0),
ROUND(ROUND(OFFSET($P26,0,AD$13),15-13*ORÇAMENTO!$AF$7)*OFFSET(ORÇAMENTO!$W$15,ROW(AD26)-ROW(AD$15),0),15-13*ORÇAMENTO!$AF$11)),0)</f>
        <v>0</v>
      </c>
      <c r="AE26" s="544">
        <f ca="1">IF(AND($D26="Serviço",AE$12&lt;&gt;0,$H26&gt;0,OR(AUTOEVENTO&lt;&gt;"manual",$M26&lt;&gt;1)),
IF(Import.TipoArredondamento&lt;&gt;"TransfereGOV",
ROUND(OFFSET($P26,0,AE$13),15-13*ORÇAMENTO!$AF$7)/$H26*OFFSET(ORÇAMENTO!$X$15,ROW(AE26)-ROW(AE$15),0),
ROUND(ROUND(OFFSET($P26,0,AE$13),15-13*ORÇAMENTO!$AF$7)*OFFSET(ORÇAMENTO!$W$15,ROW(AE26)-ROW(AE$15),0),15-13*ORÇAMENTO!$AF$11)),0)</f>
        <v>0</v>
      </c>
      <c r="AF26" s="544">
        <f ca="1">IF(AND($D26="Serviço",AF$12&lt;&gt;0,$H26&gt;0,OR(AUTOEVENTO&lt;&gt;"manual",$M26&lt;&gt;1)),
IF(Import.TipoArredondamento&lt;&gt;"TransfereGOV",
ROUND(OFFSET($P26,0,AF$13),15-13*ORÇAMENTO!$AF$7)/$H26*OFFSET(ORÇAMENTO!$X$15,ROW(AF26)-ROW(AF$15),0),
ROUND(ROUND(OFFSET($P26,0,AF$13),15-13*ORÇAMENTO!$AF$7)*OFFSET(ORÇAMENTO!$W$15,ROW(AF26)-ROW(AF$15),0),15-13*ORÇAMENTO!$AF$11)),0)</f>
        <v>0</v>
      </c>
      <c r="AG26" s="544">
        <f ca="1">IF(AND($D26="Serviço",AG$12&lt;&gt;0,$H26&gt;0,OR(AUTOEVENTO&lt;&gt;"manual",$M26&lt;&gt;1)),
IF(Import.TipoArredondamento&lt;&gt;"TransfereGOV",
ROUND(OFFSET($P26,0,AG$13),15-13*ORÇAMENTO!$AF$7)/$H26*OFFSET(ORÇAMENTO!$X$15,ROW(AG26)-ROW(AG$15),0),
ROUND(ROUND(OFFSET($P26,0,AG$13),15-13*ORÇAMENTO!$AF$7)*OFFSET(ORÇAMENTO!$W$15,ROW(AG26)-ROW(AG$15),0),15-13*ORÇAMENTO!$AF$11)),0)</f>
        <v>0</v>
      </c>
      <c r="AH26" s="544">
        <f ca="1">IF(AND($D26="Serviço",AH$12&lt;&gt;0,$H26&gt;0,OR(AUTOEVENTO&lt;&gt;"manual",$M26&lt;&gt;1)),
IF(Import.TipoArredondamento&lt;&gt;"TransfereGOV",
ROUND(OFFSET($P26,0,AH$13),15-13*ORÇAMENTO!$AF$7)/$H26*OFFSET(ORÇAMENTO!$X$15,ROW(AH26)-ROW(AH$15),0),
ROUND(ROUND(OFFSET($P26,0,AH$13),15-13*ORÇAMENTO!$AF$7)*OFFSET(ORÇAMENTO!$W$15,ROW(AH26)-ROW(AH$15),0),15-13*ORÇAMENTO!$AF$11)),0)</f>
        <v>0</v>
      </c>
      <c r="AI26" s="544">
        <f ca="1">IF(AND($D26="Serviço",AI$12&lt;&gt;0,$H26&gt;0,OR(AUTOEVENTO&lt;&gt;"manual",$M26&lt;&gt;1)),
IF(Import.TipoArredondamento&lt;&gt;"TransfereGOV",
ROUND(OFFSET($P26,0,AI$13),15-13*ORÇAMENTO!$AF$7)/$H26*OFFSET(ORÇAMENTO!$X$15,ROW(AI26)-ROW(AI$15),0),
ROUND(ROUND(OFFSET($P26,0,AI$13),15-13*ORÇAMENTO!$AF$7)*OFFSET(ORÇAMENTO!$W$15,ROW(AI26)-ROW(AI$15),0),15-13*ORÇAMENTO!$AF$11)),0)</f>
        <v>0</v>
      </c>
      <c r="AJ26" s="544">
        <f ca="1">IF(AND($D26="Serviço",AJ$12&lt;&gt;0,$H26&gt;0,OR(AUTOEVENTO&lt;&gt;"manual",$M26&lt;&gt;1)),
IF(Import.TipoArredondamento&lt;&gt;"TransfereGOV",
ROUND(OFFSET($P26,0,AJ$13),15-13*ORÇAMENTO!$AF$7)/$H26*OFFSET(ORÇAMENTO!$X$15,ROW(AJ26)-ROW(AJ$15),0),
ROUND(ROUND(OFFSET($P26,0,AJ$13),15-13*ORÇAMENTO!$AF$7)*OFFSET(ORÇAMENTO!$W$15,ROW(AJ26)-ROW(AJ$15),0),15-13*ORÇAMENTO!$AF$11)),0)</f>
        <v>0</v>
      </c>
      <c r="AK26" s="545">
        <f ca="1">IF(AND($D26="Serviço",AK$12&lt;&gt;0,$H26&gt;0,OR(AUTOEVENTO&lt;&gt;"manual",$M26&lt;&gt;1)),
IF(Import.TipoArredondamento&lt;&gt;"TransfereGOV",
ROUND(OFFSET($P26,0,AK$13),15-13*ORÇAMENTO!$AF$7)/$H26*OFFSET(ORÇAMENTO!$X$15,ROW(AK26)-ROW(AK$15),0),
ROUND(ROUND(OFFSET($P26,0,AK$13),15-13*ORÇAMENTO!$AF$7)*OFFSET(ORÇAMENTO!$W$15,ROW(AK26)-ROW(AK$15),0),15-13*ORÇAMENTO!$AF$11)),0)</f>
        <v>0</v>
      </c>
      <c r="AM26" s="180">
        <f ca="1">IF($D26&lt;&gt;"Serviço",0,IF(AND(AUTOEVENTO="Manual",$M26=1),0,IF(OFFSET(CRONOPLE!$F$14,$M26,AM$13)="",10^12,OFFSET(CRONOPLE!$F$14,$M26,AM$13))))</f>
        <v>1</v>
      </c>
      <c r="AN26" s="180">
        <f ca="1">IF($D26&lt;&gt;"Serviço",0,IF(AND(AUTOEVENTO="Manual",$M26=1),0,IF(OFFSET(CRONOPLE!$F$14,$M26,AN$13)="",10^12,OFFSET(CRONOPLE!$F$14,$M26,AN$13))))</f>
        <v>2</v>
      </c>
      <c r="AO26" s="180">
        <f ca="1">IF($D26&lt;&gt;"Serviço",0,IF(AND(AUTOEVENTO="Manual",$M26=1),0,IF(OFFSET(CRONOPLE!$F$14,$M26,AO$13)="",10^12,OFFSET(CRONOPLE!$F$14,$M26,AO$13))))</f>
        <v>1000000000000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1000000000000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26.4" x14ac:dyDescent="0.25">
      <c r="A27" s="7">
        <f t="shared" ca="1" si="8"/>
        <v>3</v>
      </c>
      <c r="B27" s="7" t="str">
        <f ca="1">OFFSET(ORÇAMENTO!C$15,ROW(B27)-ROW(B$15),0)</f>
        <v>S</v>
      </c>
      <c r="C27" s="7" t="str">
        <f ca="1">OFFSET(ORÇAMENTO!L$15,ROW(C27)-ROW(C$15),0)</f>
        <v>F</v>
      </c>
      <c r="D27" s="117" t="str">
        <f ca="1">OFFSET(ORÇAMENTO!N$15,ROW(D27)-ROW(D$15),0)</f>
        <v>Serviço</v>
      </c>
      <c r="E27" s="118" t="str">
        <f ca="1">OFFSET(ORÇAMENTO!O$15,ROW(E27)-ROW(E$15),0)</f>
        <v>1.2.8.</v>
      </c>
      <c r="F27" s="171" t="str">
        <f ca="1">OFFSET(ORÇAMENTO!R$15,ROW(F27)-ROW(F$15),0)</f>
        <v>LUMINÁRIA TIPO PLAFON CIRCULAR, DE SOBREPOR, COM LED DE 12/13 W - FORNECIMENTO E INSTALAÇÃO. AF_09/2024</v>
      </c>
      <c r="G27" s="172" t="str">
        <f ca="1">IF($D27&lt;&gt;"Serviço","",OFFSET(ORÇAMENTO!S$15,ROW(G27)-ROW(G$15),0))</f>
        <v>UN</v>
      </c>
      <c r="H27" s="123">
        <f ca="1">IF($D27&lt;&gt;"Serviço",0,IF(ACOMPANHAMENTO="BM",ROUND(OFFSET(ORÇAMENTO!AJ$15,ROW(H27)-ROW(H$15),0),15-13*ORÇAMENTO!$AF$7),SUMPRODUCT(($Q$12:$AA$12&lt;&gt;"")*ROUND($Q27:$AA27,15-13*ORÇAMENTO!$AF$7))))</f>
        <v>38</v>
      </c>
      <c r="I27" s="560" t="s">
        <v>481</v>
      </c>
      <c r="K27" s="173" t="s">
        <v>486</v>
      </c>
      <c r="L27" s="174" t="s">
        <v>255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3</v>
      </c>
      <c r="N27" s="176" t="str">
        <f ca="1">IF($D27&lt;&gt;"Serviço","",IF(AUTOEVENTO="Manual",IF($A27=0,"&lt;-- defina o número do agrupador",OFFSET(EVENTOS!$D$14,$A27,0)),OFFSET($F$15,$A27,0)))</f>
        <v>EMBOÇO, FORRO, LOUÇAS E PORTAS</v>
      </c>
      <c r="O27" s="177"/>
      <c r="Q27" s="177" t="s">
        <v>481</v>
      </c>
      <c r="R27" s="178"/>
      <c r="S27" s="178"/>
      <c r="T27" s="178"/>
      <c r="U27" s="178"/>
      <c r="V27" s="178"/>
      <c r="W27" s="178"/>
      <c r="X27" s="178"/>
      <c r="Y27" s="178"/>
      <c r="Z27" s="179"/>
      <c r="AB27" s="543">
        <f ca="1">IF(AND($D27="Serviço",AB$12&lt;&gt;0,$H27&gt;0,OR(AUTOEVENTO&lt;&gt;"manual",$M27&lt;&gt;1)),
IF(Import.TipoArredondamento&lt;&gt;"TransfereGOV",
ROUND(OFFSET($P27,0,AB$13),15-13*ORÇAMENTO!$AF$7)/$H27*OFFSET(ORÇAMENTO!$X$15,ROW(AB27)-ROW(AB$15),0),
ROUND(ROUND(OFFSET($P27,0,AB$13),15-13*ORÇAMENTO!$AF$7)*OFFSET(ORÇAMENTO!$W$15,ROW(AB27)-ROW(AB$15),0),15-13*ORÇAMENTO!$AF$11)),0)</f>
        <v>1495.68</v>
      </c>
      <c r="AC27" s="544">
        <f ca="1">IF(AND($D27="Serviço",AC$12&lt;&gt;0,$H27&gt;0,OR(AUTOEVENTO&lt;&gt;"manual",$M27&lt;&gt;1)),
IF(Import.TipoArredondamento&lt;&gt;"TransfereGOV",
ROUND(OFFSET($P27,0,AC$13),15-13*ORÇAMENTO!$AF$7)/$H27*OFFSET(ORÇAMENTO!$X$15,ROW(AC27)-ROW(AC$15),0),
ROUND(ROUND(OFFSET($P27,0,AC$13),15-13*ORÇAMENTO!$AF$7)*OFFSET(ORÇAMENTO!$W$15,ROW(AC27)-ROW(AC$15),0),15-13*ORÇAMENTO!$AF$11)),0)</f>
        <v>0</v>
      </c>
      <c r="AD27" s="544">
        <f ca="1">IF(AND($D27="Serviço",AD$12&lt;&gt;0,$H27&gt;0,OR(AUTOEVENTO&lt;&gt;"manual",$M27&lt;&gt;1)),
IF(Import.TipoArredondamento&lt;&gt;"TransfereGOV",
ROUND(OFFSET($P27,0,AD$13),15-13*ORÇAMENTO!$AF$7)/$H27*OFFSET(ORÇAMENTO!$X$15,ROW(AD27)-ROW(AD$15),0),
ROUND(ROUND(OFFSET($P27,0,AD$13),15-13*ORÇAMENTO!$AF$7)*OFFSET(ORÇAMENTO!$W$15,ROW(AD27)-ROW(AD$15),0),15-13*ORÇAMENTO!$AF$11)),0)</f>
        <v>0</v>
      </c>
      <c r="AE27" s="544">
        <f ca="1">IF(AND($D27="Serviço",AE$12&lt;&gt;0,$H27&gt;0,OR(AUTOEVENTO&lt;&gt;"manual",$M27&lt;&gt;1)),
IF(Import.TipoArredondamento&lt;&gt;"TransfereGOV",
ROUND(OFFSET($P27,0,AE$13),15-13*ORÇAMENTO!$AF$7)/$H27*OFFSET(ORÇAMENTO!$X$15,ROW(AE27)-ROW(AE$15),0),
ROUND(ROUND(OFFSET($P27,0,AE$13),15-13*ORÇAMENTO!$AF$7)*OFFSET(ORÇAMENTO!$W$15,ROW(AE27)-ROW(AE$15),0),15-13*ORÇAMENTO!$AF$11)),0)</f>
        <v>0</v>
      </c>
      <c r="AF27" s="544">
        <f ca="1">IF(AND($D27="Serviço",AF$12&lt;&gt;0,$H27&gt;0,OR(AUTOEVENTO&lt;&gt;"manual",$M27&lt;&gt;1)),
IF(Import.TipoArredondamento&lt;&gt;"TransfereGOV",
ROUND(OFFSET($P27,0,AF$13),15-13*ORÇAMENTO!$AF$7)/$H27*OFFSET(ORÇAMENTO!$X$15,ROW(AF27)-ROW(AF$15),0),
ROUND(ROUND(OFFSET($P27,0,AF$13),15-13*ORÇAMENTO!$AF$7)*OFFSET(ORÇAMENTO!$W$15,ROW(AF27)-ROW(AF$15),0),15-13*ORÇAMENTO!$AF$11)),0)</f>
        <v>0</v>
      </c>
      <c r="AG27" s="544">
        <f ca="1">IF(AND($D27="Serviço",AG$12&lt;&gt;0,$H27&gt;0,OR(AUTOEVENTO&lt;&gt;"manual",$M27&lt;&gt;1)),
IF(Import.TipoArredondamento&lt;&gt;"TransfereGOV",
ROUND(OFFSET($P27,0,AG$13),15-13*ORÇAMENTO!$AF$7)/$H27*OFFSET(ORÇAMENTO!$X$15,ROW(AG27)-ROW(AG$15),0),
ROUND(ROUND(OFFSET($P27,0,AG$13),15-13*ORÇAMENTO!$AF$7)*OFFSET(ORÇAMENTO!$W$15,ROW(AG27)-ROW(AG$15),0),15-13*ORÇAMENTO!$AF$11)),0)</f>
        <v>0</v>
      </c>
      <c r="AH27" s="544">
        <f ca="1">IF(AND($D27="Serviço",AH$12&lt;&gt;0,$H27&gt;0,OR(AUTOEVENTO&lt;&gt;"manual",$M27&lt;&gt;1)),
IF(Import.TipoArredondamento&lt;&gt;"TransfereGOV",
ROUND(OFFSET($P27,0,AH$13),15-13*ORÇAMENTO!$AF$7)/$H27*OFFSET(ORÇAMENTO!$X$15,ROW(AH27)-ROW(AH$15),0),
ROUND(ROUND(OFFSET($P27,0,AH$13),15-13*ORÇAMENTO!$AF$7)*OFFSET(ORÇAMENTO!$W$15,ROW(AH27)-ROW(AH$15),0),15-13*ORÇAMENTO!$AF$11)),0)</f>
        <v>0</v>
      </c>
      <c r="AI27" s="544">
        <f ca="1">IF(AND($D27="Serviço",AI$12&lt;&gt;0,$H27&gt;0,OR(AUTOEVENTO&lt;&gt;"manual",$M27&lt;&gt;1)),
IF(Import.TipoArredondamento&lt;&gt;"TransfereGOV",
ROUND(OFFSET($P27,0,AI$13),15-13*ORÇAMENTO!$AF$7)/$H27*OFFSET(ORÇAMENTO!$X$15,ROW(AI27)-ROW(AI$15),0),
ROUND(ROUND(OFFSET($P27,0,AI$13),15-13*ORÇAMENTO!$AF$7)*OFFSET(ORÇAMENTO!$W$15,ROW(AI27)-ROW(AI$15),0),15-13*ORÇAMENTO!$AF$11)),0)</f>
        <v>0</v>
      </c>
      <c r="AJ27" s="544">
        <f ca="1">IF(AND($D27="Serviço",AJ$12&lt;&gt;0,$H27&gt;0,OR(AUTOEVENTO&lt;&gt;"manual",$M27&lt;&gt;1)),
IF(Import.TipoArredondamento&lt;&gt;"TransfereGOV",
ROUND(OFFSET($P27,0,AJ$13),15-13*ORÇAMENTO!$AF$7)/$H27*OFFSET(ORÇAMENTO!$X$15,ROW(AJ27)-ROW(AJ$15),0),
ROUND(ROUND(OFFSET($P27,0,AJ$13),15-13*ORÇAMENTO!$AF$7)*OFFSET(ORÇAMENTO!$W$15,ROW(AJ27)-ROW(AJ$15),0),15-13*ORÇAMENTO!$AF$11)),0)</f>
        <v>0</v>
      </c>
      <c r="AK27" s="545">
        <f ca="1">IF(AND($D27="Serviço",AK$12&lt;&gt;0,$H27&gt;0,OR(AUTOEVENTO&lt;&gt;"manual",$M27&lt;&gt;1)),
IF(Import.TipoArredondamento&lt;&gt;"TransfereGOV",
ROUND(OFFSET($P27,0,AK$13),15-13*ORÇAMENTO!$AF$7)/$H27*OFFSET(ORÇAMENTO!$X$15,ROW(AK27)-ROW(AK$15),0),
ROUND(ROUND(OFFSET($P27,0,AK$13),15-13*ORÇAMENTO!$AF$7)*OFFSET(ORÇAMENTO!$W$15,ROW(AK27)-ROW(AK$15),0),15-13*ORÇAMENTO!$AF$11)),0)</f>
        <v>0</v>
      </c>
      <c r="AM27" s="180">
        <f ca="1">IF($D27&lt;&gt;"Serviço",0,IF(AND(AUTOEVENTO="Manual",$M27=1),0,IF(OFFSET(CRONOPLE!$F$14,$M27,AM$13)="",10^12,OFFSET(CRONOPLE!$F$14,$M27,AM$13))))</f>
        <v>1</v>
      </c>
      <c r="AN27" s="180">
        <f ca="1">IF($D27&lt;&gt;"Serviço",0,IF(AND(AUTOEVENTO="Manual",$M27=1),0,IF(OFFSET(CRONOPLE!$F$14,$M27,AN$13)="",10^12,OFFSET(CRONOPLE!$F$14,$M27,AN$13))))</f>
        <v>2</v>
      </c>
      <c r="AO27" s="180">
        <f ca="1">IF($D27&lt;&gt;"Serviço",0,IF(AND(AUTOEVENTO="Manual",$M27=1),0,IF(OFFSET(CRONOPLE!$F$14,$M27,AO$13)="",10^12,OFFSET(CRONOPLE!$F$14,$M27,AO$13))))</f>
        <v>1000000000000</v>
      </c>
      <c r="AP27" s="180">
        <f ca="1">IF($D27&lt;&gt;"Serviço",0,IF(AND(AUTOEVENTO="Manual",$M27=1),0,IF(OFFSET(CRONOPLE!$F$14,$M27,AP$13)="",10^12,OFFSET(CRONOPLE!$F$14,$M27,AP$13))))</f>
        <v>1000000000000</v>
      </c>
      <c r="AQ27" s="180">
        <f ca="1">IF($D27&lt;&gt;"Serviço",0,IF(AND(AUTOEVENTO="Manual",$M27=1),0,IF(OFFSET(CRONOPLE!$F$14,$M27,AQ$13)="",10^12,OFFSET(CRONOPLE!$F$14,$M27,AQ$13))))</f>
        <v>1000000000000</v>
      </c>
      <c r="AR27" s="180">
        <f ca="1">IF($D27&lt;&gt;"Serviço",0,IF(AND(AUTOEVENTO="Manual",$M27=1),0,IF(OFFSET(CRONOPLE!$F$14,$M27,AR$13)="",10^12,OFFSET(CRONOPLE!$F$14,$M27,AR$13))))</f>
        <v>1000000000000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ht="26.4" x14ac:dyDescent="0.25">
      <c r="A28" s="7">
        <f ca="1">IF(AUTOEVENTO="Manual",IF(K28&lt;&gt;"",MIN(VALUE(LEFT(K28,FIND(".",K28)-1)),COUNTA(EVENTOS.Lista)),0),IF(OR($B28&gt;AUTOEVENTO,$B28="S",$B28=0),SUBSTITUTE(OFFSET($A28,-1,0),IF($D28="Serviço",".",""),""),ROW(A28)-ROW($A$15)&amp;"."))</f>
        <v>3</v>
      </c>
      <c r="B28" s="7" t="str">
        <f ca="1">OFFSET(ORÇAMENTO!C$15,ROW(B28)-ROW(B$15),0)</f>
        <v>S</v>
      </c>
      <c r="C28" s="7" t="str">
        <f ca="1">OFFSET(ORÇAMENTO!L$15,ROW(C28)-ROW(C$15),0)</f>
        <v>F</v>
      </c>
      <c r="D28" s="117" t="str">
        <f ca="1">OFFSET(ORÇAMENTO!N$15,ROW(D28)-ROW(D$15),0)</f>
        <v>Serviço</v>
      </c>
      <c r="E28" s="118" t="str">
        <f ca="1">OFFSET(ORÇAMENTO!O$15,ROW(E28)-ROW(E$15),0)</f>
        <v>1.2.9.</v>
      </c>
      <c r="F28" s="171" t="str">
        <f ca="1">OFFSET(ORÇAMENTO!R$15,ROW(F28)-ROW(F$15),0)</f>
        <v>CHUVEIRO ELÉTRICO COMUM CORPO PLÁSTICO, TIPO DUCHA - FORNECIMENTO E INSTALAÇÃO. AF_01/2020</v>
      </c>
      <c r="G28" s="172" t="str">
        <f ca="1">IF($D28&lt;&gt;"Serviço","",OFFSET(ORÇAMENTO!S$15,ROW(G28)-ROW(G$15),0))</f>
        <v>UN</v>
      </c>
      <c r="H28" s="123">
        <f ca="1">IF($D28&lt;&gt;"Serviço",0,IF(ACOMPANHAMENTO="BM",ROUND(OFFSET(ORÇAMENTO!AJ$15,ROW(H28)-ROW(H$15),0),15-13*ORÇAMENTO!$AF$7),SUMPRODUCT(($Q$12:$AA$12&lt;&gt;"")*ROUND($Q28:$AA28,15-13*ORÇAMENTO!$AF$7))))</f>
        <v>4</v>
      </c>
      <c r="I28" s="560" t="s">
        <v>479</v>
      </c>
      <c r="K28" s="173" t="s">
        <v>486</v>
      </c>
      <c r="L28" s="174" t="s">
        <v>255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3</v>
      </c>
      <c r="N28" s="176" t="str">
        <f ca="1">IF($D28&lt;&gt;"Serviço","",IF(AUTOEVENTO="Manual",IF($A28=0,"&lt;-- defina o número do agrupador",OFFSET(EVENTOS!$D$14,$A28,0)),OFFSET($F$15,$A28,0)))</f>
        <v>EMBOÇO, FORRO, LOUÇAS E PORTAS</v>
      </c>
      <c r="O28" s="177"/>
      <c r="Q28" s="177">
        <v>4</v>
      </c>
      <c r="R28" s="178"/>
      <c r="S28" s="178"/>
      <c r="T28" s="178"/>
      <c r="U28" s="178"/>
      <c r="V28" s="178"/>
      <c r="W28" s="178"/>
      <c r="X28" s="178"/>
      <c r="Y28" s="178"/>
      <c r="Z28" s="179"/>
      <c r="AB28" s="543">
        <f ca="1">IF(AND($D28="Serviço",AB$12&lt;&gt;0,$H28&gt;0,OR(AUTOEVENTO&lt;&gt;"manual",$M28&lt;&gt;1)),
IF(Import.TipoArredondamento&lt;&gt;"TransfereGOV",
ROUND(OFFSET($P28,0,AB$13),15-13*ORÇAMENTO!$AF$7)/$H28*OFFSET(ORÇAMENTO!$X$15,ROW(AB28)-ROW(AB$15),0),
ROUND(ROUND(OFFSET($P28,0,AB$13),15-13*ORÇAMENTO!$AF$7)*OFFSET(ORÇAMENTO!$W$15,ROW(AB28)-ROW(AB$15),0),15-13*ORÇAMENTO!$AF$11)),0)</f>
        <v>457.76</v>
      </c>
      <c r="AC28" s="544">
        <f ca="1">IF(AND($D28="Serviço",AC$12&lt;&gt;0,$H28&gt;0,OR(AUTOEVENTO&lt;&gt;"manual",$M28&lt;&gt;1)),
IF(Import.TipoArredondamento&lt;&gt;"TransfereGOV",
ROUND(OFFSET($P28,0,AC$13),15-13*ORÇAMENTO!$AF$7)/$H28*OFFSET(ORÇAMENTO!$X$15,ROW(AC28)-ROW(AC$15),0),
ROUND(ROUND(OFFSET($P28,0,AC$13),15-13*ORÇAMENTO!$AF$7)*OFFSET(ORÇAMENTO!$W$15,ROW(AC28)-ROW(AC$15),0),15-13*ORÇAMENTO!$AF$11)),0)</f>
        <v>0</v>
      </c>
      <c r="AD28" s="544">
        <f ca="1">IF(AND($D28="Serviço",AD$12&lt;&gt;0,$H28&gt;0,OR(AUTOEVENTO&lt;&gt;"manual",$M28&lt;&gt;1)),
IF(Import.TipoArredondamento&lt;&gt;"TransfereGOV",
ROUND(OFFSET($P28,0,AD$13),15-13*ORÇAMENTO!$AF$7)/$H28*OFFSET(ORÇAMENTO!$X$15,ROW(AD28)-ROW(AD$15),0),
ROUND(ROUND(OFFSET($P28,0,AD$13),15-13*ORÇAMENTO!$AF$7)*OFFSET(ORÇAMENTO!$W$15,ROW(AD28)-ROW(AD$15),0),15-13*ORÇAMENTO!$AF$11)),0)</f>
        <v>0</v>
      </c>
      <c r="AE28" s="544">
        <f ca="1">IF(AND($D28="Serviço",AE$12&lt;&gt;0,$H28&gt;0,OR(AUTOEVENTO&lt;&gt;"manual",$M28&lt;&gt;1)),
IF(Import.TipoArredondamento&lt;&gt;"TransfereGOV",
ROUND(OFFSET($P28,0,AE$13),15-13*ORÇAMENTO!$AF$7)/$H28*OFFSET(ORÇAMENTO!$X$15,ROW(AE28)-ROW(AE$15),0),
ROUND(ROUND(OFFSET($P28,0,AE$13),15-13*ORÇAMENTO!$AF$7)*OFFSET(ORÇAMENTO!$W$15,ROW(AE28)-ROW(AE$15),0),15-13*ORÇAMENTO!$AF$11)),0)</f>
        <v>0</v>
      </c>
      <c r="AF28" s="544">
        <f ca="1">IF(AND($D28="Serviço",AF$12&lt;&gt;0,$H28&gt;0,OR(AUTOEVENTO&lt;&gt;"manual",$M28&lt;&gt;1)),
IF(Import.TipoArredondamento&lt;&gt;"TransfereGOV",
ROUND(OFFSET($P28,0,AF$13),15-13*ORÇAMENTO!$AF$7)/$H28*OFFSET(ORÇAMENTO!$X$15,ROW(AF28)-ROW(AF$15),0),
ROUND(ROUND(OFFSET($P28,0,AF$13),15-13*ORÇAMENTO!$AF$7)*OFFSET(ORÇAMENTO!$W$15,ROW(AF28)-ROW(AF$15),0),15-13*ORÇAMENTO!$AF$11)),0)</f>
        <v>0</v>
      </c>
      <c r="AG28" s="544">
        <f ca="1">IF(AND($D28="Serviço",AG$12&lt;&gt;0,$H28&gt;0,OR(AUTOEVENTO&lt;&gt;"manual",$M28&lt;&gt;1)),
IF(Import.TipoArredondamento&lt;&gt;"TransfereGOV",
ROUND(OFFSET($P28,0,AG$13),15-13*ORÇAMENTO!$AF$7)/$H28*OFFSET(ORÇAMENTO!$X$15,ROW(AG28)-ROW(AG$15),0),
ROUND(ROUND(OFFSET($P28,0,AG$13),15-13*ORÇAMENTO!$AF$7)*OFFSET(ORÇAMENTO!$W$15,ROW(AG28)-ROW(AG$15),0),15-13*ORÇAMENTO!$AF$11)),0)</f>
        <v>0</v>
      </c>
      <c r="AH28" s="544">
        <f ca="1">IF(AND($D28="Serviço",AH$12&lt;&gt;0,$H28&gt;0,OR(AUTOEVENTO&lt;&gt;"manual",$M28&lt;&gt;1)),
IF(Import.TipoArredondamento&lt;&gt;"TransfereGOV",
ROUND(OFFSET($P28,0,AH$13),15-13*ORÇAMENTO!$AF$7)/$H28*OFFSET(ORÇAMENTO!$X$15,ROW(AH28)-ROW(AH$15),0),
ROUND(ROUND(OFFSET($P28,0,AH$13),15-13*ORÇAMENTO!$AF$7)*OFFSET(ORÇAMENTO!$W$15,ROW(AH28)-ROW(AH$15),0),15-13*ORÇAMENTO!$AF$11)),0)</f>
        <v>0</v>
      </c>
      <c r="AI28" s="544">
        <f ca="1">IF(AND($D28="Serviço",AI$12&lt;&gt;0,$H28&gt;0,OR(AUTOEVENTO&lt;&gt;"manual",$M28&lt;&gt;1)),
IF(Import.TipoArredondamento&lt;&gt;"TransfereGOV",
ROUND(OFFSET($P28,0,AI$13),15-13*ORÇAMENTO!$AF$7)/$H28*OFFSET(ORÇAMENTO!$X$15,ROW(AI28)-ROW(AI$15),0),
ROUND(ROUND(OFFSET($P28,0,AI$13),15-13*ORÇAMENTO!$AF$7)*OFFSET(ORÇAMENTO!$W$15,ROW(AI28)-ROW(AI$15),0),15-13*ORÇAMENTO!$AF$11)),0)</f>
        <v>0</v>
      </c>
      <c r="AJ28" s="544">
        <f ca="1">IF(AND($D28="Serviço",AJ$12&lt;&gt;0,$H28&gt;0,OR(AUTOEVENTO&lt;&gt;"manual",$M28&lt;&gt;1)),
IF(Import.TipoArredondamento&lt;&gt;"TransfereGOV",
ROUND(OFFSET($P28,0,AJ$13),15-13*ORÇAMENTO!$AF$7)/$H28*OFFSET(ORÇAMENTO!$X$15,ROW(AJ28)-ROW(AJ$15),0),
ROUND(ROUND(OFFSET($P28,0,AJ$13),15-13*ORÇAMENTO!$AF$7)*OFFSET(ORÇAMENTO!$W$15,ROW(AJ28)-ROW(AJ$15),0),15-13*ORÇAMENTO!$AF$11)),0)</f>
        <v>0</v>
      </c>
      <c r="AK28" s="545">
        <f ca="1">IF(AND($D28="Serviço",AK$12&lt;&gt;0,$H28&gt;0,OR(AUTOEVENTO&lt;&gt;"manual",$M28&lt;&gt;1)),
IF(Import.TipoArredondamento&lt;&gt;"TransfereGOV",
ROUND(OFFSET($P28,0,AK$13),15-13*ORÇAMENTO!$AF$7)/$H28*OFFSET(ORÇAMENTO!$X$15,ROW(AK28)-ROW(AK$15),0),
ROUND(ROUND(OFFSET($P28,0,AK$13),15-13*ORÇAMENTO!$AF$7)*OFFSET(ORÇAMENTO!$W$15,ROW(AK28)-ROW(AK$15),0),15-13*ORÇAMENTO!$AF$11)),0)</f>
        <v>0</v>
      </c>
      <c r="AM28" s="180">
        <f ca="1">IF($D28&lt;&gt;"Serviço",0,IF(AND(AUTOEVENTO="Manual",$M28=1),0,IF(OFFSET(CRONOPLE!$F$14,$M28,AM$13)="",10^12,OFFSET(CRONOPLE!$F$14,$M28,AM$13))))</f>
        <v>1</v>
      </c>
      <c r="AN28" s="180">
        <f ca="1">IF($D28&lt;&gt;"Serviço",0,IF(AND(AUTOEVENTO="Manual",$M28=1),0,IF(OFFSET(CRONOPLE!$F$14,$M28,AN$13)="",10^12,OFFSET(CRONOPLE!$F$14,$M28,AN$13))))</f>
        <v>2</v>
      </c>
      <c r="AO28" s="180">
        <f ca="1">IF($D28&lt;&gt;"Serviço",0,IF(AND(AUTOEVENTO="Manual",$M28=1),0,IF(OFFSET(CRONOPLE!$F$14,$M28,AO$13)="",10^12,OFFSET(CRONOPLE!$F$14,$M28,AO$13))))</f>
        <v>1000000000000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1000000000000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3.2" x14ac:dyDescent="0.25">
      <c r="A29" s="7">
        <f t="shared" ca="1" si="8"/>
        <v>5</v>
      </c>
      <c r="B29" s="7">
        <f ca="1">OFFSET(ORÇAMENTO!C$15,ROW(B29)-ROW(B$15),0)</f>
        <v>2</v>
      </c>
      <c r="C29" s="7" t="str">
        <f ca="1">OFFSET(ORÇAMENTO!L$15,ROW(C29)-ROW(C$15),0)</f>
        <v>F</v>
      </c>
      <c r="D29" s="117" t="str">
        <f ca="1">OFFSET(ORÇAMENTO!N$15,ROW(D29)-ROW(D$15),0)</f>
        <v>Nível 2</v>
      </c>
      <c r="E29" s="118" t="str">
        <f ca="1">OFFSET(ORÇAMENTO!O$15,ROW(E29)-ROW(E$15),0)</f>
        <v>1.3.</v>
      </c>
      <c r="F29" s="171" t="str">
        <f ca="1">OFFSET(ORÇAMENTO!R$15,ROW(F29)-ROW(F$15),0)</f>
        <v>PINTURA</v>
      </c>
      <c r="G29" s="172" t="str">
        <f ca="1">IF($D29&lt;&gt;"Serviço","",OFFSET(ORÇAMENTO!S$15,ROW(G29)-ROW(G$15),0))</f>
        <v/>
      </c>
      <c r="H29" s="123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0" t="s">
        <v>449</v>
      </c>
      <c r="K29" s="173" t="s">
        <v>454</v>
      </c>
      <c r="L29" s="174" t="s">
        <v>255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>
        <v>10</v>
      </c>
      <c r="U29" s="178"/>
      <c r="V29" s="178"/>
      <c r="W29" s="178"/>
      <c r="X29" s="178"/>
      <c r="Y29" s="178"/>
      <c r="Z29" s="179"/>
      <c r="AB29" s="543">
        <f ca="1">IF(AND($D29="Serviço",AB$12&lt;&gt;0,$H29&gt;0,OR(AUTOEVENTO&lt;&gt;"manual",$M29&lt;&gt;1)),
IF(Import.TipoArredondamento&lt;&gt;"TransfereGOV",
ROUND(OFFSET($P29,0,AB$13),15-13*ORÇAMENTO!$AF$7)/$H29*OFFSET(ORÇAMENTO!$X$15,ROW(AB29)-ROW(AB$15),0),
ROUND(ROUND(OFFSET($P29,0,AB$13),15-13*ORÇAMENTO!$AF$7)*OFFSET(ORÇAMENTO!$W$15,ROW(AB29)-ROW(AB$15),0),15-13*ORÇAMENTO!$AF$11)),0)</f>
        <v>0</v>
      </c>
      <c r="AC29" s="544">
        <f ca="1">IF(AND($D29="Serviço",AC$12&lt;&gt;0,$H29&gt;0,OR(AUTOEVENTO&lt;&gt;"manual",$M29&lt;&gt;1)),
IF(Import.TipoArredondamento&lt;&gt;"TransfereGOV",
ROUND(OFFSET($P29,0,AC$13),15-13*ORÇAMENTO!$AF$7)/$H29*OFFSET(ORÇAMENTO!$X$15,ROW(AC29)-ROW(AC$15),0),
ROUND(ROUND(OFFSET($P29,0,AC$13),15-13*ORÇAMENTO!$AF$7)*OFFSET(ORÇAMENTO!$W$15,ROW(AC29)-ROW(AC$15),0),15-13*ORÇAMENTO!$AF$11)),0)</f>
        <v>0</v>
      </c>
      <c r="AD29" s="544">
        <f ca="1">IF(AND($D29="Serviço",AD$12&lt;&gt;0,$H29&gt;0,OR(AUTOEVENTO&lt;&gt;"manual",$M29&lt;&gt;1)),
IF(Import.TipoArredondamento&lt;&gt;"TransfereGOV",
ROUND(OFFSET($P29,0,AD$13),15-13*ORÇAMENTO!$AF$7)/$H29*OFFSET(ORÇAMENTO!$X$15,ROW(AD29)-ROW(AD$15),0),
ROUND(ROUND(OFFSET($P29,0,AD$13),15-13*ORÇAMENTO!$AF$7)*OFFSET(ORÇAMENTO!$W$15,ROW(AD29)-ROW(AD$15),0),15-13*ORÇAMENTO!$AF$11)),0)</f>
        <v>0</v>
      </c>
      <c r="AE29" s="544">
        <f ca="1">IF(AND($D29="Serviço",AE$12&lt;&gt;0,$H29&gt;0,OR(AUTOEVENTO&lt;&gt;"manual",$M29&lt;&gt;1)),
IF(Import.TipoArredondamento&lt;&gt;"TransfereGOV",
ROUND(OFFSET($P29,0,AE$13),15-13*ORÇAMENTO!$AF$7)/$H29*OFFSET(ORÇAMENTO!$X$15,ROW(AE29)-ROW(AE$15),0),
ROUND(ROUND(OFFSET($P29,0,AE$13),15-13*ORÇAMENTO!$AF$7)*OFFSET(ORÇAMENTO!$W$15,ROW(AE29)-ROW(AE$15),0),15-13*ORÇAMENTO!$AF$11)),0)</f>
        <v>0</v>
      </c>
      <c r="AF29" s="544">
        <f ca="1">IF(AND($D29="Serviço",AF$12&lt;&gt;0,$H29&gt;0,OR(AUTOEVENTO&lt;&gt;"manual",$M29&lt;&gt;1)),
IF(Import.TipoArredondamento&lt;&gt;"TransfereGOV",
ROUND(OFFSET($P29,0,AF$13),15-13*ORÇAMENTO!$AF$7)/$H29*OFFSET(ORÇAMENTO!$X$15,ROW(AF29)-ROW(AF$15),0),
ROUND(ROUND(OFFSET($P29,0,AF$13),15-13*ORÇAMENTO!$AF$7)*OFFSET(ORÇAMENTO!$W$15,ROW(AF29)-ROW(AF$15),0),15-13*ORÇAMENTO!$AF$11)),0)</f>
        <v>0</v>
      </c>
      <c r="AG29" s="544">
        <f ca="1">IF(AND($D29="Serviço",AG$12&lt;&gt;0,$H29&gt;0,OR(AUTOEVENTO&lt;&gt;"manual",$M29&lt;&gt;1)),
IF(Import.TipoArredondamento&lt;&gt;"TransfereGOV",
ROUND(OFFSET($P29,0,AG$13),15-13*ORÇAMENTO!$AF$7)/$H29*OFFSET(ORÇAMENTO!$X$15,ROW(AG29)-ROW(AG$15),0),
ROUND(ROUND(OFFSET($P29,0,AG$13),15-13*ORÇAMENTO!$AF$7)*OFFSET(ORÇAMENTO!$W$15,ROW(AG29)-ROW(AG$15),0),15-13*ORÇAMENTO!$AF$11)),0)</f>
        <v>0</v>
      </c>
      <c r="AH29" s="544">
        <f ca="1">IF(AND($D29="Serviço",AH$12&lt;&gt;0,$H29&gt;0,OR(AUTOEVENTO&lt;&gt;"manual",$M29&lt;&gt;1)),
IF(Import.TipoArredondamento&lt;&gt;"TransfereGOV",
ROUND(OFFSET($P29,0,AH$13),15-13*ORÇAMENTO!$AF$7)/$H29*OFFSET(ORÇAMENTO!$X$15,ROW(AH29)-ROW(AH$15),0),
ROUND(ROUND(OFFSET($P29,0,AH$13),15-13*ORÇAMENTO!$AF$7)*OFFSET(ORÇAMENTO!$W$15,ROW(AH29)-ROW(AH$15),0),15-13*ORÇAMENTO!$AF$11)),0)</f>
        <v>0</v>
      </c>
      <c r="AI29" s="544">
        <f ca="1">IF(AND($D29="Serviço",AI$12&lt;&gt;0,$H29&gt;0,OR(AUTOEVENTO&lt;&gt;"manual",$M29&lt;&gt;1)),
IF(Import.TipoArredondamento&lt;&gt;"TransfereGOV",
ROUND(OFFSET($P29,0,AI$13),15-13*ORÇAMENTO!$AF$7)/$H29*OFFSET(ORÇAMENTO!$X$15,ROW(AI29)-ROW(AI$15),0),
ROUND(ROUND(OFFSET($P29,0,AI$13),15-13*ORÇAMENTO!$AF$7)*OFFSET(ORÇAMENTO!$W$15,ROW(AI29)-ROW(AI$15),0),15-13*ORÇAMENTO!$AF$11)),0)</f>
        <v>0</v>
      </c>
      <c r="AJ29" s="544">
        <f ca="1">IF(AND($D29="Serviço",AJ$12&lt;&gt;0,$H29&gt;0,OR(AUTOEVENTO&lt;&gt;"manual",$M29&lt;&gt;1)),
IF(Import.TipoArredondamento&lt;&gt;"TransfereGOV",
ROUND(OFFSET($P29,0,AJ$13),15-13*ORÇAMENTO!$AF$7)/$H29*OFFSET(ORÇAMENTO!$X$15,ROW(AJ29)-ROW(AJ$15),0),
ROUND(ROUND(OFFSET($P29,0,AJ$13),15-13*ORÇAMENTO!$AF$7)*OFFSET(ORÇAMENTO!$W$15,ROW(AJ29)-ROW(AJ$15),0),15-13*ORÇAMENTO!$AF$11)),0)</f>
        <v>0</v>
      </c>
      <c r="AK29" s="545">
        <f ca="1">IF(AND($D29="Serviço",AK$12&lt;&gt;0,$H29&gt;0,OR(AUTOEVENTO&lt;&gt;"manual",$M29&lt;&gt;1)),
IF(Import.TipoArredondamento&lt;&gt;"TransfereGOV",
ROUND(OFFSET($P29,0,AK$13),15-13*ORÇAMENTO!$AF$7)/$H29*OFFSET(ORÇAMENTO!$X$15,ROW(AK29)-ROW(AK$15),0),
ROUND(ROUND(OFFSET($P29,0,AK$13),15-13*ORÇAMENTO!$AF$7)*OFFSET(ORÇAMENTO!$W$15,ROW(AK29)-ROW(AK$15),0),15-13*ORÇAMENTO!$AF$11)),0)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26.4" x14ac:dyDescent="0.25">
      <c r="A30" s="7">
        <f t="shared" ca="1" si="8"/>
        <v>4</v>
      </c>
      <c r="B30" s="7" t="str">
        <f ca="1">OFFSET(ORÇAMENTO!C$15,ROW(B30)-ROW(B$15),0)</f>
        <v>S</v>
      </c>
      <c r="C30" s="7" t="str">
        <f ca="1">OFFSET(ORÇAMENTO!L$15,ROW(C30)-ROW(C$15),0)</f>
        <v>F</v>
      </c>
      <c r="D30" s="117" t="str">
        <f ca="1">OFFSET(ORÇAMENTO!N$15,ROW(D30)-ROW(D$15),0)</f>
        <v>Serviço</v>
      </c>
      <c r="E30" s="118" t="str">
        <f ca="1">OFFSET(ORÇAMENTO!O$15,ROW(E30)-ROW(E$15),0)</f>
        <v>1.3.1.</v>
      </c>
      <c r="F30" s="171" t="str">
        <f ca="1">OFFSET(ORÇAMENTO!R$15,ROW(F30)-ROW(F$15),0)</f>
        <v>PINTURA LÁTEX ACRÍLICA PREMIUM, APLICAÇÃO MANUAL EM PAREDES, DUAS DEMÃOS. AF_04/2023</v>
      </c>
      <c r="G30" s="172" t="str">
        <f ca="1">IF($D30&lt;&gt;"Serviço","",OFFSET(ORÇAMENTO!S$15,ROW(G30)-ROW(G$15),0))</f>
        <v>M2</v>
      </c>
      <c r="H30" s="123">
        <f ca="1">IF($D30&lt;&gt;"Serviço",0,IF(ACOMPANHAMENTO="BM",ROUND(OFFSET(ORÇAMENTO!AJ$15,ROW(H30)-ROW(H$15),0),15-13*ORÇAMENTO!$AF$7),SUMPRODUCT(($Q$12:$AA$12&lt;&gt;"")*ROUND($Q30:$AA30,15-13*ORÇAMENTO!$AF$7))))</f>
        <v>2515</v>
      </c>
      <c r="I30" s="560" t="s">
        <v>482</v>
      </c>
      <c r="K30" s="173" t="s">
        <v>485</v>
      </c>
      <c r="L30" s="174" t="s">
        <v>255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4</v>
      </c>
      <c r="N30" s="176" t="str">
        <f ca="1">IF($D30&lt;&gt;"Serviço","",IF(AUTOEVENTO="Manual",IF($A30=0,"&lt;-- defina o número do agrupador",OFFSET(EVENTOS!$D$14,$A30,0)),OFFSET($F$15,$A30,0)))</f>
        <v>PINTURA</v>
      </c>
      <c r="O30" s="177"/>
      <c r="Q30" s="177"/>
      <c r="R30" s="178">
        <v>2515</v>
      </c>
      <c r="S30" s="178"/>
      <c r="T30" s="178"/>
      <c r="U30" s="178"/>
      <c r="V30" s="178"/>
      <c r="W30" s="178"/>
      <c r="X30" s="178"/>
      <c r="Y30" s="178"/>
      <c r="Z30" s="179"/>
      <c r="AB30" s="543">
        <f ca="1">IF(AND($D30="Serviço",AB$12&lt;&gt;0,$H30&gt;0,OR(AUTOEVENTO&lt;&gt;"manual",$M30&lt;&gt;1)),
IF(Import.TipoArredondamento&lt;&gt;"TransfereGOV",
ROUND(OFFSET($P30,0,AB$13),15-13*ORÇAMENTO!$AF$7)/$H30*OFFSET(ORÇAMENTO!$X$15,ROW(AB30)-ROW(AB$15),0),
ROUND(ROUND(OFFSET($P30,0,AB$13),15-13*ORÇAMENTO!$AF$7)*OFFSET(ORÇAMENTO!$W$15,ROW(AB30)-ROW(AB$15),0),15-13*ORÇAMENTO!$AF$11)),0)</f>
        <v>0</v>
      </c>
      <c r="AC30" s="544">
        <f ca="1">IF(AND($D30="Serviço",AC$12&lt;&gt;0,$H30&gt;0,OR(AUTOEVENTO&lt;&gt;"manual",$M30&lt;&gt;1)),
IF(Import.TipoArredondamento&lt;&gt;"TransfereGOV",
ROUND(OFFSET($P30,0,AC$13),15-13*ORÇAMENTO!$AF$7)/$H30*OFFSET(ORÇAMENTO!$X$15,ROW(AC30)-ROW(AC$15),0),
ROUND(ROUND(OFFSET($P30,0,AC$13),15-13*ORÇAMENTO!$AF$7)*OFFSET(ORÇAMENTO!$W$15,ROW(AC30)-ROW(AC$15),0),15-13*ORÇAMENTO!$AF$11)),0)</f>
        <v>37750.15</v>
      </c>
      <c r="AD30" s="544">
        <f ca="1">IF(AND($D30="Serviço",AD$12&lt;&gt;0,$H30&gt;0,OR(AUTOEVENTO&lt;&gt;"manual",$M30&lt;&gt;1)),
IF(Import.TipoArredondamento&lt;&gt;"TransfereGOV",
ROUND(OFFSET($P30,0,AD$13),15-13*ORÇAMENTO!$AF$7)/$H30*OFFSET(ORÇAMENTO!$X$15,ROW(AD30)-ROW(AD$15),0),
ROUND(ROUND(OFFSET($P30,0,AD$13),15-13*ORÇAMENTO!$AF$7)*OFFSET(ORÇAMENTO!$W$15,ROW(AD30)-ROW(AD$15),0),15-13*ORÇAMENTO!$AF$11)),0)</f>
        <v>0</v>
      </c>
      <c r="AE30" s="544">
        <f ca="1">IF(AND($D30="Serviço",AE$12&lt;&gt;0,$H30&gt;0,OR(AUTOEVENTO&lt;&gt;"manual",$M30&lt;&gt;1)),
IF(Import.TipoArredondamento&lt;&gt;"TransfereGOV",
ROUND(OFFSET($P30,0,AE$13),15-13*ORÇAMENTO!$AF$7)/$H30*OFFSET(ORÇAMENTO!$X$15,ROW(AE30)-ROW(AE$15),0),
ROUND(ROUND(OFFSET($P30,0,AE$13),15-13*ORÇAMENTO!$AF$7)*OFFSET(ORÇAMENTO!$W$15,ROW(AE30)-ROW(AE$15),0),15-13*ORÇAMENTO!$AF$11)),0)</f>
        <v>0</v>
      </c>
      <c r="AF30" s="544">
        <f ca="1">IF(AND($D30="Serviço",AF$12&lt;&gt;0,$H30&gt;0,OR(AUTOEVENTO&lt;&gt;"manual",$M30&lt;&gt;1)),
IF(Import.TipoArredondamento&lt;&gt;"TransfereGOV",
ROUND(OFFSET($P30,0,AF$13),15-13*ORÇAMENTO!$AF$7)/$H30*OFFSET(ORÇAMENTO!$X$15,ROW(AF30)-ROW(AF$15),0),
ROUND(ROUND(OFFSET($P30,0,AF$13),15-13*ORÇAMENTO!$AF$7)*OFFSET(ORÇAMENTO!$W$15,ROW(AF30)-ROW(AF$15),0),15-13*ORÇAMENTO!$AF$11)),0)</f>
        <v>0</v>
      </c>
      <c r="AG30" s="544">
        <f ca="1">IF(AND($D30="Serviço",AG$12&lt;&gt;0,$H30&gt;0,OR(AUTOEVENTO&lt;&gt;"manual",$M30&lt;&gt;1)),
IF(Import.TipoArredondamento&lt;&gt;"TransfereGOV",
ROUND(OFFSET($P30,0,AG$13),15-13*ORÇAMENTO!$AF$7)/$H30*OFFSET(ORÇAMENTO!$X$15,ROW(AG30)-ROW(AG$15),0),
ROUND(ROUND(OFFSET($P30,0,AG$13),15-13*ORÇAMENTO!$AF$7)*OFFSET(ORÇAMENTO!$W$15,ROW(AG30)-ROW(AG$15),0),15-13*ORÇAMENTO!$AF$11)),0)</f>
        <v>0</v>
      </c>
      <c r="AH30" s="544">
        <f ca="1">IF(AND($D30="Serviço",AH$12&lt;&gt;0,$H30&gt;0,OR(AUTOEVENTO&lt;&gt;"manual",$M30&lt;&gt;1)),
IF(Import.TipoArredondamento&lt;&gt;"TransfereGOV",
ROUND(OFFSET($P30,0,AH$13),15-13*ORÇAMENTO!$AF$7)/$H30*OFFSET(ORÇAMENTO!$X$15,ROW(AH30)-ROW(AH$15),0),
ROUND(ROUND(OFFSET($P30,0,AH$13),15-13*ORÇAMENTO!$AF$7)*OFFSET(ORÇAMENTO!$W$15,ROW(AH30)-ROW(AH$15),0),15-13*ORÇAMENTO!$AF$11)),0)</f>
        <v>0</v>
      </c>
      <c r="AI30" s="544">
        <f ca="1">IF(AND($D30="Serviço",AI$12&lt;&gt;0,$H30&gt;0,OR(AUTOEVENTO&lt;&gt;"manual",$M30&lt;&gt;1)),
IF(Import.TipoArredondamento&lt;&gt;"TransfereGOV",
ROUND(OFFSET($P30,0,AI$13),15-13*ORÇAMENTO!$AF$7)/$H30*OFFSET(ORÇAMENTO!$X$15,ROW(AI30)-ROW(AI$15),0),
ROUND(ROUND(OFFSET($P30,0,AI$13),15-13*ORÇAMENTO!$AF$7)*OFFSET(ORÇAMENTO!$W$15,ROW(AI30)-ROW(AI$15),0),15-13*ORÇAMENTO!$AF$11)),0)</f>
        <v>0</v>
      </c>
      <c r="AJ30" s="544">
        <f ca="1">IF(AND($D30="Serviço",AJ$12&lt;&gt;0,$H30&gt;0,OR(AUTOEVENTO&lt;&gt;"manual",$M30&lt;&gt;1)),
IF(Import.TipoArredondamento&lt;&gt;"TransfereGOV",
ROUND(OFFSET($P30,0,AJ$13),15-13*ORÇAMENTO!$AF$7)/$H30*OFFSET(ORÇAMENTO!$X$15,ROW(AJ30)-ROW(AJ$15),0),
ROUND(ROUND(OFFSET($P30,0,AJ$13),15-13*ORÇAMENTO!$AF$7)*OFFSET(ORÇAMENTO!$W$15,ROW(AJ30)-ROW(AJ$15),0),15-13*ORÇAMENTO!$AF$11)),0)</f>
        <v>0</v>
      </c>
      <c r="AK30" s="545">
        <f ca="1">IF(AND($D30="Serviço",AK$12&lt;&gt;0,$H30&gt;0,OR(AUTOEVENTO&lt;&gt;"manual",$M30&lt;&gt;1)),
IF(Import.TipoArredondamento&lt;&gt;"TransfereGOV",
ROUND(OFFSET($P30,0,AK$13),15-13*ORÇAMENTO!$AF$7)/$H30*OFFSET(ORÇAMENTO!$X$15,ROW(AK30)-ROW(AK$15),0),
ROUND(ROUND(OFFSET($P30,0,AK$13),15-13*ORÇAMENTO!$AF$7)*OFFSET(ORÇAMENTO!$W$15,ROW(AK30)-ROW(AK$15),0),15-13*ORÇAMENTO!$AF$11)),0)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2</v>
      </c>
      <c r="AO30" s="180">
        <f ca="1">IF($D30&lt;&gt;"Serviço",0,IF(AND(AUTOEVENTO="Manual",$M30=1),0,IF(OFFSET(CRONOPLE!$F$14,$M30,AO$13)="",10^12,OFFSET(CRONOPLE!$F$14,$M30,AO$13))))</f>
        <v>3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1000000000000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ht="26.4" x14ac:dyDescent="0.25">
      <c r="A31" s="7">
        <f t="shared" ca="1" si="8"/>
        <v>4</v>
      </c>
      <c r="B31" s="7" t="str">
        <f ca="1">OFFSET(ORÇAMENTO!C$15,ROW(B31)-ROW(B$15),0)</f>
        <v>S</v>
      </c>
      <c r="C31" s="7" t="str">
        <f ca="1">OFFSET(ORÇAMENTO!L$15,ROW(C31)-ROW(C$15),0)</f>
        <v>F</v>
      </c>
      <c r="D31" s="117" t="str">
        <f ca="1">OFFSET(ORÇAMENTO!N$15,ROW(D31)-ROW(D$15),0)</f>
        <v>Serviço</v>
      </c>
      <c r="E31" s="118" t="str">
        <f ca="1">OFFSET(ORÇAMENTO!O$15,ROW(E31)-ROW(E$15),0)</f>
        <v>1.3.2.</v>
      </c>
      <c r="F31" s="171" t="str">
        <f ca="1">OFFSET(ORÇAMENTO!R$15,ROW(F31)-ROW(F$15),0)</f>
        <v>FUNDO SELADOR ACRÍLICO, APLICAÇÃO MANUAL EM PAREDE, UMA DEMÃO. AF_04/2023</v>
      </c>
      <c r="G31" s="172" t="str">
        <f ca="1">IF($D31&lt;&gt;"Serviço","",OFFSET(ORÇAMENTO!S$15,ROW(G31)-ROW(G$15),0))</f>
        <v>M2</v>
      </c>
      <c r="H31" s="123">
        <f ca="1">IF($D31&lt;&gt;"Serviço",0,IF(ACOMPANHAMENTO="BM",ROUND(OFFSET(ORÇAMENTO!AJ$15,ROW(H31)-ROW(H$15),0),15-13*ORÇAMENTO!$AF$7),SUMPRODUCT(($Q$12:$AA$12&lt;&gt;"")*ROUND($Q31:$AA31,15-13*ORÇAMENTO!$AF$7))))</f>
        <v>2515</v>
      </c>
      <c r="I31" s="560" t="s">
        <v>482</v>
      </c>
      <c r="K31" s="173" t="s">
        <v>485</v>
      </c>
      <c r="L31" s="174" t="s">
        <v>255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4</v>
      </c>
      <c r="N31" s="176" t="str">
        <f ca="1">IF($D31&lt;&gt;"Serviço","",IF(AUTOEVENTO="Manual",IF($A31=0,"&lt;-- defina o número do agrupador",OFFSET(EVENTOS!$D$14,$A31,0)),OFFSET($F$15,$A31,0)))</f>
        <v>PINTURA</v>
      </c>
      <c r="O31" s="177"/>
      <c r="Q31" s="177"/>
      <c r="R31" s="178">
        <v>2515</v>
      </c>
      <c r="S31" s="178"/>
      <c r="T31" s="178"/>
      <c r="U31" s="178"/>
      <c r="V31" s="178"/>
      <c r="W31" s="178"/>
      <c r="X31" s="178"/>
      <c r="Y31" s="178"/>
      <c r="Z31" s="179"/>
      <c r="AB31" s="543">
        <f ca="1">IF(AND($D31="Serviço",AB$12&lt;&gt;0,$H31&gt;0,OR(AUTOEVENTO&lt;&gt;"manual",$M31&lt;&gt;1)),
IF(Import.TipoArredondamento&lt;&gt;"TransfereGOV",
ROUND(OFFSET($P31,0,AB$13),15-13*ORÇAMENTO!$AF$7)/$H31*OFFSET(ORÇAMENTO!$X$15,ROW(AB31)-ROW(AB$15),0),
ROUND(ROUND(OFFSET($P31,0,AB$13),15-13*ORÇAMENTO!$AF$7)*OFFSET(ORÇAMENTO!$W$15,ROW(AB31)-ROW(AB$15),0),15-13*ORÇAMENTO!$AF$11)),0)</f>
        <v>0</v>
      </c>
      <c r="AC31" s="544">
        <f ca="1">IF(AND($D31="Serviço",AC$12&lt;&gt;0,$H31&gt;0,OR(AUTOEVENTO&lt;&gt;"manual",$M31&lt;&gt;1)),
IF(Import.TipoArredondamento&lt;&gt;"TransfereGOV",
ROUND(OFFSET($P31,0,AC$13),15-13*ORÇAMENTO!$AF$7)/$H31*OFFSET(ORÇAMENTO!$X$15,ROW(AC31)-ROW(AC$15),0),
ROUND(ROUND(OFFSET($P31,0,AC$13),15-13*ORÇAMENTO!$AF$7)*OFFSET(ORÇAMENTO!$W$15,ROW(AC31)-ROW(AC$15),0),15-13*ORÇAMENTO!$AF$11)),0)</f>
        <v>11745.05</v>
      </c>
      <c r="AD31" s="544">
        <f ca="1">IF(AND($D31="Serviço",AD$12&lt;&gt;0,$H31&gt;0,OR(AUTOEVENTO&lt;&gt;"manual",$M31&lt;&gt;1)),
IF(Import.TipoArredondamento&lt;&gt;"TransfereGOV",
ROUND(OFFSET($P31,0,AD$13),15-13*ORÇAMENTO!$AF$7)/$H31*OFFSET(ORÇAMENTO!$X$15,ROW(AD31)-ROW(AD$15),0),
ROUND(ROUND(OFFSET($P31,0,AD$13),15-13*ORÇAMENTO!$AF$7)*OFFSET(ORÇAMENTO!$W$15,ROW(AD31)-ROW(AD$15),0),15-13*ORÇAMENTO!$AF$11)),0)</f>
        <v>0</v>
      </c>
      <c r="AE31" s="544">
        <f ca="1">IF(AND($D31="Serviço",AE$12&lt;&gt;0,$H31&gt;0,OR(AUTOEVENTO&lt;&gt;"manual",$M31&lt;&gt;1)),
IF(Import.TipoArredondamento&lt;&gt;"TransfereGOV",
ROUND(OFFSET($P31,0,AE$13),15-13*ORÇAMENTO!$AF$7)/$H31*OFFSET(ORÇAMENTO!$X$15,ROW(AE31)-ROW(AE$15),0),
ROUND(ROUND(OFFSET($P31,0,AE$13),15-13*ORÇAMENTO!$AF$7)*OFFSET(ORÇAMENTO!$W$15,ROW(AE31)-ROW(AE$15),0),15-13*ORÇAMENTO!$AF$11)),0)</f>
        <v>0</v>
      </c>
      <c r="AF31" s="544">
        <f ca="1">IF(AND($D31="Serviço",AF$12&lt;&gt;0,$H31&gt;0,OR(AUTOEVENTO&lt;&gt;"manual",$M31&lt;&gt;1)),
IF(Import.TipoArredondamento&lt;&gt;"TransfereGOV",
ROUND(OFFSET($P31,0,AF$13),15-13*ORÇAMENTO!$AF$7)/$H31*OFFSET(ORÇAMENTO!$X$15,ROW(AF31)-ROW(AF$15),0),
ROUND(ROUND(OFFSET($P31,0,AF$13),15-13*ORÇAMENTO!$AF$7)*OFFSET(ORÇAMENTO!$W$15,ROW(AF31)-ROW(AF$15),0),15-13*ORÇAMENTO!$AF$11)),0)</f>
        <v>0</v>
      </c>
      <c r="AG31" s="544">
        <f ca="1">IF(AND($D31="Serviço",AG$12&lt;&gt;0,$H31&gt;0,OR(AUTOEVENTO&lt;&gt;"manual",$M31&lt;&gt;1)),
IF(Import.TipoArredondamento&lt;&gt;"TransfereGOV",
ROUND(OFFSET($P31,0,AG$13),15-13*ORÇAMENTO!$AF$7)/$H31*OFFSET(ORÇAMENTO!$X$15,ROW(AG31)-ROW(AG$15),0),
ROUND(ROUND(OFFSET($P31,0,AG$13),15-13*ORÇAMENTO!$AF$7)*OFFSET(ORÇAMENTO!$W$15,ROW(AG31)-ROW(AG$15),0),15-13*ORÇAMENTO!$AF$11)),0)</f>
        <v>0</v>
      </c>
      <c r="AH31" s="544">
        <f ca="1">IF(AND($D31="Serviço",AH$12&lt;&gt;0,$H31&gt;0,OR(AUTOEVENTO&lt;&gt;"manual",$M31&lt;&gt;1)),
IF(Import.TipoArredondamento&lt;&gt;"TransfereGOV",
ROUND(OFFSET($P31,0,AH$13),15-13*ORÇAMENTO!$AF$7)/$H31*OFFSET(ORÇAMENTO!$X$15,ROW(AH31)-ROW(AH$15),0),
ROUND(ROUND(OFFSET($P31,0,AH$13),15-13*ORÇAMENTO!$AF$7)*OFFSET(ORÇAMENTO!$W$15,ROW(AH31)-ROW(AH$15),0),15-13*ORÇAMENTO!$AF$11)),0)</f>
        <v>0</v>
      </c>
      <c r="AI31" s="544">
        <f ca="1">IF(AND($D31="Serviço",AI$12&lt;&gt;0,$H31&gt;0,OR(AUTOEVENTO&lt;&gt;"manual",$M31&lt;&gt;1)),
IF(Import.TipoArredondamento&lt;&gt;"TransfereGOV",
ROUND(OFFSET($P31,0,AI$13),15-13*ORÇAMENTO!$AF$7)/$H31*OFFSET(ORÇAMENTO!$X$15,ROW(AI31)-ROW(AI$15),0),
ROUND(ROUND(OFFSET($P31,0,AI$13),15-13*ORÇAMENTO!$AF$7)*OFFSET(ORÇAMENTO!$W$15,ROW(AI31)-ROW(AI$15),0),15-13*ORÇAMENTO!$AF$11)),0)</f>
        <v>0</v>
      </c>
      <c r="AJ31" s="544">
        <f ca="1">IF(AND($D31="Serviço",AJ$12&lt;&gt;0,$H31&gt;0,OR(AUTOEVENTO&lt;&gt;"manual",$M31&lt;&gt;1)),
IF(Import.TipoArredondamento&lt;&gt;"TransfereGOV",
ROUND(OFFSET($P31,0,AJ$13),15-13*ORÇAMENTO!$AF$7)/$H31*OFFSET(ORÇAMENTO!$X$15,ROW(AJ31)-ROW(AJ$15),0),
ROUND(ROUND(OFFSET($P31,0,AJ$13),15-13*ORÇAMENTO!$AF$7)*OFFSET(ORÇAMENTO!$W$15,ROW(AJ31)-ROW(AJ$15),0),15-13*ORÇAMENTO!$AF$11)),0)</f>
        <v>0</v>
      </c>
      <c r="AK31" s="545">
        <f ca="1">IF(AND($D31="Serviço",AK$12&lt;&gt;0,$H31&gt;0,OR(AUTOEVENTO&lt;&gt;"manual",$M31&lt;&gt;1)),
IF(Import.TipoArredondamento&lt;&gt;"TransfereGOV",
ROUND(OFFSET($P31,0,AK$13),15-13*ORÇAMENTO!$AF$7)/$H31*OFFSET(ORÇAMENTO!$X$15,ROW(AK31)-ROW(AK$15),0),
ROUND(ROUND(OFFSET($P31,0,AK$13),15-13*ORÇAMENTO!$AF$7)*OFFSET(ORÇAMENTO!$W$15,ROW(AK31)-ROW(AK$15),0),15-13*ORÇAMENTO!$AF$11)),0)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2</v>
      </c>
      <c r="AO31" s="180">
        <f ca="1">IF($D31&lt;&gt;"Serviço",0,IF(AND(AUTOEVENTO="Manual",$M31=1),0,IF(OFFSET(CRONOPLE!$F$14,$M31,AO$13)="",10^12,OFFSET(CRONOPLE!$F$14,$M31,AO$13))))</f>
        <v>3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1000000000000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5.0999999999999996" customHeight="1" x14ac:dyDescent="0.25">
      <c r="B32" s="7">
        <f ca="1">OFFSET(ORÇAMENTO!C$15,ROW(B32)-ROW(B$15),0)</f>
        <v>-1</v>
      </c>
      <c r="C32" s="7" t="str">
        <f ca="1">OFFSET(ORÇAMENTO!L$15,ROW(C32)-ROW(C$15),0)</f>
        <v>F</v>
      </c>
      <c r="D32" s="482" t="s">
        <v>194</v>
      </c>
      <c r="E32" s="483"/>
      <c r="F32" s="484"/>
      <c r="G32" s="484"/>
      <c r="H32" s="484"/>
      <c r="I32" s="485"/>
      <c r="K32" s="487"/>
      <c r="L32" s="174" t="s">
        <v>255</v>
      </c>
      <c r="M32" s="488"/>
      <c r="N32" s="486"/>
      <c r="O32" s="481"/>
      <c r="Q32" s="483"/>
      <c r="R32" s="484"/>
      <c r="S32" s="484"/>
      <c r="T32" s="484"/>
      <c r="U32" s="484"/>
      <c r="V32" s="484"/>
      <c r="W32" s="484"/>
      <c r="X32" s="484"/>
      <c r="Y32" s="484"/>
      <c r="Z32" s="485"/>
      <c r="AB32" s="137"/>
      <c r="AC32" s="191"/>
      <c r="AD32" s="191"/>
      <c r="AE32" s="191"/>
      <c r="AF32" s="191"/>
      <c r="AG32" s="191"/>
      <c r="AH32" s="191"/>
      <c r="AI32" s="191"/>
      <c r="AJ32" s="191"/>
      <c r="AK32" s="138"/>
      <c r="AM32" s="137"/>
      <c r="AN32" s="191"/>
      <c r="AO32" s="191"/>
      <c r="AP32" s="191"/>
      <c r="AQ32" s="191"/>
      <c r="AR32" s="191"/>
      <c r="AS32" s="191"/>
      <c r="AT32" s="191"/>
      <c r="AU32" s="191"/>
      <c r="AV32" s="138"/>
      <c r="AX32" s="137"/>
      <c r="AY32" s="191"/>
      <c r="AZ32" s="191"/>
      <c r="BA32" s="191"/>
      <c r="BB32" s="191"/>
      <c r="BC32" s="191"/>
      <c r="BD32" s="191"/>
      <c r="BE32" s="191"/>
      <c r="BF32" s="191"/>
      <c r="BG32" s="138"/>
    </row>
    <row r="33" spans="3:25" ht="12.75" customHeight="1" x14ac:dyDescent="0.25"/>
    <row r="34" spans="3:25" ht="12.75" customHeight="1" x14ac:dyDescent="0.25"/>
    <row r="35" spans="3:25" ht="12.75" customHeight="1" x14ac:dyDescent="0.25"/>
    <row r="36" spans="3:25" ht="15" customHeight="1" x14ac:dyDescent="0.25">
      <c r="F36" s="192" t="str">
        <f>Import.Município</f>
        <v>BOM JARDIM DE MINAS - MG</v>
      </c>
      <c r="I36" s="552"/>
      <c r="J36" s="552"/>
      <c r="K36" s="552"/>
      <c r="L36" s="552"/>
      <c r="M36" s="553"/>
      <c r="N36" s="478"/>
      <c r="T36" s="144"/>
      <c r="U36" s="144"/>
      <c r="V36" s="193"/>
      <c r="W36" s="193"/>
      <c r="X36" s="193"/>
      <c r="Y36" s="193"/>
    </row>
    <row r="37" spans="3:25" ht="12.75" customHeight="1" x14ac:dyDescent="0.25">
      <c r="F37" s="10" t="s">
        <v>188</v>
      </c>
      <c r="I37" s="194" t="s">
        <v>190</v>
      </c>
      <c r="J37" s="194"/>
      <c r="K37" s="194"/>
      <c r="L37" s="194"/>
      <c r="T37" s="194" t="s">
        <v>190</v>
      </c>
      <c r="U37" s="194"/>
    </row>
    <row r="38" spans="3:25" ht="12.75" customHeight="1" x14ac:dyDescent="0.25">
      <c r="I38" s="446" t="str">
        <f t="array" aca="1" ref="I38:I40" ca="1">OFFSET(Import.RespOrçamento,0,-1) &amp; " " &amp; Import.RespOrçamento</f>
        <v>Nome: RENNAN ROBERTO DUARTE DA SILVA</v>
      </c>
      <c r="K38" s="79"/>
      <c r="L38" s="79"/>
      <c r="T38" s="446" t="str">
        <f t="array" aca="1" ref="T38:T40" ca="1">OFFSET(Import.RespOrçamento,0,-1) &amp; " " &amp; Import.RespOrçamento</f>
        <v>Nome: RENNAN ROBERTO DUARTE DA SILVA</v>
      </c>
      <c r="U38" s="78"/>
    </row>
    <row r="39" spans="3:25" ht="12.75" customHeight="1" x14ac:dyDescent="0.25">
      <c r="F39" s="551">
        <f ca="1">DADOS!$F$25</f>
        <v>45580</v>
      </c>
      <c r="I39" s="446" t="str">
        <f ca="1"/>
        <v>CREA/CAU: RJ2019107419D MG</v>
      </c>
      <c r="K39" s="79"/>
      <c r="L39" s="79"/>
      <c r="T39" s="446" t="str">
        <f ca="1"/>
        <v>CREA/CAU: RJ2019107419D MG</v>
      </c>
      <c r="U39" s="78"/>
    </row>
    <row r="40" spans="3:25" ht="12.75" customHeight="1" x14ac:dyDescent="0.25">
      <c r="F40" s="145" t="s">
        <v>189</v>
      </c>
      <c r="I40" s="446" t="str">
        <f ca="1"/>
        <v>ART/RRT: MG20243409885</v>
      </c>
      <c r="K40" s="79"/>
      <c r="L40" s="79"/>
      <c r="T40" s="446" t="str">
        <f ca="1"/>
        <v>ART/RRT: MG20243409885</v>
      </c>
      <c r="U40" s="78"/>
    </row>
    <row r="41" spans="3:25" ht="12.75" customHeight="1" x14ac:dyDescent="0.25">
      <c r="C41"/>
      <c r="M41"/>
    </row>
    <row r="42" spans="3:25" ht="12.75" customHeight="1" x14ac:dyDescent="0.25">
      <c r="C42"/>
      <c r="M42"/>
    </row>
    <row r="43" spans="3:25" ht="12.75" customHeight="1" x14ac:dyDescent="0.25">
      <c r="C43"/>
      <c r="M43"/>
    </row>
    <row r="44" spans="3:25" ht="12.75" customHeight="1" x14ac:dyDescent="0.25">
      <c r="C44"/>
      <c r="M44"/>
    </row>
    <row r="45" spans="3:25" ht="12.75" customHeight="1" x14ac:dyDescent="0.25">
      <c r="C45"/>
      <c r="M45"/>
    </row>
    <row r="46" spans="3:25" ht="12.75" customHeight="1" x14ac:dyDescent="0.25">
      <c r="C46"/>
      <c r="M46"/>
    </row>
    <row r="47" spans="3:25" ht="12.75" customHeight="1" x14ac:dyDescent="0.25">
      <c r="C47"/>
      <c r="M47"/>
    </row>
    <row r="48" spans="3:25" ht="12.75" customHeight="1" x14ac:dyDescent="0.25">
      <c r="C48"/>
      <c r="M48"/>
    </row>
    <row r="49" spans="3:13" ht="12.75" customHeight="1" x14ac:dyDescent="0.25">
      <c r="C49"/>
      <c r="M49"/>
    </row>
    <row r="50" spans="3:13" ht="12.75" customHeight="1" x14ac:dyDescent="0.25">
      <c r="C50"/>
      <c r="M50"/>
    </row>
    <row r="51" spans="3:13" ht="12.75" customHeight="1" x14ac:dyDescent="0.25">
      <c r="C51"/>
      <c r="M51"/>
    </row>
    <row r="52" spans="3:13" ht="12.75" customHeight="1" x14ac:dyDescent="0.25">
      <c r="C52"/>
      <c r="M52"/>
    </row>
    <row r="53" spans="3:13" ht="12.75" customHeight="1" x14ac:dyDescent="0.25">
      <c r="C53"/>
      <c r="M53"/>
    </row>
    <row r="54" spans="3:13" ht="12.75" customHeight="1" x14ac:dyDescent="0.25">
      <c r="C54"/>
      <c r="M54"/>
    </row>
    <row r="55" spans="3:13" ht="12.75" customHeight="1" x14ac:dyDescent="0.25">
      <c r="C55"/>
      <c r="M55"/>
    </row>
    <row r="56" spans="3:13" ht="12.75" customHeight="1" x14ac:dyDescent="0.25">
      <c r="C56"/>
      <c r="M56"/>
    </row>
    <row r="57" spans="3:13" ht="12.75" customHeight="1" x14ac:dyDescent="0.25">
      <c r="C57"/>
      <c r="M57"/>
    </row>
    <row r="58" spans="3:13" ht="12.75" customHeight="1" x14ac:dyDescent="0.25">
      <c r="C58"/>
      <c r="M58"/>
    </row>
    <row r="59" spans="3:13" ht="12.75" customHeight="1" x14ac:dyDescent="0.25">
      <c r="C59"/>
      <c r="M59"/>
    </row>
    <row r="60" spans="3:13" ht="12.75" customHeight="1" x14ac:dyDescent="0.25">
      <c r="C60"/>
      <c r="M60"/>
    </row>
    <row r="61" spans="3:13" ht="12.75" customHeight="1" x14ac:dyDescent="0.25">
      <c r="C61"/>
      <c r="M61"/>
    </row>
    <row r="62" spans="3:13" ht="12.75" customHeight="1" x14ac:dyDescent="0.25">
      <c r="C62"/>
      <c r="M62"/>
    </row>
    <row r="63" spans="3:13" ht="12.75" customHeight="1" x14ac:dyDescent="0.25">
      <c r="C63"/>
      <c r="M63"/>
    </row>
    <row r="64" spans="3:13" ht="12.75" customHeight="1" x14ac:dyDescent="0.25">
      <c r="C64"/>
      <c r="M64"/>
    </row>
    <row r="65" spans="3:13" ht="12.75" customHeight="1" x14ac:dyDescent="0.25">
      <c r="C65"/>
      <c r="M65"/>
    </row>
    <row r="66" spans="3:13" ht="12.75" customHeight="1" x14ac:dyDescent="0.25">
      <c r="C66"/>
      <c r="M66"/>
    </row>
    <row r="67" spans="3:13" ht="12.75" customHeight="1" x14ac:dyDescent="0.25">
      <c r="C67"/>
      <c r="M67"/>
    </row>
    <row r="68" spans="3:13" ht="12.75" customHeight="1" x14ac:dyDescent="0.25">
      <c r="C68"/>
      <c r="M68"/>
    </row>
    <row r="69" spans="3:13" ht="12.75" customHeight="1" x14ac:dyDescent="0.25">
      <c r="C69"/>
      <c r="M69"/>
    </row>
    <row r="70" spans="3:13" ht="12.75" customHeight="1" x14ac:dyDescent="0.25">
      <c r="C70"/>
      <c r="M70"/>
    </row>
    <row r="71" spans="3:13" ht="12.75" customHeight="1" x14ac:dyDescent="0.25">
      <c r="C71"/>
      <c r="M71"/>
    </row>
    <row r="72" spans="3:13" ht="12.75" customHeight="1" x14ac:dyDescent="0.25">
      <c r="C72"/>
      <c r="M72"/>
    </row>
    <row r="73" spans="3:13" ht="12.75" customHeight="1" x14ac:dyDescent="0.25">
      <c r="C73"/>
      <c r="M73"/>
    </row>
    <row r="74" spans="3:13" ht="12.75" customHeight="1" x14ac:dyDescent="0.25">
      <c r="C74"/>
      <c r="M74"/>
    </row>
    <row r="75" spans="3:13" ht="12.75" customHeight="1" x14ac:dyDescent="0.25">
      <c r="C75"/>
      <c r="M75"/>
    </row>
    <row r="76" spans="3:13" ht="12.75" customHeight="1" x14ac:dyDescent="0.25">
      <c r="C76"/>
      <c r="M76"/>
    </row>
    <row r="77" spans="3:13" ht="12.75" customHeight="1" x14ac:dyDescent="0.25">
      <c r="C77"/>
      <c r="M77"/>
    </row>
    <row r="78" spans="3:13" ht="12.75" customHeight="1" x14ac:dyDescent="0.25">
      <c r="C78"/>
      <c r="M78"/>
    </row>
    <row r="79" spans="3:13" ht="12.75" customHeight="1" x14ac:dyDescent="0.25">
      <c r="C79"/>
      <c r="M79"/>
    </row>
    <row r="80" spans="3:13" ht="12.75" customHeight="1" x14ac:dyDescent="0.25">
      <c r="C80"/>
      <c r="M80"/>
    </row>
    <row r="81" spans="3:13" ht="12.75" customHeight="1" x14ac:dyDescent="0.25">
      <c r="C81"/>
      <c r="M81"/>
    </row>
    <row r="82" spans="3:13" ht="12.75" customHeight="1" x14ac:dyDescent="0.25">
      <c r="C82"/>
      <c r="M82"/>
    </row>
    <row r="83" spans="3:13" ht="12.75" customHeight="1" x14ac:dyDescent="0.25">
      <c r="C83"/>
      <c r="M83"/>
    </row>
    <row r="84" spans="3:13" ht="12.75" customHeight="1" x14ac:dyDescent="0.25">
      <c r="C84"/>
      <c r="M84"/>
    </row>
    <row r="85" spans="3:13" ht="12.75" customHeight="1" x14ac:dyDescent="0.25">
      <c r="C85"/>
      <c r="M85"/>
    </row>
    <row r="86" spans="3:13" ht="12.75" customHeight="1" x14ac:dyDescent="0.25">
      <c r="C86"/>
      <c r="M86"/>
    </row>
    <row r="87" spans="3:13" ht="12.75" customHeight="1" x14ac:dyDescent="0.25">
      <c r="C87"/>
      <c r="M87"/>
    </row>
    <row r="88" spans="3:13" ht="12.75" customHeight="1" x14ac:dyDescent="0.25">
      <c r="C88"/>
      <c r="M88"/>
    </row>
    <row r="89" spans="3:13" ht="12.75" customHeight="1" x14ac:dyDescent="0.25">
      <c r="C89"/>
      <c r="M89"/>
    </row>
    <row r="90" spans="3:13" ht="12.75" customHeight="1" x14ac:dyDescent="0.25">
      <c r="C90"/>
      <c r="M90"/>
    </row>
    <row r="91" spans="3:13" ht="12.75" customHeight="1" x14ac:dyDescent="0.25">
      <c r="C91"/>
      <c r="M91"/>
    </row>
    <row r="92" spans="3:13" ht="12.75" customHeight="1" x14ac:dyDescent="0.25">
      <c r="C92"/>
      <c r="M92"/>
    </row>
    <row r="93" spans="3:13" ht="12.75" customHeight="1" x14ac:dyDescent="0.25">
      <c r="C93"/>
      <c r="M93"/>
    </row>
    <row r="94" spans="3:13" ht="12.75" customHeight="1" x14ac:dyDescent="0.25">
      <c r="C94"/>
      <c r="M94"/>
    </row>
    <row r="95" spans="3:13" ht="12.75" customHeight="1" x14ac:dyDescent="0.25">
      <c r="C95"/>
      <c r="M95"/>
    </row>
    <row r="96" spans="3:13" ht="12.75" customHeight="1" x14ac:dyDescent="0.25">
      <c r="C96"/>
      <c r="M96"/>
    </row>
    <row r="97" spans="3:13" ht="12.75" customHeight="1" x14ac:dyDescent="0.25">
      <c r="C97"/>
      <c r="M97"/>
    </row>
    <row r="98" spans="3:13" ht="12.75" customHeight="1" x14ac:dyDescent="0.25">
      <c r="C98"/>
      <c r="M98"/>
    </row>
    <row r="99" spans="3:13" ht="12.75" customHeight="1" x14ac:dyDescent="0.25">
      <c r="C99"/>
      <c r="M99"/>
    </row>
    <row r="100" spans="3:13" ht="12.75" customHeight="1" x14ac:dyDescent="0.25">
      <c r="C100"/>
      <c r="M100"/>
    </row>
    <row r="101" spans="3:13" ht="12.75" customHeight="1" x14ac:dyDescent="0.25">
      <c r="C101"/>
      <c r="M101"/>
    </row>
    <row r="102" spans="3:13" ht="12.75" customHeight="1" x14ac:dyDescent="0.25">
      <c r="C102"/>
      <c r="M102"/>
    </row>
    <row r="103" spans="3:13" ht="12.75" customHeight="1" x14ac:dyDescent="0.25">
      <c r="C103"/>
      <c r="M103"/>
    </row>
    <row r="104" spans="3:13" ht="12.75" customHeight="1" x14ac:dyDescent="0.25">
      <c r="C104"/>
      <c r="M104"/>
    </row>
    <row r="105" spans="3:13" ht="12.75" customHeight="1" x14ac:dyDescent="0.25">
      <c r="C105"/>
      <c r="M105"/>
    </row>
    <row r="106" spans="3:13" ht="12.75" customHeight="1" x14ac:dyDescent="0.25">
      <c r="C106"/>
      <c r="M106"/>
    </row>
    <row r="107" spans="3:13" ht="12.75" customHeight="1" x14ac:dyDescent="0.25">
      <c r="C107"/>
      <c r="M107"/>
    </row>
    <row r="108" spans="3:13" ht="12.75" customHeight="1" x14ac:dyDescent="0.25">
      <c r="C108"/>
      <c r="M108"/>
    </row>
    <row r="109" spans="3:13" ht="12.75" customHeight="1" x14ac:dyDescent="0.25">
      <c r="C109"/>
      <c r="M109"/>
    </row>
    <row r="110" spans="3:13" ht="12.75" customHeight="1" x14ac:dyDescent="0.25">
      <c r="C110"/>
      <c r="M110"/>
    </row>
    <row r="111" spans="3:13" ht="12.75" customHeight="1" x14ac:dyDescent="0.25">
      <c r="C111"/>
      <c r="M111"/>
    </row>
    <row r="112" spans="3:13" ht="12.75" customHeight="1" x14ac:dyDescent="0.25">
      <c r="C112"/>
      <c r="M112"/>
    </row>
    <row r="113" spans="3:13" ht="12.75" customHeight="1" x14ac:dyDescent="0.25">
      <c r="C113"/>
      <c r="M113"/>
    </row>
    <row r="114" spans="3:13" ht="12.75" customHeight="1" x14ac:dyDescent="0.25">
      <c r="C114"/>
      <c r="M114"/>
    </row>
    <row r="115" spans="3:13" ht="12.75" customHeight="1" x14ac:dyDescent="0.25">
      <c r="C115"/>
      <c r="M115"/>
    </row>
    <row r="116" spans="3:13" ht="12.75" customHeight="1" x14ac:dyDescent="0.25">
      <c r="C116"/>
      <c r="M116"/>
    </row>
    <row r="117" spans="3:13" ht="12.75" customHeight="1" x14ac:dyDescent="0.25">
      <c r="C117"/>
      <c r="M117"/>
    </row>
    <row r="118" spans="3:13" ht="12.75" customHeight="1" x14ac:dyDescent="0.25">
      <c r="C118"/>
      <c r="M118"/>
    </row>
    <row r="119" spans="3:13" ht="12.75" customHeight="1" x14ac:dyDescent="0.25">
      <c r="C119"/>
      <c r="M119"/>
    </row>
    <row r="120" spans="3:13" ht="12.75" customHeight="1" x14ac:dyDescent="0.25">
      <c r="C120"/>
      <c r="M120"/>
    </row>
    <row r="121" spans="3:13" ht="12.75" customHeight="1" x14ac:dyDescent="0.25">
      <c r="C121"/>
      <c r="M121"/>
    </row>
    <row r="122" spans="3:13" ht="12.75" customHeight="1" x14ac:dyDescent="0.25">
      <c r="C122"/>
      <c r="M122"/>
    </row>
    <row r="123" spans="3:13" ht="12.75" customHeight="1" x14ac:dyDescent="0.25">
      <c r="C123"/>
      <c r="M123"/>
    </row>
    <row r="124" spans="3:13" ht="12.75" customHeight="1" x14ac:dyDescent="0.25">
      <c r="C124"/>
      <c r="M124"/>
    </row>
    <row r="125" spans="3:13" ht="12.75" customHeight="1" x14ac:dyDescent="0.25">
      <c r="C125"/>
      <c r="M125"/>
    </row>
    <row r="126" spans="3:13" ht="12.75" customHeight="1" x14ac:dyDescent="0.25">
      <c r="C126"/>
      <c r="M126"/>
    </row>
    <row r="127" spans="3:13" ht="12.75" customHeight="1" x14ac:dyDescent="0.25">
      <c r="C127"/>
      <c r="M127"/>
    </row>
    <row r="128" spans="3:13" ht="12.75" customHeight="1" x14ac:dyDescent="0.25">
      <c r="C128"/>
      <c r="M128"/>
    </row>
    <row r="129" spans="3:13" ht="12.75" customHeight="1" x14ac:dyDescent="0.25">
      <c r="C129"/>
      <c r="M129"/>
    </row>
    <row r="130" spans="3:13" ht="12.75" customHeight="1" x14ac:dyDescent="0.25">
      <c r="C130"/>
      <c r="M130"/>
    </row>
    <row r="131" spans="3:13" ht="12.75" customHeight="1" x14ac:dyDescent="0.25">
      <c r="C131"/>
      <c r="M131"/>
    </row>
    <row r="132" spans="3:13" ht="12.75" customHeight="1" x14ac:dyDescent="0.25">
      <c r="C132"/>
      <c r="M132"/>
    </row>
    <row r="133" spans="3:13" ht="12.75" customHeight="1" x14ac:dyDescent="0.25">
      <c r="C133"/>
      <c r="M133"/>
    </row>
    <row r="134" spans="3:13" ht="12.75" customHeight="1" x14ac:dyDescent="0.25">
      <c r="C134"/>
      <c r="M134"/>
    </row>
    <row r="135" spans="3:13" ht="12.75" customHeight="1" x14ac:dyDescent="0.25">
      <c r="C135"/>
      <c r="M135"/>
    </row>
    <row r="136" spans="3:13" ht="12.75" customHeight="1" x14ac:dyDescent="0.25">
      <c r="C136"/>
      <c r="M136"/>
    </row>
    <row r="137" spans="3:13" ht="12.75" customHeight="1" x14ac:dyDescent="0.25">
      <c r="C137"/>
      <c r="M137"/>
    </row>
    <row r="138" spans="3:13" ht="12.75" customHeight="1" x14ac:dyDescent="0.25">
      <c r="C138"/>
      <c r="M138"/>
    </row>
    <row r="139" spans="3:13" ht="12.75" customHeight="1" x14ac:dyDescent="0.25">
      <c r="C139"/>
      <c r="M139"/>
    </row>
    <row r="140" spans="3:13" ht="12.75" customHeight="1" x14ac:dyDescent="0.25">
      <c r="C140"/>
      <c r="M140"/>
    </row>
    <row r="141" spans="3:13" ht="12.75" customHeight="1" x14ac:dyDescent="0.25">
      <c r="C141"/>
      <c r="M141"/>
    </row>
    <row r="142" spans="3:13" ht="12.75" customHeight="1" x14ac:dyDescent="0.25">
      <c r="C142"/>
      <c r="M142"/>
    </row>
    <row r="143" spans="3:13" ht="12.75" customHeight="1" x14ac:dyDescent="0.25">
      <c r="C143"/>
      <c r="M143"/>
    </row>
    <row r="144" spans="3:13" ht="12.75" customHeight="1" x14ac:dyDescent="0.25">
      <c r="C144"/>
      <c r="M144"/>
    </row>
    <row r="145" spans="3:13" ht="12.75" customHeight="1" x14ac:dyDescent="0.25">
      <c r="C145"/>
      <c r="M145"/>
    </row>
    <row r="146" spans="3:13" ht="12.75" customHeight="1" x14ac:dyDescent="0.25">
      <c r="C146"/>
      <c r="M146"/>
    </row>
    <row r="147" spans="3:13" ht="12.75" customHeight="1" x14ac:dyDescent="0.25">
      <c r="C147"/>
      <c r="M147"/>
    </row>
    <row r="148" spans="3:13" ht="12.75" customHeight="1" x14ac:dyDescent="0.25">
      <c r="C148"/>
      <c r="M148"/>
    </row>
    <row r="149" spans="3:13" ht="12.75" customHeight="1" x14ac:dyDescent="0.25">
      <c r="C149"/>
      <c r="M149"/>
    </row>
    <row r="150" spans="3:13" ht="12.75" customHeight="1" x14ac:dyDescent="0.25">
      <c r="C150"/>
      <c r="M150"/>
    </row>
    <row r="151" spans="3:13" ht="12.75" customHeight="1" x14ac:dyDescent="0.25">
      <c r="C151"/>
      <c r="M151"/>
    </row>
    <row r="152" spans="3:13" ht="12.75" customHeight="1" x14ac:dyDescent="0.25">
      <c r="C152"/>
      <c r="M152"/>
    </row>
    <row r="153" spans="3:13" ht="12.75" customHeight="1" x14ac:dyDescent="0.25">
      <c r="C153"/>
      <c r="M153"/>
    </row>
    <row r="154" spans="3:13" ht="12.75" customHeight="1" x14ac:dyDescent="0.25">
      <c r="C154"/>
      <c r="M154"/>
    </row>
    <row r="155" spans="3:13" ht="12.75" customHeight="1" x14ac:dyDescent="0.25">
      <c r="C155"/>
      <c r="M155"/>
    </row>
    <row r="156" spans="3:13" ht="12.75" customHeight="1" x14ac:dyDescent="0.25">
      <c r="C156"/>
      <c r="M156"/>
    </row>
    <row r="157" spans="3:13" ht="12.75" customHeight="1" x14ac:dyDescent="0.25">
      <c r="C157"/>
      <c r="M157"/>
    </row>
    <row r="158" spans="3:13" ht="12.75" customHeight="1" x14ac:dyDescent="0.25">
      <c r="C158"/>
      <c r="M158"/>
    </row>
    <row r="159" spans="3:13" ht="12.75" customHeight="1" x14ac:dyDescent="0.25">
      <c r="C159"/>
      <c r="M159"/>
    </row>
    <row r="160" spans="3:13" ht="12.75" customHeight="1" x14ac:dyDescent="0.25">
      <c r="C160"/>
      <c r="M160"/>
    </row>
    <row r="161" spans="3:13" ht="12.75" customHeight="1" x14ac:dyDescent="0.25">
      <c r="C161"/>
      <c r="M161"/>
    </row>
    <row r="162" spans="3:13" ht="12.75" customHeight="1" x14ac:dyDescent="0.25">
      <c r="C162"/>
      <c r="M162"/>
    </row>
    <row r="163" spans="3:13" ht="12.75" customHeight="1" x14ac:dyDescent="0.25">
      <c r="C163"/>
      <c r="M163"/>
    </row>
    <row r="164" spans="3:13" ht="12.75" customHeight="1" x14ac:dyDescent="0.25">
      <c r="C164"/>
      <c r="M164"/>
    </row>
    <row r="165" spans="3:13" ht="12.75" customHeight="1" x14ac:dyDescent="0.25">
      <c r="C165"/>
      <c r="M165"/>
    </row>
    <row r="166" spans="3:13" ht="12.75" customHeight="1" x14ac:dyDescent="0.25">
      <c r="C166"/>
      <c r="M166"/>
    </row>
    <row r="167" spans="3:13" ht="12.75" customHeight="1" x14ac:dyDescent="0.25">
      <c r="C167"/>
      <c r="M167"/>
    </row>
    <row r="168" spans="3:13" ht="12.75" customHeight="1" x14ac:dyDescent="0.25">
      <c r="C168"/>
      <c r="M168"/>
    </row>
    <row r="169" spans="3:13" ht="12.75" customHeight="1" x14ac:dyDescent="0.25">
      <c r="C169"/>
      <c r="M169"/>
    </row>
    <row r="170" spans="3:13" ht="12.75" customHeight="1" x14ac:dyDescent="0.25">
      <c r="C170"/>
      <c r="M170"/>
    </row>
    <row r="171" spans="3:13" ht="12.75" customHeight="1" x14ac:dyDescent="0.25">
      <c r="C171"/>
      <c r="M171"/>
    </row>
    <row r="172" spans="3:13" ht="12.75" customHeight="1" x14ac:dyDescent="0.25">
      <c r="C172"/>
      <c r="M172"/>
    </row>
    <row r="173" spans="3:13" ht="12.75" customHeight="1" x14ac:dyDescent="0.25">
      <c r="C173"/>
      <c r="M173"/>
    </row>
    <row r="174" spans="3:13" ht="12.75" customHeight="1" x14ac:dyDescent="0.25">
      <c r="C174"/>
      <c r="M174"/>
    </row>
    <row r="175" spans="3:13" ht="12.75" customHeight="1" x14ac:dyDescent="0.25">
      <c r="C175"/>
      <c r="M175"/>
    </row>
    <row r="176" spans="3:13" ht="12.75" customHeight="1" x14ac:dyDescent="0.25">
      <c r="C176"/>
      <c r="M176"/>
    </row>
    <row r="177" spans="3:13" ht="12.75" customHeight="1" x14ac:dyDescent="0.25">
      <c r="C177"/>
      <c r="M177"/>
    </row>
    <row r="178" spans="3:13" ht="12.75" customHeight="1" x14ac:dyDescent="0.25">
      <c r="C178"/>
      <c r="M178"/>
    </row>
    <row r="179" spans="3:13" ht="12.75" customHeight="1" x14ac:dyDescent="0.25">
      <c r="C179"/>
      <c r="M179"/>
    </row>
    <row r="180" spans="3:13" ht="12.75" customHeight="1" x14ac:dyDescent="0.25">
      <c r="C180"/>
      <c r="M180"/>
    </row>
    <row r="181" spans="3:13" ht="12.75" customHeight="1" x14ac:dyDescent="0.25">
      <c r="C181"/>
      <c r="M181"/>
    </row>
    <row r="182" spans="3:13" ht="12.75" customHeight="1" x14ac:dyDescent="0.25">
      <c r="C182"/>
      <c r="M182"/>
    </row>
    <row r="183" spans="3:13" ht="12.75" customHeight="1" x14ac:dyDescent="0.25">
      <c r="C183"/>
      <c r="M183"/>
    </row>
    <row r="184" spans="3:13" ht="12.75" customHeight="1" x14ac:dyDescent="0.25">
      <c r="C184"/>
      <c r="M184"/>
    </row>
    <row r="185" spans="3:13" ht="12.75" customHeight="1" x14ac:dyDescent="0.25">
      <c r="C185"/>
      <c r="M185"/>
    </row>
    <row r="186" spans="3:13" ht="12.75" customHeight="1" x14ac:dyDescent="0.25">
      <c r="C186"/>
      <c r="M186"/>
    </row>
    <row r="187" spans="3:13" ht="12.75" customHeight="1" x14ac:dyDescent="0.25">
      <c r="C187"/>
      <c r="M187"/>
    </row>
    <row r="188" spans="3:13" ht="12.75" customHeight="1" x14ac:dyDescent="0.25">
      <c r="C188"/>
      <c r="M188"/>
    </row>
    <row r="189" spans="3:13" ht="12.75" customHeight="1" x14ac:dyDescent="0.25">
      <c r="C189"/>
      <c r="M189"/>
    </row>
    <row r="190" spans="3:13" ht="12.75" customHeight="1" x14ac:dyDescent="0.25">
      <c r="C190"/>
      <c r="M190"/>
    </row>
    <row r="191" spans="3:13" ht="12.75" customHeight="1" x14ac:dyDescent="0.25">
      <c r="C191"/>
      <c r="M191"/>
    </row>
    <row r="192" spans="3:13" ht="12.75" customHeight="1" x14ac:dyDescent="0.25">
      <c r="C192"/>
      <c r="M192"/>
    </row>
    <row r="193" spans="3:13" ht="12.75" customHeight="1" x14ac:dyDescent="0.25">
      <c r="C193"/>
      <c r="M193"/>
    </row>
    <row r="194" spans="3:13" ht="12.75" customHeight="1" x14ac:dyDescent="0.25">
      <c r="C194"/>
      <c r="M194"/>
    </row>
    <row r="195" spans="3:13" ht="12.75" customHeight="1" x14ac:dyDescent="0.25">
      <c r="C195"/>
      <c r="M195"/>
    </row>
    <row r="196" spans="3:13" ht="12.75" customHeight="1" x14ac:dyDescent="0.25">
      <c r="C196"/>
      <c r="M196"/>
    </row>
    <row r="197" spans="3:13" ht="12.75" customHeight="1" x14ac:dyDescent="0.25">
      <c r="C197"/>
      <c r="M197"/>
    </row>
    <row r="198" spans="3:13" ht="12.75" customHeight="1" x14ac:dyDescent="0.25">
      <c r="C198"/>
      <c r="M198"/>
    </row>
    <row r="199" spans="3:13" ht="12.75" customHeight="1" x14ac:dyDescent="0.25">
      <c r="C199"/>
      <c r="M199"/>
    </row>
    <row r="200" spans="3:13" ht="12.75" customHeight="1" x14ac:dyDescent="0.25">
      <c r="C200"/>
      <c r="M200"/>
    </row>
    <row r="201" spans="3:13" ht="12.75" customHeight="1" x14ac:dyDescent="0.25">
      <c r="C201"/>
      <c r="M201"/>
    </row>
    <row r="202" spans="3:13" ht="12.75" customHeight="1" x14ac:dyDescent="0.25">
      <c r="C202"/>
      <c r="M202"/>
    </row>
    <row r="203" spans="3:13" ht="12.75" customHeight="1" x14ac:dyDescent="0.25">
      <c r="C203"/>
      <c r="M203"/>
    </row>
    <row r="204" spans="3:13" ht="12.75" customHeight="1" x14ac:dyDescent="0.25">
      <c r="C204"/>
      <c r="M204"/>
    </row>
    <row r="205" spans="3:13" ht="12.75" customHeight="1" x14ac:dyDescent="0.25">
      <c r="C205"/>
      <c r="M205"/>
    </row>
    <row r="206" spans="3:13" ht="12.75" customHeight="1" x14ac:dyDescent="0.25">
      <c r="C206"/>
      <c r="M206"/>
    </row>
    <row r="207" spans="3:13" ht="12.75" customHeight="1" x14ac:dyDescent="0.25">
      <c r="C207"/>
      <c r="M207"/>
    </row>
    <row r="208" spans="3:13" ht="12.75" customHeight="1" x14ac:dyDescent="0.25">
      <c r="C208"/>
      <c r="M208"/>
    </row>
    <row r="209" spans="3:13" ht="12.75" customHeight="1" x14ac:dyDescent="0.25">
      <c r="C209"/>
      <c r="M209"/>
    </row>
    <row r="210" spans="3:13" ht="12.75" customHeight="1" x14ac:dyDescent="0.25">
      <c r="C210"/>
      <c r="M210"/>
    </row>
    <row r="211" spans="3:13" ht="12.75" customHeight="1" x14ac:dyDescent="0.25">
      <c r="C211"/>
      <c r="M211"/>
    </row>
    <row r="212" spans="3:13" ht="12.75" customHeight="1" x14ac:dyDescent="0.25">
      <c r="C212"/>
      <c r="M212"/>
    </row>
    <row r="213" spans="3:13" ht="12.75" customHeight="1" x14ac:dyDescent="0.25">
      <c r="C213"/>
      <c r="M213"/>
    </row>
    <row r="214" spans="3:13" ht="12.75" customHeight="1" x14ac:dyDescent="0.25">
      <c r="C214"/>
      <c r="M214"/>
    </row>
    <row r="215" spans="3:13" ht="12.75" customHeight="1" x14ac:dyDescent="0.25">
      <c r="C215"/>
      <c r="M215"/>
    </row>
    <row r="216" spans="3:13" ht="12.75" customHeight="1" x14ac:dyDescent="0.25">
      <c r="C216"/>
      <c r="M216"/>
    </row>
    <row r="217" spans="3:13" ht="12.75" customHeight="1" x14ac:dyDescent="0.25">
      <c r="C217"/>
      <c r="M217"/>
    </row>
    <row r="218" spans="3:13" ht="12.75" customHeight="1" x14ac:dyDescent="0.25">
      <c r="C218"/>
      <c r="M218"/>
    </row>
    <row r="219" spans="3:13" ht="12.75" customHeight="1" x14ac:dyDescent="0.25">
      <c r="C219"/>
      <c r="M219"/>
    </row>
    <row r="220" spans="3:13" ht="12.75" customHeight="1" x14ac:dyDescent="0.25">
      <c r="C220"/>
      <c r="M220"/>
    </row>
    <row r="221" spans="3:13" ht="12.75" customHeight="1" x14ac:dyDescent="0.25">
      <c r="C221"/>
      <c r="M221"/>
    </row>
    <row r="222" spans="3:13" ht="12.75" customHeight="1" x14ac:dyDescent="0.25">
      <c r="C222"/>
      <c r="M222"/>
    </row>
    <row r="223" spans="3:13" ht="12.75" customHeight="1" x14ac:dyDescent="0.25">
      <c r="C223"/>
      <c r="M223"/>
    </row>
    <row r="224" spans="3:13" ht="12.75" customHeight="1" x14ac:dyDescent="0.25">
      <c r="C224"/>
      <c r="M224"/>
    </row>
    <row r="225" spans="3:13" ht="12.75" customHeight="1" x14ac:dyDescent="0.25">
      <c r="C225"/>
      <c r="M225"/>
    </row>
    <row r="226" spans="3:13" ht="12.75" customHeight="1" x14ac:dyDescent="0.25">
      <c r="C226"/>
      <c r="M226"/>
    </row>
    <row r="227" spans="3:13" ht="12.75" customHeight="1" x14ac:dyDescent="0.25">
      <c r="C227"/>
      <c r="M227"/>
    </row>
    <row r="228" spans="3:13" ht="12.75" customHeight="1" x14ac:dyDescent="0.25">
      <c r="C228"/>
      <c r="M228"/>
    </row>
    <row r="229" spans="3:13" ht="12.75" customHeight="1" x14ac:dyDescent="0.25">
      <c r="C229"/>
      <c r="M229"/>
    </row>
    <row r="230" spans="3:13" ht="12.75" customHeight="1" x14ac:dyDescent="0.25">
      <c r="C230"/>
      <c r="M230"/>
    </row>
    <row r="231" spans="3:13" ht="12.75" customHeight="1" x14ac:dyDescent="0.25">
      <c r="C231"/>
      <c r="M231"/>
    </row>
    <row r="232" spans="3:13" ht="12.75" customHeight="1" x14ac:dyDescent="0.25">
      <c r="C232"/>
      <c r="M232"/>
    </row>
    <row r="233" spans="3:13" ht="12.75" customHeight="1" x14ac:dyDescent="0.25">
      <c r="C233"/>
      <c r="M233"/>
    </row>
    <row r="234" spans="3:13" ht="12.75" customHeight="1" x14ac:dyDescent="0.25">
      <c r="C234"/>
      <c r="M234"/>
    </row>
    <row r="235" spans="3:13" ht="12.75" customHeight="1" x14ac:dyDescent="0.25">
      <c r="C235"/>
      <c r="M235"/>
    </row>
    <row r="236" spans="3:13" ht="12.75" customHeight="1" x14ac:dyDescent="0.25">
      <c r="C236"/>
      <c r="M236"/>
    </row>
    <row r="237" spans="3:13" ht="12.75" customHeight="1" x14ac:dyDescent="0.25">
      <c r="C237"/>
      <c r="M237"/>
    </row>
    <row r="238" spans="3:13" ht="12.75" customHeight="1" x14ac:dyDescent="0.25">
      <c r="C238"/>
      <c r="M238"/>
    </row>
    <row r="239" spans="3:13" ht="12.75" customHeight="1" x14ac:dyDescent="0.25">
      <c r="C239"/>
      <c r="M239"/>
    </row>
    <row r="240" spans="3:13" ht="12.75" customHeight="1" x14ac:dyDescent="0.25">
      <c r="C240"/>
      <c r="M240"/>
    </row>
    <row r="241" spans="3:13" ht="12.75" customHeight="1" x14ac:dyDescent="0.25">
      <c r="C241"/>
      <c r="M241"/>
    </row>
    <row r="242" spans="3:13" ht="12.75" customHeight="1" x14ac:dyDescent="0.25">
      <c r="C242"/>
      <c r="M242"/>
    </row>
    <row r="243" spans="3:13" ht="12.75" customHeight="1" x14ac:dyDescent="0.25">
      <c r="C243"/>
      <c r="M243"/>
    </row>
    <row r="244" spans="3:13" ht="12.75" customHeight="1" x14ac:dyDescent="0.25">
      <c r="C244"/>
      <c r="M244"/>
    </row>
    <row r="245" spans="3:13" ht="12.75" customHeight="1" x14ac:dyDescent="0.25">
      <c r="C245"/>
      <c r="M245"/>
    </row>
    <row r="246" spans="3:13" ht="12.75" customHeight="1" x14ac:dyDescent="0.25">
      <c r="C246"/>
      <c r="M246"/>
    </row>
    <row r="247" spans="3:13" ht="12.75" customHeight="1" x14ac:dyDescent="0.25">
      <c r="C247"/>
      <c r="M247"/>
    </row>
    <row r="248" spans="3:13" ht="12.75" customHeight="1" x14ac:dyDescent="0.25">
      <c r="C248"/>
      <c r="M248"/>
    </row>
    <row r="249" spans="3:13" ht="12.75" customHeight="1" x14ac:dyDescent="0.25">
      <c r="C249"/>
      <c r="M249"/>
    </row>
    <row r="250" spans="3:13" ht="12.75" customHeight="1" x14ac:dyDescent="0.25">
      <c r="C250"/>
      <c r="M250"/>
    </row>
    <row r="251" spans="3:13" ht="12.75" customHeight="1" x14ac:dyDescent="0.25">
      <c r="C251"/>
      <c r="M251"/>
    </row>
    <row r="252" spans="3:13" ht="12.75" customHeight="1" x14ac:dyDescent="0.25">
      <c r="C252"/>
      <c r="M252"/>
    </row>
    <row r="253" spans="3:13" ht="12.75" customHeight="1" x14ac:dyDescent="0.25">
      <c r="C253"/>
      <c r="M253"/>
    </row>
    <row r="254" spans="3:13" ht="12.75" customHeight="1" x14ac:dyDescent="0.25">
      <c r="C254"/>
      <c r="M254"/>
    </row>
    <row r="255" spans="3:13" ht="12.75" customHeight="1" x14ac:dyDescent="0.25">
      <c r="C255"/>
      <c r="M255"/>
    </row>
    <row r="256" spans="3:13" ht="12.75" customHeight="1" x14ac:dyDescent="0.25">
      <c r="C256"/>
      <c r="M256"/>
    </row>
    <row r="257" spans="3:13" ht="12.75" customHeight="1" x14ac:dyDescent="0.25">
      <c r="C257"/>
      <c r="M257"/>
    </row>
    <row r="258" spans="3:13" ht="12.75" customHeight="1" x14ac:dyDescent="0.25">
      <c r="C258"/>
      <c r="M258"/>
    </row>
    <row r="259" spans="3:13" ht="12.75" customHeight="1" x14ac:dyDescent="0.25">
      <c r="C259"/>
      <c r="M259"/>
    </row>
    <row r="260" spans="3:13" ht="12.75" customHeight="1" x14ac:dyDescent="0.25">
      <c r="C260"/>
      <c r="M260"/>
    </row>
    <row r="261" spans="3:13" ht="12.75" customHeight="1" x14ac:dyDescent="0.25">
      <c r="C261"/>
      <c r="M261"/>
    </row>
    <row r="262" spans="3:13" ht="12.75" customHeight="1" x14ac:dyDescent="0.25">
      <c r="C262"/>
      <c r="M262"/>
    </row>
    <row r="263" spans="3:13" ht="12.75" customHeight="1" x14ac:dyDescent="0.25">
      <c r="C263"/>
      <c r="M263"/>
    </row>
    <row r="264" spans="3:13" ht="12.75" customHeight="1" x14ac:dyDescent="0.25">
      <c r="C264"/>
      <c r="M264"/>
    </row>
    <row r="265" spans="3:13" ht="12.75" customHeight="1" x14ac:dyDescent="0.25">
      <c r="C265"/>
      <c r="M265"/>
    </row>
    <row r="266" spans="3:13" ht="12.75" customHeight="1" x14ac:dyDescent="0.25">
      <c r="C266"/>
      <c r="M266"/>
    </row>
    <row r="267" spans="3:13" ht="12.75" customHeight="1" x14ac:dyDescent="0.25">
      <c r="C267"/>
      <c r="M267"/>
    </row>
    <row r="268" spans="3:13" ht="12.75" customHeight="1" x14ac:dyDescent="0.25">
      <c r="C268"/>
      <c r="M268"/>
    </row>
    <row r="269" spans="3:13" ht="12.75" customHeight="1" x14ac:dyDescent="0.25">
      <c r="C269"/>
      <c r="M269"/>
    </row>
    <row r="270" spans="3:13" ht="12.75" customHeight="1" x14ac:dyDescent="0.25">
      <c r="C270"/>
      <c r="M270"/>
    </row>
    <row r="271" spans="3:13" ht="12.75" customHeight="1" x14ac:dyDescent="0.25">
      <c r="C271"/>
      <c r="M271"/>
    </row>
    <row r="272" spans="3:13" ht="12.75" customHeight="1" x14ac:dyDescent="0.25">
      <c r="C272"/>
      <c r="M272"/>
    </row>
    <row r="273" spans="3:13" ht="12.75" customHeight="1" x14ac:dyDescent="0.25">
      <c r="C273"/>
      <c r="M273"/>
    </row>
    <row r="274" spans="3:13" ht="12.75" customHeight="1" x14ac:dyDescent="0.25">
      <c r="C274"/>
      <c r="M274"/>
    </row>
    <row r="275" spans="3:13" ht="12.75" customHeight="1" x14ac:dyDescent="0.25">
      <c r="C275"/>
      <c r="M275"/>
    </row>
    <row r="276" spans="3:13" ht="12.75" customHeight="1" x14ac:dyDescent="0.25">
      <c r="C276"/>
      <c r="M276"/>
    </row>
    <row r="277" spans="3:13" ht="12.75" customHeight="1" x14ac:dyDescent="0.25">
      <c r="C277"/>
      <c r="M277"/>
    </row>
    <row r="278" spans="3:13" ht="12.75" customHeight="1" x14ac:dyDescent="0.25">
      <c r="C278"/>
      <c r="M278"/>
    </row>
    <row r="279" spans="3:13" ht="12.75" customHeight="1" x14ac:dyDescent="0.25">
      <c r="C279"/>
      <c r="M279"/>
    </row>
    <row r="280" spans="3:13" ht="12.75" customHeight="1" x14ac:dyDescent="0.25">
      <c r="C280"/>
      <c r="M280"/>
    </row>
    <row r="281" spans="3:13" ht="12.75" customHeight="1" x14ac:dyDescent="0.25">
      <c r="C281"/>
      <c r="M281"/>
    </row>
    <row r="282" spans="3:13" ht="12.75" customHeight="1" x14ac:dyDescent="0.25">
      <c r="C282"/>
      <c r="M282"/>
    </row>
    <row r="283" spans="3:13" ht="12.75" customHeight="1" x14ac:dyDescent="0.25">
      <c r="C283"/>
      <c r="M283"/>
    </row>
    <row r="284" spans="3:13" ht="12.75" customHeight="1" x14ac:dyDescent="0.25">
      <c r="C284"/>
      <c r="M284"/>
    </row>
    <row r="285" spans="3:13" ht="12.75" customHeight="1" x14ac:dyDescent="0.25">
      <c r="C285"/>
      <c r="M285"/>
    </row>
    <row r="286" spans="3:13" ht="12.75" customHeight="1" x14ac:dyDescent="0.25">
      <c r="C286"/>
      <c r="M286"/>
    </row>
    <row r="287" spans="3:13" ht="12.75" customHeight="1" x14ac:dyDescent="0.25">
      <c r="C287"/>
      <c r="M287"/>
    </row>
    <row r="288" spans="3:13" ht="12.75" customHeight="1" x14ac:dyDescent="0.25">
      <c r="C288"/>
      <c r="M288"/>
    </row>
    <row r="289" spans="3:13" ht="12.75" customHeight="1" x14ac:dyDescent="0.25">
      <c r="C289"/>
      <c r="M289"/>
    </row>
    <row r="290" spans="3:13" ht="12.75" customHeight="1" x14ac:dyDescent="0.25">
      <c r="C290"/>
      <c r="M290"/>
    </row>
    <row r="291" spans="3:13" ht="12.75" customHeight="1" x14ac:dyDescent="0.25">
      <c r="C291"/>
      <c r="M291"/>
    </row>
    <row r="292" spans="3:13" ht="12.75" customHeight="1" x14ac:dyDescent="0.25">
      <c r="C292"/>
      <c r="M292"/>
    </row>
    <row r="293" spans="3:13" ht="12.75" customHeight="1" x14ac:dyDescent="0.25">
      <c r="C293"/>
      <c r="M293"/>
    </row>
    <row r="294" spans="3:13" ht="12.75" customHeight="1" x14ac:dyDescent="0.25">
      <c r="C294"/>
      <c r="M294"/>
    </row>
    <row r="295" spans="3:13" ht="12.75" customHeight="1" x14ac:dyDescent="0.25">
      <c r="C295"/>
      <c r="M295"/>
    </row>
    <row r="296" spans="3:13" ht="12.75" customHeight="1" x14ac:dyDescent="0.25">
      <c r="C296"/>
      <c r="M296"/>
    </row>
    <row r="297" spans="3:13" ht="12.75" customHeight="1" x14ac:dyDescent="0.25">
      <c r="C297"/>
      <c r="M297"/>
    </row>
    <row r="298" spans="3:13" ht="12.75" customHeight="1" x14ac:dyDescent="0.25">
      <c r="C298"/>
      <c r="M298"/>
    </row>
    <row r="299" spans="3:13" ht="12.75" customHeight="1" x14ac:dyDescent="0.25">
      <c r="C299"/>
      <c r="M299"/>
    </row>
    <row r="300" spans="3:13" ht="12.75" customHeight="1" x14ac:dyDescent="0.25">
      <c r="C300"/>
      <c r="M300"/>
    </row>
    <row r="301" spans="3:13" ht="12.75" customHeight="1" x14ac:dyDescent="0.25">
      <c r="C301"/>
      <c r="M301"/>
    </row>
    <row r="302" spans="3:13" ht="12.75" customHeight="1" x14ac:dyDescent="0.25">
      <c r="C302"/>
      <c r="M302"/>
    </row>
    <row r="303" spans="3:13" ht="12.75" customHeight="1" x14ac:dyDescent="0.25">
      <c r="C303"/>
      <c r="M303"/>
    </row>
    <row r="304" spans="3:13" ht="12.75" customHeight="1" x14ac:dyDescent="0.25">
      <c r="C304"/>
      <c r="M304"/>
    </row>
    <row r="305" spans="3:13" ht="12.75" customHeight="1" x14ac:dyDescent="0.25">
      <c r="C305"/>
      <c r="M305"/>
    </row>
    <row r="306" spans="3:13" ht="12.75" customHeight="1" x14ac:dyDescent="0.25">
      <c r="C306"/>
      <c r="M306"/>
    </row>
    <row r="307" spans="3:13" ht="12.75" customHeight="1" x14ac:dyDescent="0.25">
      <c r="C307"/>
      <c r="M307"/>
    </row>
    <row r="308" spans="3:13" ht="12.75" customHeight="1" x14ac:dyDescent="0.25">
      <c r="C308"/>
      <c r="M308"/>
    </row>
    <row r="309" spans="3:13" ht="12.75" customHeight="1" x14ac:dyDescent="0.25">
      <c r="C309"/>
      <c r="M309"/>
    </row>
    <row r="310" spans="3:13" ht="12.75" customHeight="1" x14ac:dyDescent="0.25">
      <c r="C310"/>
      <c r="M310"/>
    </row>
    <row r="311" spans="3:13" ht="12.75" customHeight="1" x14ac:dyDescent="0.25">
      <c r="C311"/>
      <c r="M311"/>
    </row>
    <row r="312" spans="3:13" ht="12.75" customHeight="1" x14ac:dyDescent="0.25">
      <c r="C312"/>
      <c r="M312"/>
    </row>
    <row r="313" spans="3:13" ht="12.75" customHeight="1" x14ac:dyDescent="0.25">
      <c r="C313"/>
      <c r="M313"/>
    </row>
    <row r="314" spans="3:13" ht="12.75" customHeight="1" x14ac:dyDescent="0.25">
      <c r="C314"/>
      <c r="M314"/>
    </row>
    <row r="315" spans="3:13" ht="12.75" customHeight="1" x14ac:dyDescent="0.25">
      <c r="C315"/>
      <c r="M315"/>
    </row>
    <row r="316" spans="3:13" ht="12.75" customHeight="1" x14ac:dyDescent="0.25">
      <c r="C316"/>
      <c r="M316"/>
    </row>
    <row r="317" spans="3:13" ht="12.75" customHeight="1" x14ac:dyDescent="0.25">
      <c r="C317"/>
      <c r="M317"/>
    </row>
    <row r="318" spans="3:13" ht="12.75" customHeight="1" x14ac:dyDescent="0.25">
      <c r="C318"/>
      <c r="M318"/>
    </row>
    <row r="319" spans="3:13" ht="12.75" customHeight="1" x14ac:dyDescent="0.25">
      <c r="C319"/>
      <c r="M319"/>
    </row>
    <row r="320" spans="3:13" ht="12.75" customHeight="1" x14ac:dyDescent="0.25">
      <c r="C320"/>
      <c r="M320"/>
    </row>
    <row r="321" spans="3:13" ht="12.75" customHeight="1" x14ac:dyDescent="0.25">
      <c r="C321"/>
      <c r="M321"/>
    </row>
    <row r="322" spans="3:13" ht="12.75" customHeight="1" x14ac:dyDescent="0.25">
      <c r="C322"/>
      <c r="M322"/>
    </row>
    <row r="323" spans="3:13" ht="12.75" customHeight="1" x14ac:dyDescent="0.25">
      <c r="C323"/>
      <c r="M323"/>
    </row>
    <row r="324" spans="3:13" ht="12.75" customHeight="1" x14ac:dyDescent="0.25">
      <c r="C324"/>
      <c r="M324"/>
    </row>
    <row r="325" spans="3:13" ht="12.75" customHeight="1" x14ac:dyDescent="0.25">
      <c r="C325"/>
      <c r="M325"/>
    </row>
    <row r="326" spans="3:13" ht="12.75" customHeight="1" x14ac:dyDescent="0.25">
      <c r="C326"/>
      <c r="M326"/>
    </row>
    <row r="327" spans="3:13" ht="12.75" customHeight="1" x14ac:dyDescent="0.25">
      <c r="C327"/>
      <c r="M327"/>
    </row>
    <row r="328" spans="3:13" ht="12.75" customHeight="1" x14ac:dyDescent="0.25">
      <c r="C328"/>
      <c r="M328"/>
    </row>
    <row r="329" spans="3:13" ht="12.75" customHeight="1" x14ac:dyDescent="0.25">
      <c r="C329"/>
      <c r="M329"/>
    </row>
    <row r="330" spans="3:13" ht="12.75" customHeight="1" x14ac:dyDescent="0.25">
      <c r="C330"/>
      <c r="M330"/>
    </row>
    <row r="331" spans="3:13" ht="12.75" customHeight="1" x14ac:dyDescent="0.25">
      <c r="C331"/>
      <c r="M331"/>
    </row>
    <row r="332" spans="3:13" ht="12.75" customHeight="1" x14ac:dyDescent="0.25">
      <c r="C332"/>
      <c r="M332"/>
    </row>
    <row r="333" spans="3:13" ht="12.75" customHeight="1" x14ac:dyDescent="0.25">
      <c r="C333"/>
      <c r="M333"/>
    </row>
    <row r="334" spans="3:13" ht="12.75" customHeight="1" x14ac:dyDescent="0.25">
      <c r="C334"/>
      <c r="M334"/>
    </row>
    <row r="335" spans="3:13" ht="12.75" customHeight="1" x14ac:dyDescent="0.25">
      <c r="C335"/>
      <c r="M335"/>
    </row>
    <row r="336" spans="3:13" ht="12.75" customHeight="1" x14ac:dyDescent="0.25">
      <c r="C336"/>
      <c r="M336"/>
    </row>
    <row r="337" spans="3:13" ht="12.75" customHeight="1" x14ac:dyDescent="0.25">
      <c r="C337"/>
      <c r="M337"/>
    </row>
    <row r="338" spans="3:13" ht="12.75" customHeight="1" x14ac:dyDescent="0.25">
      <c r="C338"/>
      <c r="M338"/>
    </row>
    <row r="339" spans="3:13" ht="12.75" customHeight="1" x14ac:dyDescent="0.25">
      <c r="C339"/>
      <c r="M339"/>
    </row>
    <row r="340" spans="3:13" ht="12.75" customHeight="1" x14ac:dyDescent="0.25">
      <c r="C340"/>
      <c r="M340"/>
    </row>
    <row r="341" spans="3:13" ht="12.75" customHeight="1" x14ac:dyDescent="0.25">
      <c r="C341"/>
      <c r="M341"/>
    </row>
    <row r="342" spans="3:13" ht="12.75" customHeight="1" x14ac:dyDescent="0.25">
      <c r="C342"/>
      <c r="M342"/>
    </row>
    <row r="343" spans="3:13" ht="12.75" customHeight="1" x14ac:dyDescent="0.25">
      <c r="C343"/>
      <c r="M343"/>
    </row>
    <row r="344" spans="3:13" ht="12.75" customHeight="1" x14ac:dyDescent="0.25">
      <c r="C344"/>
      <c r="M344"/>
    </row>
    <row r="345" spans="3:13" ht="12.75" customHeight="1" x14ac:dyDescent="0.25">
      <c r="C345"/>
      <c r="M345"/>
    </row>
    <row r="346" spans="3:13" ht="12.75" customHeight="1" x14ac:dyDescent="0.25">
      <c r="C346"/>
      <c r="M346"/>
    </row>
    <row r="347" spans="3:13" ht="12.75" customHeight="1" x14ac:dyDescent="0.25">
      <c r="C347"/>
      <c r="M347"/>
    </row>
    <row r="348" spans="3:13" ht="12.75" customHeight="1" x14ac:dyDescent="0.25">
      <c r="C348"/>
      <c r="M348"/>
    </row>
    <row r="349" spans="3:13" ht="12.75" customHeight="1" x14ac:dyDescent="0.25">
      <c r="C349"/>
      <c r="M349"/>
    </row>
    <row r="350" spans="3:13" ht="12.75" customHeight="1" x14ac:dyDescent="0.25">
      <c r="C350"/>
      <c r="M350"/>
    </row>
    <row r="351" spans="3:13" ht="12.75" customHeight="1" x14ac:dyDescent="0.25">
      <c r="C351"/>
      <c r="M351"/>
    </row>
    <row r="352" spans="3:13" ht="12.75" customHeight="1" x14ac:dyDescent="0.25">
      <c r="C352"/>
      <c r="M352"/>
    </row>
    <row r="353" spans="3:13" ht="12.75" customHeight="1" x14ac:dyDescent="0.25">
      <c r="C353"/>
      <c r="M353"/>
    </row>
    <row r="354" spans="3:13" ht="12.75" customHeight="1" x14ac:dyDescent="0.25">
      <c r="C354"/>
      <c r="M354"/>
    </row>
    <row r="355" spans="3:13" ht="12.75" customHeight="1" x14ac:dyDescent="0.25">
      <c r="C355"/>
      <c r="M355"/>
    </row>
    <row r="356" spans="3:13" ht="12.75" customHeight="1" x14ac:dyDescent="0.25">
      <c r="C356"/>
      <c r="M356"/>
    </row>
    <row r="357" spans="3:13" ht="12.75" customHeight="1" x14ac:dyDescent="0.25">
      <c r="C357"/>
      <c r="M357"/>
    </row>
    <row r="358" spans="3:13" ht="12.75" customHeight="1" x14ac:dyDescent="0.25">
      <c r="C358"/>
      <c r="M358"/>
    </row>
    <row r="359" spans="3:13" ht="12.75" customHeight="1" x14ac:dyDescent="0.25">
      <c r="C359"/>
      <c r="M359"/>
    </row>
    <row r="360" spans="3:13" ht="12.75" customHeight="1" x14ac:dyDescent="0.25">
      <c r="C360"/>
      <c r="M360"/>
    </row>
    <row r="361" spans="3:13" ht="12.75" customHeight="1" x14ac:dyDescent="0.25">
      <c r="C361"/>
      <c r="M361"/>
    </row>
    <row r="362" spans="3:13" ht="12.75" customHeight="1" x14ac:dyDescent="0.25">
      <c r="C362"/>
      <c r="M362"/>
    </row>
    <row r="363" spans="3:13" ht="12.75" customHeight="1" x14ac:dyDescent="0.25">
      <c r="C363"/>
      <c r="M363"/>
    </row>
    <row r="364" spans="3:13" ht="12.75" customHeight="1" x14ac:dyDescent="0.25">
      <c r="C364"/>
      <c r="M364"/>
    </row>
    <row r="365" spans="3:13" ht="12.75" customHeight="1" x14ac:dyDescent="0.25">
      <c r="C365"/>
      <c r="M365"/>
    </row>
    <row r="366" spans="3:13" ht="12.75" customHeight="1" x14ac:dyDescent="0.25">
      <c r="C366"/>
      <c r="M366"/>
    </row>
    <row r="367" spans="3:13" ht="12.75" customHeight="1" x14ac:dyDescent="0.25">
      <c r="C367"/>
      <c r="M367"/>
    </row>
    <row r="368" spans="3:13" ht="12.75" customHeight="1" x14ac:dyDescent="0.25">
      <c r="C368"/>
      <c r="M368"/>
    </row>
    <row r="369" spans="3:13" ht="12.75" customHeight="1" x14ac:dyDescent="0.25">
      <c r="C369"/>
      <c r="M369"/>
    </row>
    <row r="370" spans="3:13" ht="12.75" customHeight="1" x14ac:dyDescent="0.25">
      <c r="C370"/>
      <c r="M370"/>
    </row>
    <row r="371" spans="3:13" ht="12.75" customHeight="1" x14ac:dyDescent="0.25">
      <c r="C371"/>
      <c r="M371"/>
    </row>
    <row r="372" spans="3:13" ht="12.75" customHeight="1" x14ac:dyDescent="0.25">
      <c r="C372"/>
      <c r="M372"/>
    </row>
    <row r="373" spans="3:13" ht="12.75" customHeight="1" x14ac:dyDescent="0.25">
      <c r="C373"/>
      <c r="M373"/>
    </row>
    <row r="374" spans="3:13" ht="12.75" customHeight="1" x14ac:dyDescent="0.25">
      <c r="C374"/>
      <c r="M374"/>
    </row>
    <row r="375" spans="3:13" ht="12.75" customHeight="1" x14ac:dyDescent="0.25">
      <c r="C375"/>
      <c r="M375"/>
    </row>
    <row r="376" spans="3:13" ht="12.75" customHeight="1" x14ac:dyDescent="0.25">
      <c r="C376"/>
      <c r="M376"/>
    </row>
    <row r="377" spans="3:13" ht="12.75" customHeight="1" x14ac:dyDescent="0.25">
      <c r="C377"/>
      <c r="M377"/>
    </row>
    <row r="378" spans="3:13" ht="12.75" customHeight="1" x14ac:dyDescent="0.25">
      <c r="C378"/>
      <c r="M378"/>
    </row>
    <row r="379" spans="3:13" ht="12.75" customHeight="1" x14ac:dyDescent="0.25">
      <c r="C379"/>
      <c r="M379"/>
    </row>
    <row r="380" spans="3:13" ht="12.75" customHeight="1" x14ac:dyDescent="0.25">
      <c r="C380"/>
      <c r="M380"/>
    </row>
    <row r="381" spans="3:13" ht="12.75" customHeight="1" x14ac:dyDescent="0.25">
      <c r="C381"/>
      <c r="M381"/>
    </row>
    <row r="382" spans="3:13" ht="12.75" customHeight="1" x14ac:dyDescent="0.25">
      <c r="C382"/>
      <c r="M382"/>
    </row>
    <row r="383" spans="3:13" ht="12.75" customHeight="1" x14ac:dyDescent="0.25">
      <c r="C383"/>
      <c r="M383"/>
    </row>
    <row r="384" spans="3:13" ht="12.75" customHeight="1" x14ac:dyDescent="0.25">
      <c r="C384"/>
      <c r="M384"/>
    </row>
    <row r="385" spans="3:13" ht="12.75" customHeight="1" x14ac:dyDescent="0.25">
      <c r="C385"/>
      <c r="M385"/>
    </row>
    <row r="386" spans="3:13" ht="12.75" customHeight="1" x14ac:dyDescent="0.25">
      <c r="C386"/>
      <c r="M386"/>
    </row>
    <row r="387" spans="3:13" ht="12.75" customHeight="1" x14ac:dyDescent="0.25">
      <c r="C387"/>
      <c r="M387"/>
    </row>
    <row r="388" spans="3:13" ht="12.75" customHeight="1" x14ac:dyDescent="0.25">
      <c r="C388"/>
      <c r="M388"/>
    </row>
    <row r="389" spans="3:13" ht="12.75" customHeight="1" x14ac:dyDescent="0.25">
      <c r="C389"/>
      <c r="M389"/>
    </row>
    <row r="390" spans="3:13" ht="12.75" customHeight="1" x14ac:dyDescent="0.25">
      <c r="C390"/>
      <c r="M390"/>
    </row>
    <row r="391" spans="3:13" ht="12.75" customHeight="1" x14ac:dyDescent="0.25">
      <c r="C391"/>
      <c r="M391"/>
    </row>
    <row r="392" spans="3:13" ht="12.75" customHeight="1" x14ac:dyDescent="0.25">
      <c r="C392"/>
      <c r="M392"/>
    </row>
    <row r="393" spans="3:13" ht="12.75" customHeight="1" x14ac:dyDescent="0.25">
      <c r="C393"/>
      <c r="M393"/>
    </row>
    <row r="394" spans="3:13" ht="12.75" customHeight="1" x14ac:dyDescent="0.25">
      <c r="C394"/>
      <c r="M394"/>
    </row>
    <row r="395" spans="3:13" ht="12.75" customHeight="1" x14ac:dyDescent="0.25">
      <c r="C395"/>
      <c r="M395"/>
    </row>
    <row r="396" spans="3:13" ht="12.75" customHeight="1" x14ac:dyDescent="0.25">
      <c r="C396"/>
      <c r="M396"/>
    </row>
    <row r="397" spans="3:13" ht="12.75" customHeight="1" x14ac:dyDescent="0.25">
      <c r="C397"/>
      <c r="M397"/>
    </row>
    <row r="398" spans="3:13" ht="12.75" customHeight="1" x14ac:dyDescent="0.25">
      <c r="C398"/>
      <c r="M398"/>
    </row>
    <row r="399" spans="3:13" ht="12.75" customHeight="1" x14ac:dyDescent="0.25">
      <c r="C399"/>
      <c r="M399"/>
    </row>
    <row r="400" spans="3:13" ht="12.75" customHeight="1" x14ac:dyDescent="0.25">
      <c r="C400"/>
      <c r="M400"/>
    </row>
    <row r="401" spans="3:13" ht="12.75" customHeight="1" x14ac:dyDescent="0.25">
      <c r="C401"/>
      <c r="M401"/>
    </row>
    <row r="402" spans="3:13" ht="12.75" customHeight="1" x14ac:dyDescent="0.25">
      <c r="C402"/>
      <c r="M402"/>
    </row>
    <row r="403" spans="3:13" ht="12.75" customHeight="1" x14ac:dyDescent="0.25">
      <c r="C403"/>
      <c r="M403"/>
    </row>
    <row r="404" spans="3:13" ht="12.75" customHeight="1" x14ac:dyDescent="0.25">
      <c r="C404"/>
      <c r="M404"/>
    </row>
    <row r="405" spans="3:13" ht="12.75" customHeight="1" x14ac:dyDescent="0.25">
      <c r="C405"/>
      <c r="M405"/>
    </row>
    <row r="406" spans="3:13" ht="12.75" customHeight="1" x14ac:dyDescent="0.25">
      <c r="C406"/>
      <c r="M406"/>
    </row>
    <row r="407" spans="3:13" ht="12.75" customHeight="1" x14ac:dyDescent="0.25">
      <c r="C407"/>
      <c r="M407"/>
    </row>
    <row r="408" spans="3:13" ht="12.75" customHeight="1" x14ac:dyDescent="0.25">
      <c r="C408"/>
      <c r="M408"/>
    </row>
    <row r="409" spans="3:13" ht="12.75" customHeight="1" x14ac:dyDescent="0.25">
      <c r="C409"/>
      <c r="M409"/>
    </row>
    <row r="410" spans="3:13" ht="12.75" customHeight="1" x14ac:dyDescent="0.25">
      <c r="C410"/>
      <c r="M410"/>
    </row>
    <row r="411" spans="3:13" ht="12.75" customHeight="1" x14ac:dyDescent="0.25">
      <c r="C411"/>
      <c r="M411"/>
    </row>
    <row r="412" spans="3:13" ht="12.75" customHeight="1" x14ac:dyDescent="0.25">
      <c r="C412"/>
      <c r="M412"/>
    </row>
    <row r="413" spans="3:13" ht="12.75" customHeight="1" x14ac:dyDescent="0.25">
      <c r="C413"/>
      <c r="M413"/>
    </row>
    <row r="414" spans="3:13" ht="12.75" customHeight="1" x14ac:dyDescent="0.25">
      <c r="C414"/>
      <c r="M414"/>
    </row>
    <row r="415" spans="3:13" ht="12.75" customHeight="1" x14ac:dyDescent="0.25">
      <c r="C415"/>
      <c r="M415"/>
    </row>
    <row r="416" spans="3:13" ht="12.75" customHeight="1" x14ac:dyDescent="0.25">
      <c r="C416"/>
      <c r="M416"/>
    </row>
    <row r="417" spans="3:13" ht="12.75" customHeight="1" x14ac:dyDescent="0.25">
      <c r="C417"/>
      <c r="M417"/>
    </row>
    <row r="418" spans="3:13" ht="12.75" customHeight="1" x14ac:dyDescent="0.25">
      <c r="C418"/>
      <c r="M418"/>
    </row>
    <row r="419" spans="3:13" ht="12.75" customHeight="1" x14ac:dyDescent="0.25">
      <c r="C419"/>
      <c r="M419"/>
    </row>
    <row r="420" spans="3:13" ht="12.75" customHeight="1" x14ac:dyDescent="0.25">
      <c r="C420"/>
      <c r="M420"/>
    </row>
    <row r="421" spans="3:13" ht="12.75" customHeight="1" x14ac:dyDescent="0.25">
      <c r="C421"/>
      <c r="M421"/>
    </row>
    <row r="422" spans="3:13" ht="12.75" customHeight="1" x14ac:dyDescent="0.25">
      <c r="C422"/>
      <c r="M422"/>
    </row>
    <row r="423" spans="3:13" ht="12.75" customHeight="1" x14ac:dyDescent="0.25">
      <c r="C423"/>
      <c r="M423"/>
    </row>
    <row r="424" spans="3:13" ht="12.75" customHeight="1" x14ac:dyDescent="0.25">
      <c r="C424"/>
      <c r="M424"/>
    </row>
    <row r="425" spans="3:13" ht="12.75" customHeight="1" x14ac:dyDescent="0.25">
      <c r="C425"/>
      <c r="M425"/>
    </row>
    <row r="426" spans="3:13" ht="12.75" customHeight="1" x14ac:dyDescent="0.25">
      <c r="C426"/>
      <c r="M426"/>
    </row>
    <row r="427" spans="3:13" ht="12.75" customHeight="1" x14ac:dyDescent="0.25">
      <c r="C427"/>
      <c r="M427"/>
    </row>
    <row r="428" spans="3:13" ht="12.75" customHeight="1" x14ac:dyDescent="0.25">
      <c r="C428"/>
      <c r="M428"/>
    </row>
    <row r="429" spans="3:13" ht="12.75" customHeight="1" x14ac:dyDescent="0.25">
      <c r="C429"/>
      <c r="M429"/>
    </row>
    <row r="430" spans="3:13" ht="12.75" customHeight="1" x14ac:dyDescent="0.25">
      <c r="C430"/>
      <c r="M430"/>
    </row>
    <row r="431" spans="3:13" ht="12.75" customHeight="1" x14ac:dyDescent="0.25">
      <c r="C431"/>
      <c r="M431"/>
    </row>
    <row r="432" spans="3:13" ht="12.75" customHeight="1" x14ac:dyDescent="0.25">
      <c r="C432"/>
      <c r="M432"/>
    </row>
    <row r="433" spans="3:13" ht="12.75" customHeight="1" x14ac:dyDescent="0.25">
      <c r="C433"/>
      <c r="M433"/>
    </row>
    <row r="434" spans="3:13" ht="12.75" customHeight="1" x14ac:dyDescent="0.25">
      <c r="C434"/>
      <c r="M434"/>
    </row>
    <row r="435" spans="3:13" ht="12.75" customHeight="1" x14ac:dyDescent="0.25">
      <c r="C435"/>
      <c r="M435"/>
    </row>
    <row r="436" spans="3:13" ht="12.75" customHeight="1" x14ac:dyDescent="0.25">
      <c r="C436"/>
      <c r="M436"/>
    </row>
    <row r="437" spans="3:13" ht="12.75" customHeight="1" x14ac:dyDescent="0.25">
      <c r="C437"/>
      <c r="M437"/>
    </row>
    <row r="438" spans="3:13" ht="12.75" customHeight="1" x14ac:dyDescent="0.25">
      <c r="C438"/>
      <c r="M438"/>
    </row>
    <row r="439" spans="3:13" ht="12.75" customHeight="1" x14ac:dyDescent="0.25">
      <c r="C439"/>
      <c r="M439"/>
    </row>
    <row r="440" spans="3:13" ht="12.75" customHeight="1" x14ac:dyDescent="0.25">
      <c r="C440"/>
      <c r="M440"/>
    </row>
    <row r="441" spans="3:13" ht="12.75" customHeight="1" x14ac:dyDescent="0.25">
      <c r="C441"/>
      <c r="M441"/>
    </row>
    <row r="442" spans="3:13" ht="12.75" customHeight="1" x14ac:dyDescent="0.25">
      <c r="C442"/>
      <c r="M442"/>
    </row>
    <row r="443" spans="3:13" ht="12.75" customHeight="1" x14ac:dyDescent="0.25">
      <c r="C443"/>
      <c r="M443"/>
    </row>
    <row r="444" spans="3:13" ht="12.75" customHeight="1" x14ac:dyDescent="0.25">
      <c r="C444"/>
      <c r="M444"/>
    </row>
    <row r="445" spans="3:13" ht="12.75" customHeight="1" x14ac:dyDescent="0.25">
      <c r="C445"/>
      <c r="M445"/>
    </row>
    <row r="446" spans="3:13" ht="12.75" customHeight="1" x14ac:dyDescent="0.25">
      <c r="C446"/>
      <c r="M446"/>
    </row>
    <row r="447" spans="3:13" ht="12.75" customHeight="1" x14ac:dyDescent="0.25">
      <c r="C447"/>
      <c r="M447"/>
    </row>
    <row r="448" spans="3:13" ht="12.75" customHeight="1" x14ac:dyDescent="0.25">
      <c r="C448"/>
      <c r="M448"/>
    </row>
    <row r="449" spans="3:13" ht="12.75" customHeight="1" x14ac:dyDescent="0.25">
      <c r="C449"/>
      <c r="M449"/>
    </row>
    <row r="450" spans="3:13" ht="12.75" customHeight="1" x14ac:dyDescent="0.25">
      <c r="C450"/>
      <c r="M450"/>
    </row>
    <row r="451" spans="3:13" ht="12.75" customHeight="1" x14ac:dyDescent="0.25">
      <c r="C451"/>
      <c r="M451"/>
    </row>
    <row r="452" spans="3:13" ht="12.75" customHeight="1" x14ac:dyDescent="0.25">
      <c r="C452"/>
      <c r="M452"/>
    </row>
    <row r="453" spans="3:13" ht="12.75" customHeight="1" x14ac:dyDescent="0.25">
      <c r="C453"/>
      <c r="M453"/>
    </row>
    <row r="454" spans="3:13" ht="12.75" customHeight="1" x14ac:dyDescent="0.25">
      <c r="C454"/>
      <c r="M454"/>
    </row>
    <row r="455" spans="3:13" ht="12.75" customHeight="1" x14ac:dyDescent="0.25">
      <c r="C455"/>
      <c r="M455"/>
    </row>
    <row r="456" spans="3:13" ht="12.75" customHeight="1" x14ac:dyDescent="0.25">
      <c r="C456"/>
      <c r="M456"/>
    </row>
    <row r="457" spans="3:13" ht="12.75" customHeight="1" x14ac:dyDescent="0.25">
      <c r="C457"/>
      <c r="M457"/>
    </row>
    <row r="458" spans="3:13" ht="12.75" customHeight="1" x14ac:dyDescent="0.25">
      <c r="C458"/>
      <c r="M458"/>
    </row>
    <row r="459" spans="3:13" ht="12.75" customHeight="1" x14ac:dyDescent="0.25">
      <c r="C459"/>
      <c r="M459"/>
    </row>
    <row r="460" spans="3:13" ht="12.75" customHeight="1" x14ac:dyDescent="0.25">
      <c r="C460"/>
      <c r="M460"/>
    </row>
    <row r="461" spans="3:13" ht="12.75" customHeight="1" x14ac:dyDescent="0.25">
      <c r="C461"/>
      <c r="M461"/>
    </row>
    <row r="462" spans="3:13" ht="12.75" customHeight="1" x14ac:dyDescent="0.25">
      <c r="C462"/>
      <c r="M462"/>
    </row>
    <row r="463" spans="3:13" ht="12.75" customHeight="1" x14ac:dyDescent="0.25">
      <c r="C463"/>
      <c r="M463"/>
    </row>
    <row r="464" spans="3:13" ht="12.75" customHeight="1" x14ac:dyDescent="0.25">
      <c r="C464"/>
      <c r="M464"/>
    </row>
    <row r="465" spans="3:13" ht="12.75" customHeight="1" x14ac:dyDescent="0.25">
      <c r="C465"/>
      <c r="M465"/>
    </row>
    <row r="466" spans="3:13" ht="12.75" customHeight="1" x14ac:dyDescent="0.25">
      <c r="C466"/>
      <c r="M466"/>
    </row>
    <row r="467" spans="3:13" ht="12.75" customHeight="1" x14ac:dyDescent="0.25">
      <c r="C467"/>
      <c r="M467"/>
    </row>
    <row r="468" spans="3:13" ht="12.75" customHeight="1" x14ac:dyDescent="0.25">
      <c r="C468"/>
      <c r="M468"/>
    </row>
    <row r="469" spans="3:13" ht="12.75" customHeight="1" x14ac:dyDescent="0.25">
      <c r="C469"/>
      <c r="M469"/>
    </row>
    <row r="470" spans="3:13" ht="12.75" customHeight="1" x14ac:dyDescent="0.25">
      <c r="C470"/>
      <c r="M470"/>
    </row>
    <row r="471" spans="3:13" ht="12.75" customHeight="1" x14ac:dyDescent="0.25">
      <c r="C471"/>
      <c r="M471"/>
    </row>
    <row r="472" spans="3:13" ht="12.75" customHeight="1" x14ac:dyDescent="0.25">
      <c r="C472"/>
      <c r="M472"/>
    </row>
    <row r="473" spans="3:13" ht="12.75" customHeight="1" x14ac:dyDescent="0.25">
      <c r="C473"/>
      <c r="M473"/>
    </row>
    <row r="474" spans="3:13" ht="12.75" customHeight="1" x14ac:dyDescent="0.25">
      <c r="C474"/>
      <c r="M474"/>
    </row>
    <row r="475" spans="3:13" ht="12.75" customHeight="1" x14ac:dyDescent="0.25">
      <c r="C475"/>
      <c r="M475"/>
    </row>
    <row r="476" spans="3:13" ht="12.75" customHeight="1" x14ac:dyDescent="0.25">
      <c r="C476"/>
      <c r="M476"/>
    </row>
    <row r="477" spans="3:13" ht="12.75" customHeight="1" x14ac:dyDescent="0.25">
      <c r="C477"/>
      <c r="M477"/>
    </row>
    <row r="478" spans="3:13" ht="12.75" customHeight="1" x14ac:dyDescent="0.25">
      <c r="C478"/>
      <c r="M478"/>
    </row>
    <row r="479" spans="3:13" ht="12.75" customHeight="1" x14ac:dyDescent="0.25">
      <c r="C479"/>
      <c r="M479"/>
    </row>
    <row r="480" spans="3:13" ht="12.75" customHeight="1" x14ac:dyDescent="0.25">
      <c r="C480"/>
      <c r="M480"/>
    </row>
    <row r="481" spans="3:13" ht="12.75" customHeight="1" x14ac:dyDescent="0.25">
      <c r="C481"/>
      <c r="M481"/>
    </row>
    <row r="482" spans="3:13" ht="12.75" customHeight="1" x14ac:dyDescent="0.25">
      <c r="C482"/>
      <c r="M482"/>
    </row>
    <row r="483" spans="3:13" ht="12.75" customHeight="1" x14ac:dyDescent="0.25">
      <c r="C483"/>
      <c r="M483"/>
    </row>
    <row r="484" spans="3:13" ht="12.75" customHeight="1" x14ac:dyDescent="0.25">
      <c r="C484"/>
      <c r="M484"/>
    </row>
    <row r="485" spans="3:13" ht="12.75" customHeight="1" x14ac:dyDescent="0.25">
      <c r="C485"/>
      <c r="M485"/>
    </row>
    <row r="486" spans="3:13" ht="12.75" customHeight="1" x14ac:dyDescent="0.25">
      <c r="C486"/>
      <c r="M486"/>
    </row>
    <row r="487" spans="3:13" ht="12.75" customHeight="1" x14ac:dyDescent="0.25">
      <c r="C487"/>
      <c r="M487"/>
    </row>
    <row r="488" spans="3:13" ht="12.75" customHeight="1" x14ac:dyDescent="0.25">
      <c r="C488"/>
      <c r="M488"/>
    </row>
    <row r="489" spans="3:13" ht="12.75" customHeight="1" x14ac:dyDescent="0.25">
      <c r="C489"/>
      <c r="M489"/>
    </row>
    <row r="490" spans="3:13" ht="12.75" customHeight="1" x14ac:dyDescent="0.25">
      <c r="C490"/>
      <c r="M490"/>
    </row>
    <row r="491" spans="3:13" ht="12.75" customHeight="1" x14ac:dyDescent="0.25">
      <c r="C491"/>
      <c r="M491"/>
    </row>
    <row r="492" spans="3:13" ht="12.75" customHeight="1" x14ac:dyDescent="0.25">
      <c r="C492"/>
      <c r="M492"/>
    </row>
    <row r="493" spans="3:13" ht="12.75" customHeight="1" x14ac:dyDescent="0.25">
      <c r="C493"/>
      <c r="M493"/>
    </row>
    <row r="494" spans="3:13" ht="12.75" customHeight="1" x14ac:dyDescent="0.25">
      <c r="C494"/>
      <c r="M494"/>
    </row>
    <row r="495" spans="3:13" ht="12.75" customHeight="1" x14ac:dyDescent="0.25">
      <c r="C495"/>
      <c r="M495"/>
    </row>
    <row r="496" spans="3:13" ht="12.75" customHeight="1" x14ac:dyDescent="0.25">
      <c r="C496"/>
      <c r="M496"/>
    </row>
    <row r="497" spans="3:13" ht="12.75" customHeight="1" x14ac:dyDescent="0.25">
      <c r="C497"/>
      <c r="M497"/>
    </row>
    <row r="498" spans="3:13" ht="12.75" customHeight="1" x14ac:dyDescent="0.25">
      <c r="C498"/>
      <c r="M498"/>
    </row>
    <row r="499" spans="3:13" ht="12.75" customHeight="1" x14ac:dyDescent="0.25">
      <c r="C499"/>
      <c r="M499"/>
    </row>
    <row r="500" spans="3:13" ht="12.75" customHeight="1" x14ac:dyDescent="0.25">
      <c r="C500"/>
      <c r="M500"/>
    </row>
    <row r="501" spans="3:13" ht="12.75" customHeight="1" x14ac:dyDescent="0.25">
      <c r="C501"/>
      <c r="M501"/>
    </row>
    <row r="502" spans="3:13" ht="12.75" customHeight="1" x14ac:dyDescent="0.25">
      <c r="C502"/>
      <c r="M502"/>
    </row>
    <row r="503" spans="3:13" ht="12.75" customHeight="1" x14ac:dyDescent="0.25">
      <c r="C503"/>
      <c r="M503"/>
    </row>
    <row r="504" spans="3:13" ht="12.75" customHeight="1" x14ac:dyDescent="0.25">
      <c r="C504"/>
      <c r="M504"/>
    </row>
    <row r="505" spans="3:13" ht="12.75" customHeight="1" x14ac:dyDescent="0.25">
      <c r="C505"/>
      <c r="M505"/>
    </row>
    <row r="506" spans="3:13" ht="12.75" customHeight="1" x14ac:dyDescent="0.25">
      <c r="C506"/>
      <c r="M506"/>
    </row>
    <row r="507" spans="3:13" ht="12.75" customHeight="1" x14ac:dyDescent="0.25">
      <c r="C507"/>
      <c r="M507"/>
    </row>
    <row r="508" spans="3:13" ht="12.75" customHeight="1" x14ac:dyDescent="0.25">
      <c r="C508"/>
      <c r="M508"/>
    </row>
    <row r="509" spans="3:13" ht="12.75" customHeight="1" x14ac:dyDescent="0.25">
      <c r="C509"/>
      <c r="M509"/>
    </row>
    <row r="510" spans="3:13" ht="12.75" customHeight="1" x14ac:dyDescent="0.25">
      <c r="C510"/>
      <c r="M510"/>
    </row>
    <row r="511" spans="3:13" ht="12.75" customHeight="1" x14ac:dyDescent="0.25">
      <c r="C511"/>
      <c r="M511"/>
    </row>
    <row r="512" spans="3:13" ht="12.75" customHeight="1" x14ac:dyDescent="0.25">
      <c r="C512"/>
      <c r="M512"/>
    </row>
    <row r="513" spans="3:13" ht="12.75" customHeight="1" x14ac:dyDescent="0.25">
      <c r="C513"/>
      <c r="M513"/>
    </row>
    <row r="514" spans="3:13" ht="12.75" customHeight="1" x14ac:dyDescent="0.25">
      <c r="C514"/>
      <c r="M514"/>
    </row>
    <row r="515" spans="3:13" ht="12.75" customHeight="1" x14ac:dyDescent="0.25">
      <c r="C515"/>
      <c r="M515"/>
    </row>
    <row r="516" spans="3:13" ht="12.75" customHeight="1" x14ac:dyDescent="0.25">
      <c r="C516"/>
      <c r="M516"/>
    </row>
    <row r="517" spans="3:13" ht="12.75" customHeight="1" x14ac:dyDescent="0.25">
      <c r="C517"/>
      <c r="M517"/>
    </row>
    <row r="518" spans="3:13" ht="12.75" customHeight="1" x14ac:dyDescent="0.25">
      <c r="C518"/>
      <c r="M518"/>
    </row>
    <row r="519" spans="3:13" ht="12.75" customHeight="1" x14ac:dyDescent="0.25">
      <c r="C519"/>
      <c r="M519"/>
    </row>
    <row r="520" spans="3:13" ht="12.75" customHeight="1" x14ac:dyDescent="0.25">
      <c r="C520"/>
      <c r="M520"/>
    </row>
    <row r="521" spans="3:13" ht="12.75" customHeight="1" x14ac:dyDescent="0.25">
      <c r="C521"/>
      <c r="M521"/>
    </row>
    <row r="522" spans="3:13" ht="12.75" customHeight="1" x14ac:dyDescent="0.25">
      <c r="C522"/>
      <c r="M522"/>
    </row>
    <row r="523" spans="3:13" ht="12.75" customHeight="1" x14ac:dyDescent="0.25">
      <c r="C523"/>
      <c r="M523"/>
    </row>
    <row r="524" spans="3:13" ht="12.75" customHeight="1" x14ac:dyDescent="0.25">
      <c r="C524"/>
      <c r="M524"/>
    </row>
    <row r="525" spans="3:13" ht="12.75" customHeight="1" x14ac:dyDescent="0.25">
      <c r="C525"/>
      <c r="M525"/>
    </row>
    <row r="526" spans="3:13" ht="12.75" customHeight="1" x14ac:dyDescent="0.25">
      <c r="C526"/>
      <c r="M526"/>
    </row>
    <row r="527" spans="3:13" ht="12.75" customHeight="1" x14ac:dyDescent="0.25">
      <c r="C527"/>
      <c r="M527"/>
    </row>
    <row r="528" spans="3:13" ht="12.75" customHeight="1" x14ac:dyDescent="0.25">
      <c r="C528"/>
      <c r="M528"/>
    </row>
    <row r="529" spans="3:13" ht="12.75" customHeight="1" x14ac:dyDescent="0.25">
      <c r="C529"/>
      <c r="M529"/>
    </row>
    <row r="530" spans="3:13" ht="12.75" customHeight="1" x14ac:dyDescent="0.25">
      <c r="C530"/>
      <c r="M530"/>
    </row>
    <row r="531" spans="3:13" ht="12.75" customHeight="1" x14ac:dyDescent="0.25">
      <c r="C531"/>
      <c r="M531"/>
    </row>
    <row r="532" spans="3:13" ht="12.75" customHeight="1" x14ac:dyDescent="0.25">
      <c r="C532"/>
      <c r="M532"/>
    </row>
    <row r="533" spans="3:13" ht="12.75" customHeight="1" x14ac:dyDescent="0.25">
      <c r="C533"/>
      <c r="M533"/>
    </row>
    <row r="534" spans="3:13" ht="12.75" customHeight="1" x14ac:dyDescent="0.25">
      <c r="C534"/>
      <c r="M534"/>
    </row>
    <row r="535" spans="3:13" ht="12.75" customHeight="1" x14ac:dyDescent="0.25">
      <c r="C535"/>
      <c r="M535"/>
    </row>
    <row r="536" spans="3:13" ht="12.75" customHeight="1" x14ac:dyDescent="0.25">
      <c r="C536"/>
      <c r="M536"/>
    </row>
    <row r="537" spans="3:13" ht="12.75" customHeight="1" x14ac:dyDescent="0.25">
      <c r="C537"/>
      <c r="M537"/>
    </row>
    <row r="538" spans="3:13" ht="12.75" customHeight="1" x14ac:dyDescent="0.25">
      <c r="C538"/>
      <c r="M538"/>
    </row>
    <row r="539" spans="3:13" ht="12.75" customHeight="1" x14ac:dyDescent="0.25">
      <c r="C539"/>
      <c r="M539"/>
    </row>
    <row r="540" spans="3:13" ht="12.75" customHeight="1" x14ac:dyDescent="0.25">
      <c r="C540"/>
      <c r="M540"/>
    </row>
    <row r="541" spans="3:13" ht="12.75" customHeight="1" x14ac:dyDescent="0.25">
      <c r="C541"/>
      <c r="M541"/>
    </row>
    <row r="542" spans="3:13" ht="12.75" customHeight="1" x14ac:dyDescent="0.25">
      <c r="C542"/>
      <c r="M542"/>
    </row>
    <row r="543" spans="3:13" ht="12.75" customHeight="1" x14ac:dyDescent="0.25">
      <c r="C543"/>
      <c r="M543"/>
    </row>
    <row r="544" spans="3:13" ht="12.75" customHeight="1" x14ac:dyDescent="0.25">
      <c r="C544"/>
      <c r="M544"/>
    </row>
    <row r="545" spans="3:13" ht="12.75" customHeight="1" x14ac:dyDescent="0.25">
      <c r="C545"/>
      <c r="M545"/>
    </row>
    <row r="546" spans="3:13" ht="12.75" customHeight="1" x14ac:dyDescent="0.25">
      <c r="C546"/>
      <c r="M546"/>
    </row>
    <row r="547" spans="3:13" ht="12.75" customHeight="1" x14ac:dyDescent="0.25">
      <c r="C547"/>
      <c r="M547"/>
    </row>
    <row r="548" spans="3:13" ht="12.75" customHeight="1" x14ac:dyDescent="0.25">
      <c r="C548"/>
      <c r="M548"/>
    </row>
    <row r="549" spans="3:13" ht="12.75" customHeight="1" x14ac:dyDescent="0.25">
      <c r="C549"/>
      <c r="M549"/>
    </row>
    <row r="550" spans="3:13" ht="12.75" customHeight="1" x14ac:dyDescent="0.25">
      <c r="C550"/>
      <c r="M550"/>
    </row>
    <row r="551" spans="3:13" ht="12.75" customHeight="1" x14ac:dyDescent="0.25">
      <c r="C551"/>
      <c r="M551"/>
    </row>
    <row r="552" spans="3:13" ht="12.75" customHeight="1" x14ac:dyDescent="0.25">
      <c r="C552"/>
      <c r="M552"/>
    </row>
    <row r="553" spans="3:13" ht="12.75" customHeight="1" x14ac:dyDescent="0.25">
      <c r="C553"/>
      <c r="M553"/>
    </row>
    <row r="554" spans="3:13" ht="12.75" customHeight="1" x14ac:dyDescent="0.25">
      <c r="C554"/>
      <c r="M554"/>
    </row>
    <row r="555" spans="3:13" ht="12.75" customHeight="1" x14ac:dyDescent="0.25">
      <c r="C555"/>
      <c r="M555"/>
    </row>
    <row r="556" spans="3:13" ht="12.75" customHeight="1" x14ac:dyDescent="0.25">
      <c r="C556"/>
      <c r="M556"/>
    </row>
    <row r="557" spans="3:13" ht="12.75" customHeight="1" x14ac:dyDescent="0.25">
      <c r="C557"/>
      <c r="M557"/>
    </row>
    <row r="558" spans="3:13" ht="12.75" customHeight="1" x14ac:dyDescent="0.25">
      <c r="C558"/>
      <c r="M558"/>
    </row>
    <row r="559" spans="3:13" ht="12.75" customHeight="1" x14ac:dyDescent="0.25">
      <c r="C559"/>
      <c r="M559"/>
    </row>
    <row r="560" spans="3:13" ht="12.75" customHeight="1" x14ac:dyDescent="0.25">
      <c r="C560"/>
      <c r="M560"/>
    </row>
    <row r="561" spans="3:13" ht="12.75" customHeight="1" x14ac:dyDescent="0.25">
      <c r="C561"/>
      <c r="M561"/>
    </row>
    <row r="562" spans="3:13" ht="12.75" customHeight="1" x14ac:dyDescent="0.25">
      <c r="C562"/>
      <c r="M562"/>
    </row>
    <row r="563" spans="3:13" ht="12.75" customHeight="1" x14ac:dyDescent="0.25">
      <c r="C563"/>
      <c r="M563"/>
    </row>
    <row r="564" spans="3:13" ht="12.75" customHeight="1" x14ac:dyDescent="0.25">
      <c r="C564"/>
      <c r="M564"/>
    </row>
    <row r="565" spans="3:13" ht="12.75" customHeight="1" x14ac:dyDescent="0.25">
      <c r="C565"/>
      <c r="M565"/>
    </row>
    <row r="566" spans="3:13" ht="12.75" customHeight="1" x14ac:dyDescent="0.25">
      <c r="C566"/>
      <c r="M566"/>
    </row>
    <row r="567" spans="3:13" ht="12.75" customHeight="1" x14ac:dyDescent="0.25">
      <c r="C567"/>
      <c r="M567"/>
    </row>
    <row r="568" spans="3:13" ht="12.75" customHeight="1" x14ac:dyDescent="0.25">
      <c r="C568"/>
      <c r="M568"/>
    </row>
    <row r="569" spans="3:13" ht="12.75" customHeight="1" x14ac:dyDescent="0.25">
      <c r="C569"/>
      <c r="M569"/>
    </row>
    <row r="570" spans="3:13" ht="12.75" customHeight="1" x14ac:dyDescent="0.25">
      <c r="C570"/>
      <c r="M570"/>
    </row>
    <row r="571" spans="3:13" ht="12.75" customHeight="1" x14ac:dyDescent="0.25">
      <c r="C571"/>
      <c r="M571"/>
    </row>
    <row r="572" spans="3:13" ht="12.75" customHeight="1" x14ac:dyDescent="0.25">
      <c r="C572"/>
      <c r="M572"/>
    </row>
    <row r="573" spans="3:13" ht="12.75" customHeight="1" x14ac:dyDescent="0.25">
      <c r="C573"/>
      <c r="M573"/>
    </row>
    <row r="574" spans="3:13" ht="12.75" customHeight="1" x14ac:dyDescent="0.25">
      <c r="C574"/>
      <c r="M574"/>
    </row>
    <row r="575" spans="3:13" ht="12.75" customHeight="1" x14ac:dyDescent="0.25">
      <c r="C575"/>
      <c r="M575"/>
    </row>
    <row r="576" spans="3:13" ht="12.75" customHeight="1" x14ac:dyDescent="0.25">
      <c r="C576"/>
      <c r="M576"/>
    </row>
    <row r="577" spans="3:13" ht="12.75" customHeight="1" x14ac:dyDescent="0.25">
      <c r="C577"/>
      <c r="M577"/>
    </row>
    <row r="578" spans="3:13" ht="12.75" customHeight="1" x14ac:dyDescent="0.25">
      <c r="C578"/>
      <c r="M578"/>
    </row>
    <row r="579" spans="3:13" ht="12.75" customHeight="1" x14ac:dyDescent="0.25">
      <c r="C579"/>
      <c r="M579"/>
    </row>
    <row r="580" spans="3:13" ht="12.75" customHeight="1" x14ac:dyDescent="0.25">
      <c r="C580"/>
      <c r="M580"/>
    </row>
    <row r="581" spans="3:13" ht="12.75" customHeight="1" x14ac:dyDescent="0.25">
      <c r="C581"/>
      <c r="M581"/>
    </row>
    <row r="582" spans="3:13" ht="12.75" customHeight="1" x14ac:dyDescent="0.25">
      <c r="C582"/>
      <c r="M582"/>
    </row>
    <row r="583" spans="3:13" ht="12.75" customHeight="1" x14ac:dyDescent="0.25">
      <c r="C583"/>
      <c r="M583"/>
    </row>
    <row r="584" spans="3:13" ht="12.75" customHeight="1" x14ac:dyDescent="0.25">
      <c r="C584"/>
      <c r="M584"/>
    </row>
    <row r="585" spans="3:13" ht="12.75" customHeight="1" x14ac:dyDescent="0.25">
      <c r="C585"/>
      <c r="M585"/>
    </row>
    <row r="586" spans="3:13" ht="12.75" customHeight="1" x14ac:dyDescent="0.25">
      <c r="C586"/>
      <c r="M586"/>
    </row>
    <row r="587" spans="3:13" ht="12.75" customHeight="1" x14ac:dyDescent="0.25">
      <c r="C587"/>
      <c r="M587"/>
    </row>
    <row r="588" spans="3:13" ht="12.75" customHeight="1" x14ac:dyDescent="0.25">
      <c r="C588"/>
      <c r="M588"/>
    </row>
    <row r="589" spans="3:13" ht="12.75" customHeight="1" x14ac:dyDescent="0.25">
      <c r="C589"/>
      <c r="M589"/>
    </row>
    <row r="590" spans="3:13" ht="12.75" customHeight="1" x14ac:dyDescent="0.25">
      <c r="C590"/>
      <c r="M590"/>
    </row>
    <row r="591" spans="3:13" ht="12.75" customHeight="1" x14ac:dyDescent="0.25">
      <c r="C591"/>
      <c r="M591"/>
    </row>
    <row r="592" spans="3:13" ht="12.75" customHeight="1" x14ac:dyDescent="0.25">
      <c r="C592"/>
      <c r="M592"/>
    </row>
    <row r="593" spans="3:13" ht="12.75" customHeight="1" x14ac:dyDescent="0.25">
      <c r="C593"/>
      <c r="M593"/>
    </row>
    <row r="594" spans="3:13" ht="12.75" customHeight="1" x14ac:dyDescent="0.25">
      <c r="C594"/>
      <c r="M594"/>
    </row>
    <row r="595" spans="3:13" ht="12.75" customHeight="1" x14ac:dyDescent="0.25">
      <c r="C595"/>
      <c r="M595"/>
    </row>
    <row r="596" spans="3:13" ht="12.75" customHeight="1" x14ac:dyDescent="0.25">
      <c r="C596"/>
      <c r="M596"/>
    </row>
    <row r="597" spans="3:13" ht="12.75" customHeight="1" x14ac:dyDescent="0.25">
      <c r="C597"/>
      <c r="M597"/>
    </row>
    <row r="598" spans="3:13" ht="12.75" customHeight="1" x14ac:dyDescent="0.25">
      <c r="C598"/>
      <c r="M598"/>
    </row>
    <row r="599" spans="3:13" ht="12.75" customHeight="1" x14ac:dyDescent="0.25">
      <c r="C599"/>
      <c r="M599"/>
    </row>
    <row r="600" spans="3:13" ht="12.75" customHeight="1" x14ac:dyDescent="0.25">
      <c r="C600"/>
      <c r="M600"/>
    </row>
    <row r="601" spans="3:13" ht="12.75" customHeight="1" x14ac:dyDescent="0.25">
      <c r="C601"/>
      <c r="M601"/>
    </row>
    <row r="602" spans="3:13" ht="12.75" customHeight="1" x14ac:dyDescent="0.25">
      <c r="C602"/>
      <c r="M602"/>
    </row>
    <row r="603" spans="3:13" ht="12.75" customHeight="1" x14ac:dyDescent="0.25">
      <c r="C603"/>
      <c r="M603"/>
    </row>
    <row r="604" spans="3:13" ht="12.75" customHeight="1" x14ac:dyDescent="0.25">
      <c r="C604"/>
      <c r="M604"/>
    </row>
    <row r="605" spans="3:13" ht="12.75" customHeight="1" x14ac:dyDescent="0.25">
      <c r="C605"/>
      <c r="M605"/>
    </row>
    <row r="606" spans="3:13" ht="12.75" customHeight="1" x14ac:dyDescent="0.25">
      <c r="C606"/>
      <c r="M606"/>
    </row>
    <row r="607" spans="3:13" ht="12.75" customHeight="1" x14ac:dyDescent="0.25">
      <c r="C607"/>
      <c r="M607"/>
    </row>
    <row r="608" spans="3:13" ht="12.75" customHeight="1" x14ac:dyDescent="0.25">
      <c r="C608"/>
      <c r="M608"/>
    </row>
    <row r="609" spans="3:13" ht="12.75" customHeight="1" x14ac:dyDescent="0.25">
      <c r="C609"/>
      <c r="M609"/>
    </row>
    <row r="610" spans="3:13" ht="12.75" customHeight="1" x14ac:dyDescent="0.25">
      <c r="C610"/>
      <c r="M610"/>
    </row>
    <row r="611" spans="3:13" ht="12.75" customHeight="1" x14ac:dyDescent="0.25">
      <c r="C611"/>
      <c r="M611"/>
    </row>
    <row r="612" spans="3:13" ht="12.75" customHeight="1" x14ac:dyDescent="0.25">
      <c r="C612"/>
      <c r="M612"/>
    </row>
    <row r="613" spans="3:13" ht="12.75" customHeight="1" x14ac:dyDescent="0.25">
      <c r="C613"/>
      <c r="M613"/>
    </row>
    <row r="614" spans="3:13" ht="12.75" customHeight="1" x14ac:dyDescent="0.25">
      <c r="C614"/>
      <c r="M614"/>
    </row>
    <row r="615" spans="3:13" ht="12.75" customHeight="1" x14ac:dyDescent="0.25">
      <c r="C615"/>
      <c r="M615"/>
    </row>
    <row r="616" spans="3:13" ht="12.75" customHeight="1" x14ac:dyDescent="0.25">
      <c r="C616"/>
      <c r="M616"/>
    </row>
    <row r="617" spans="3:13" ht="12.75" customHeight="1" x14ac:dyDescent="0.25">
      <c r="C617"/>
      <c r="M617"/>
    </row>
    <row r="618" spans="3:13" ht="12.75" customHeight="1" x14ac:dyDescent="0.25">
      <c r="C618"/>
      <c r="M618"/>
    </row>
    <row r="619" spans="3:13" ht="12.75" customHeight="1" x14ac:dyDescent="0.25">
      <c r="C619"/>
      <c r="M619"/>
    </row>
    <row r="620" spans="3:13" ht="12.75" customHeight="1" x14ac:dyDescent="0.25">
      <c r="C620"/>
      <c r="M620"/>
    </row>
    <row r="621" spans="3:13" ht="12.75" customHeight="1" x14ac:dyDescent="0.25">
      <c r="C621"/>
      <c r="M621"/>
    </row>
    <row r="622" spans="3:13" ht="12.75" customHeight="1" x14ac:dyDescent="0.25">
      <c r="C622"/>
      <c r="M622"/>
    </row>
    <row r="623" spans="3:13" ht="12.75" customHeight="1" x14ac:dyDescent="0.25">
      <c r="C623"/>
      <c r="M623"/>
    </row>
    <row r="624" spans="3:13" ht="12.75" customHeight="1" x14ac:dyDescent="0.25">
      <c r="C624"/>
      <c r="M624"/>
    </row>
    <row r="625" spans="3:13" ht="12.75" customHeight="1" x14ac:dyDescent="0.25">
      <c r="C625"/>
      <c r="M625"/>
    </row>
    <row r="626" spans="3:13" ht="12.75" customHeight="1" x14ac:dyDescent="0.25">
      <c r="C626"/>
      <c r="M626"/>
    </row>
    <row r="627" spans="3:13" ht="12.75" customHeight="1" x14ac:dyDescent="0.25">
      <c r="C627"/>
      <c r="M627"/>
    </row>
    <row r="628" spans="3:13" ht="12.75" customHeight="1" x14ac:dyDescent="0.25">
      <c r="C628"/>
      <c r="M628"/>
    </row>
    <row r="629" spans="3:13" ht="12.75" customHeight="1" x14ac:dyDescent="0.25">
      <c r="C629"/>
      <c r="M629"/>
    </row>
    <row r="630" spans="3:13" ht="12.75" customHeight="1" x14ac:dyDescent="0.25">
      <c r="C630"/>
      <c r="M630"/>
    </row>
    <row r="631" spans="3:13" ht="12.75" customHeight="1" x14ac:dyDescent="0.25">
      <c r="C631"/>
      <c r="M631"/>
    </row>
    <row r="632" spans="3:13" ht="12.75" customHeight="1" x14ac:dyDescent="0.25">
      <c r="C632"/>
      <c r="M632"/>
    </row>
    <row r="633" spans="3:13" ht="12.75" customHeight="1" x14ac:dyDescent="0.25">
      <c r="C633"/>
      <c r="M633"/>
    </row>
    <row r="634" spans="3:13" ht="12.75" customHeight="1" x14ac:dyDescent="0.25">
      <c r="C634"/>
      <c r="M634"/>
    </row>
    <row r="635" spans="3:13" ht="12.75" customHeight="1" x14ac:dyDescent="0.25">
      <c r="C635"/>
      <c r="M635"/>
    </row>
    <row r="636" spans="3:13" ht="12.75" customHeight="1" x14ac:dyDescent="0.25">
      <c r="C636"/>
      <c r="M636"/>
    </row>
    <row r="637" spans="3:13" ht="12.75" customHeight="1" x14ac:dyDescent="0.25">
      <c r="C637"/>
      <c r="M637"/>
    </row>
    <row r="638" spans="3:13" ht="12.75" customHeight="1" x14ac:dyDescent="0.25">
      <c r="C638"/>
      <c r="M638"/>
    </row>
    <row r="639" spans="3:13" ht="12.75" customHeight="1" x14ac:dyDescent="0.25">
      <c r="C639"/>
      <c r="M639"/>
    </row>
    <row r="640" spans="3:13" ht="12.75" customHeight="1" x14ac:dyDescent="0.25">
      <c r="C640"/>
      <c r="M640"/>
    </row>
    <row r="641" spans="3:13" ht="12.75" customHeight="1" x14ac:dyDescent="0.25">
      <c r="C641"/>
      <c r="M641"/>
    </row>
    <row r="642" spans="3:13" ht="12.75" customHeight="1" x14ac:dyDescent="0.25">
      <c r="C642"/>
      <c r="M642"/>
    </row>
    <row r="643" spans="3:13" ht="12.75" customHeight="1" x14ac:dyDescent="0.25">
      <c r="C643"/>
      <c r="M643"/>
    </row>
    <row r="644" spans="3:13" ht="12.75" customHeight="1" x14ac:dyDescent="0.25">
      <c r="C644"/>
      <c r="M644"/>
    </row>
    <row r="645" spans="3:13" ht="12.75" customHeight="1" x14ac:dyDescent="0.25">
      <c r="C645"/>
      <c r="M645"/>
    </row>
    <row r="646" spans="3:13" ht="12.75" customHeight="1" x14ac:dyDescent="0.25">
      <c r="C646"/>
      <c r="M646"/>
    </row>
    <row r="647" spans="3:13" ht="12.75" customHeight="1" x14ac:dyDescent="0.25">
      <c r="C647"/>
      <c r="M647"/>
    </row>
    <row r="648" spans="3:13" ht="12.75" customHeight="1" x14ac:dyDescent="0.25">
      <c r="C648"/>
      <c r="M648"/>
    </row>
    <row r="649" spans="3:13" ht="12.75" customHeight="1" x14ac:dyDescent="0.25">
      <c r="C649"/>
      <c r="M649"/>
    </row>
    <row r="650" spans="3:13" ht="12.75" customHeight="1" x14ac:dyDescent="0.25">
      <c r="C650"/>
      <c r="M650"/>
    </row>
    <row r="651" spans="3:13" ht="12.75" customHeight="1" x14ac:dyDescent="0.25">
      <c r="C651"/>
      <c r="M651"/>
    </row>
    <row r="652" spans="3:13" ht="12.75" customHeight="1" x14ac:dyDescent="0.25">
      <c r="C652"/>
      <c r="M652"/>
    </row>
    <row r="653" spans="3:13" ht="12.75" customHeight="1" x14ac:dyDescent="0.25">
      <c r="C653"/>
      <c r="M653"/>
    </row>
    <row r="654" spans="3:13" ht="12.75" customHeight="1" x14ac:dyDescent="0.25">
      <c r="C654"/>
      <c r="M654"/>
    </row>
    <row r="655" spans="3:13" ht="12.75" customHeight="1" x14ac:dyDescent="0.25">
      <c r="C655"/>
      <c r="M655"/>
    </row>
    <row r="656" spans="3:13" ht="12.75" customHeight="1" x14ac:dyDescent="0.25">
      <c r="C656"/>
      <c r="M656"/>
    </row>
    <row r="657" spans="3:13" ht="12.75" customHeight="1" x14ac:dyDescent="0.25">
      <c r="C657"/>
      <c r="M657"/>
    </row>
    <row r="658" spans="3:13" ht="12.75" customHeight="1" x14ac:dyDescent="0.25">
      <c r="C658"/>
      <c r="M658"/>
    </row>
    <row r="659" spans="3:13" ht="12.75" customHeight="1" x14ac:dyDescent="0.25">
      <c r="C659"/>
      <c r="M659"/>
    </row>
    <row r="660" spans="3:13" ht="12.75" customHeight="1" x14ac:dyDescent="0.25">
      <c r="C660"/>
      <c r="M660"/>
    </row>
    <row r="661" spans="3:13" ht="12.75" customHeight="1" x14ac:dyDescent="0.25">
      <c r="C661"/>
      <c r="M661"/>
    </row>
    <row r="662" spans="3:13" ht="12.75" customHeight="1" x14ac:dyDescent="0.25">
      <c r="C662"/>
      <c r="M662"/>
    </row>
    <row r="663" spans="3:13" ht="12.75" customHeight="1" x14ac:dyDescent="0.25">
      <c r="C663"/>
      <c r="M663"/>
    </row>
    <row r="664" spans="3:13" ht="12.75" customHeight="1" x14ac:dyDescent="0.25">
      <c r="C664"/>
      <c r="M664"/>
    </row>
    <row r="665" spans="3:13" ht="12.75" customHeight="1" x14ac:dyDescent="0.25">
      <c r="C665"/>
      <c r="M665"/>
    </row>
    <row r="666" spans="3:13" ht="12.75" customHeight="1" x14ac:dyDescent="0.25">
      <c r="C666"/>
      <c r="M666"/>
    </row>
    <row r="667" spans="3:13" ht="12.75" customHeight="1" x14ac:dyDescent="0.25">
      <c r="C667"/>
      <c r="M667"/>
    </row>
    <row r="668" spans="3:13" ht="12.75" customHeight="1" x14ac:dyDescent="0.25">
      <c r="C668"/>
      <c r="M668"/>
    </row>
    <row r="669" spans="3:13" ht="12.75" customHeight="1" x14ac:dyDescent="0.25">
      <c r="C669"/>
      <c r="M669"/>
    </row>
    <row r="670" spans="3:13" ht="12.75" customHeight="1" x14ac:dyDescent="0.25">
      <c r="C670"/>
      <c r="M670"/>
    </row>
    <row r="671" spans="3:13" ht="12.75" customHeight="1" x14ac:dyDescent="0.25">
      <c r="C671"/>
      <c r="M671"/>
    </row>
    <row r="672" spans="3:13" ht="12.75" customHeight="1" x14ac:dyDescent="0.25">
      <c r="C672"/>
      <c r="M672"/>
    </row>
    <row r="673" spans="3:13" ht="12.75" customHeight="1" x14ac:dyDescent="0.25">
      <c r="C673"/>
      <c r="M673"/>
    </row>
    <row r="674" spans="3:13" ht="12.75" customHeight="1" x14ac:dyDescent="0.25">
      <c r="C674"/>
      <c r="M674"/>
    </row>
    <row r="675" spans="3:13" ht="12.75" customHeight="1" x14ac:dyDescent="0.25">
      <c r="C675"/>
      <c r="M675"/>
    </row>
    <row r="676" spans="3:13" ht="12.75" customHeight="1" x14ac:dyDescent="0.25">
      <c r="C676"/>
      <c r="M676"/>
    </row>
    <row r="677" spans="3:13" ht="12.75" customHeight="1" x14ac:dyDescent="0.25">
      <c r="C677"/>
      <c r="M677"/>
    </row>
    <row r="678" spans="3:13" ht="12.75" customHeight="1" x14ac:dyDescent="0.25">
      <c r="C678"/>
      <c r="M678"/>
    </row>
    <row r="679" spans="3:13" ht="12.75" customHeight="1" x14ac:dyDescent="0.25">
      <c r="C679"/>
      <c r="M679"/>
    </row>
    <row r="680" spans="3:13" ht="12.75" customHeight="1" x14ac:dyDescent="0.25">
      <c r="C680"/>
      <c r="M680"/>
    </row>
    <row r="681" spans="3:13" ht="12.75" customHeight="1" x14ac:dyDescent="0.25">
      <c r="C681"/>
      <c r="M681"/>
    </row>
    <row r="682" spans="3:13" ht="12.75" customHeight="1" x14ac:dyDescent="0.25">
      <c r="C682"/>
      <c r="M682"/>
    </row>
    <row r="683" spans="3:13" ht="12.75" customHeight="1" x14ac:dyDescent="0.25">
      <c r="C683"/>
      <c r="M683"/>
    </row>
    <row r="684" spans="3:13" ht="12.75" customHeight="1" x14ac:dyDescent="0.25">
      <c r="C684"/>
      <c r="M684"/>
    </row>
    <row r="685" spans="3:13" ht="12.75" customHeight="1" x14ac:dyDescent="0.25">
      <c r="C685"/>
      <c r="M685"/>
    </row>
    <row r="686" spans="3:13" ht="12.75" customHeight="1" x14ac:dyDescent="0.25">
      <c r="C686"/>
      <c r="M686"/>
    </row>
    <row r="687" spans="3:13" ht="12.75" customHeight="1" x14ac:dyDescent="0.25">
      <c r="C687"/>
      <c r="M687"/>
    </row>
    <row r="688" spans="3:13" ht="12.75" customHeight="1" x14ac:dyDescent="0.25">
      <c r="C688"/>
      <c r="M688"/>
    </row>
    <row r="689" spans="3:13" ht="12.75" customHeight="1" x14ac:dyDescent="0.25">
      <c r="C689"/>
      <c r="M689"/>
    </row>
    <row r="690" spans="3:13" ht="12.75" customHeight="1" x14ac:dyDescent="0.25">
      <c r="C690"/>
      <c r="M690"/>
    </row>
    <row r="691" spans="3:13" ht="12.75" customHeight="1" x14ac:dyDescent="0.25">
      <c r="C691"/>
      <c r="M691"/>
    </row>
    <row r="692" spans="3:13" ht="12.75" customHeight="1" x14ac:dyDescent="0.25">
      <c r="C692"/>
      <c r="M692"/>
    </row>
    <row r="693" spans="3:13" ht="12.75" customHeight="1" x14ac:dyDescent="0.25">
      <c r="C693"/>
      <c r="M693"/>
    </row>
    <row r="694" spans="3:13" ht="12.75" customHeight="1" x14ac:dyDescent="0.25">
      <c r="C694"/>
      <c r="M694"/>
    </row>
    <row r="695" spans="3:13" ht="12.75" customHeight="1" x14ac:dyDescent="0.25">
      <c r="C695"/>
      <c r="M695"/>
    </row>
    <row r="696" spans="3:13" ht="12.75" customHeight="1" x14ac:dyDescent="0.25">
      <c r="C696"/>
      <c r="M696"/>
    </row>
    <row r="697" spans="3:13" ht="12.75" customHeight="1" x14ac:dyDescent="0.25">
      <c r="C697"/>
      <c r="M697"/>
    </row>
    <row r="698" spans="3:13" ht="12.75" customHeight="1" x14ac:dyDescent="0.25">
      <c r="C698"/>
      <c r="M698"/>
    </row>
    <row r="699" spans="3:13" ht="12.75" customHeight="1" x14ac:dyDescent="0.25">
      <c r="C699"/>
      <c r="M699"/>
    </row>
    <row r="700" spans="3:13" ht="12.75" customHeight="1" x14ac:dyDescent="0.25">
      <c r="C700"/>
      <c r="M700"/>
    </row>
    <row r="701" spans="3:13" ht="12.75" customHeight="1" x14ac:dyDescent="0.25">
      <c r="C701"/>
      <c r="M701"/>
    </row>
    <row r="702" spans="3:13" ht="12.75" customHeight="1" x14ac:dyDescent="0.25">
      <c r="C702"/>
      <c r="M702"/>
    </row>
    <row r="703" spans="3:13" ht="12.75" customHeight="1" x14ac:dyDescent="0.25">
      <c r="C703"/>
      <c r="M703"/>
    </row>
    <row r="704" spans="3:13" ht="12.75" customHeight="1" x14ac:dyDescent="0.25">
      <c r="C704"/>
      <c r="M704"/>
    </row>
    <row r="705" spans="3:13" ht="12.75" customHeight="1" x14ac:dyDescent="0.25">
      <c r="C705"/>
      <c r="M705"/>
    </row>
    <row r="706" spans="3:13" ht="12.75" customHeight="1" x14ac:dyDescent="0.25">
      <c r="C706"/>
      <c r="M706"/>
    </row>
    <row r="707" spans="3:13" ht="12.75" customHeight="1" x14ac:dyDescent="0.25">
      <c r="C707"/>
      <c r="M707"/>
    </row>
    <row r="708" spans="3:13" ht="12.75" customHeight="1" x14ac:dyDescent="0.25">
      <c r="C708"/>
      <c r="M708"/>
    </row>
    <row r="709" spans="3:13" ht="12.75" customHeight="1" x14ac:dyDescent="0.25">
      <c r="C709"/>
      <c r="M709"/>
    </row>
    <row r="710" spans="3:13" ht="12.75" customHeight="1" x14ac:dyDescent="0.25">
      <c r="C710"/>
      <c r="M710"/>
    </row>
    <row r="711" spans="3:13" ht="12.75" customHeight="1" x14ac:dyDescent="0.25">
      <c r="C711"/>
      <c r="M711"/>
    </row>
    <row r="712" spans="3:13" ht="12.75" customHeight="1" x14ac:dyDescent="0.25">
      <c r="C712"/>
      <c r="M712"/>
    </row>
    <row r="713" spans="3:13" ht="12.75" customHeight="1" x14ac:dyDescent="0.25">
      <c r="C713"/>
      <c r="M713"/>
    </row>
    <row r="714" spans="3:13" ht="12.75" customHeight="1" x14ac:dyDescent="0.25">
      <c r="C714"/>
      <c r="M714"/>
    </row>
    <row r="715" spans="3:13" ht="12.75" customHeight="1" x14ac:dyDescent="0.25">
      <c r="C715"/>
      <c r="M715"/>
    </row>
    <row r="716" spans="3:13" ht="12.75" customHeight="1" x14ac:dyDescent="0.25">
      <c r="C716"/>
      <c r="M716"/>
    </row>
    <row r="717" spans="3:13" ht="12.75" customHeight="1" x14ac:dyDescent="0.25">
      <c r="C717"/>
      <c r="M717"/>
    </row>
    <row r="718" spans="3:13" ht="12.75" customHeight="1" x14ac:dyDescent="0.25">
      <c r="C718"/>
      <c r="M718"/>
    </row>
    <row r="719" spans="3:13" ht="12.75" customHeight="1" x14ac:dyDescent="0.25">
      <c r="C719"/>
      <c r="M719"/>
    </row>
    <row r="720" spans="3:13" ht="12.75" customHeight="1" x14ac:dyDescent="0.25">
      <c r="C720"/>
      <c r="M720"/>
    </row>
    <row r="721" spans="3:13" ht="12.75" customHeight="1" x14ac:dyDescent="0.25">
      <c r="C721"/>
      <c r="M721"/>
    </row>
    <row r="722" spans="3:13" ht="12.75" customHeight="1" x14ac:dyDescent="0.25">
      <c r="C722"/>
      <c r="M722"/>
    </row>
    <row r="723" spans="3:13" ht="12.75" customHeight="1" x14ac:dyDescent="0.25">
      <c r="C723"/>
      <c r="M723"/>
    </row>
    <row r="724" spans="3:13" ht="12.75" customHeight="1" x14ac:dyDescent="0.25">
      <c r="C724"/>
      <c r="M724"/>
    </row>
    <row r="725" spans="3:13" ht="12.75" customHeight="1" x14ac:dyDescent="0.25">
      <c r="C725"/>
      <c r="M725"/>
    </row>
    <row r="726" spans="3:13" ht="12.75" customHeight="1" x14ac:dyDescent="0.25">
      <c r="C726"/>
      <c r="M726"/>
    </row>
    <row r="727" spans="3:13" ht="12.75" customHeight="1" x14ac:dyDescent="0.25">
      <c r="C727"/>
      <c r="M727"/>
    </row>
    <row r="728" spans="3:13" ht="12.75" customHeight="1" x14ac:dyDescent="0.25">
      <c r="C728"/>
      <c r="M728"/>
    </row>
    <row r="729" spans="3:13" ht="12.75" customHeight="1" x14ac:dyDescent="0.25">
      <c r="C729"/>
      <c r="M729"/>
    </row>
    <row r="730" spans="3:13" ht="12.75" customHeight="1" x14ac:dyDescent="0.25">
      <c r="C730"/>
      <c r="M730"/>
    </row>
    <row r="731" spans="3:13" ht="12.75" customHeight="1" x14ac:dyDescent="0.25">
      <c r="C731"/>
      <c r="M731"/>
    </row>
    <row r="732" spans="3:13" ht="12.75" customHeight="1" x14ac:dyDescent="0.25">
      <c r="C732"/>
      <c r="M732"/>
    </row>
    <row r="733" spans="3:13" ht="12.75" customHeight="1" x14ac:dyDescent="0.25">
      <c r="C733"/>
      <c r="M733"/>
    </row>
    <row r="734" spans="3:13" ht="12.75" customHeight="1" x14ac:dyDescent="0.25">
      <c r="C734"/>
      <c r="M734"/>
    </row>
    <row r="735" spans="3:13" ht="12.75" customHeight="1" x14ac:dyDescent="0.25">
      <c r="C735"/>
      <c r="M735"/>
    </row>
    <row r="736" spans="3:13" ht="12.75" customHeight="1" x14ac:dyDescent="0.25">
      <c r="C736"/>
      <c r="M736"/>
    </row>
    <row r="737" spans="3:13" ht="12.75" customHeight="1" x14ac:dyDescent="0.25">
      <c r="C737"/>
      <c r="M737"/>
    </row>
    <row r="738" spans="3:13" ht="12.75" customHeight="1" x14ac:dyDescent="0.25">
      <c r="C738"/>
      <c r="M738"/>
    </row>
    <row r="739" spans="3:13" ht="12.75" customHeight="1" x14ac:dyDescent="0.25">
      <c r="C739"/>
      <c r="M739"/>
    </row>
    <row r="740" spans="3:13" ht="12.75" customHeight="1" x14ac:dyDescent="0.25">
      <c r="C740"/>
      <c r="M740"/>
    </row>
    <row r="741" spans="3:13" ht="12.75" customHeight="1" x14ac:dyDescent="0.25">
      <c r="C741"/>
      <c r="M741"/>
    </row>
    <row r="742" spans="3:13" ht="12.75" customHeight="1" x14ac:dyDescent="0.25">
      <c r="C742"/>
      <c r="M742"/>
    </row>
    <row r="743" spans="3:13" ht="12.75" customHeight="1" x14ac:dyDescent="0.25">
      <c r="C743"/>
      <c r="M743"/>
    </row>
    <row r="744" spans="3:13" ht="12.75" customHeight="1" x14ac:dyDescent="0.25">
      <c r="C744"/>
      <c r="M744"/>
    </row>
    <row r="745" spans="3:13" ht="12.75" customHeight="1" x14ac:dyDescent="0.25">
      <c r="C745"/>
      <c r="M745"/>
    </row>
    <row r="746" spans="3:13" ht="12.75" customHeight="1" x14ac:dyDescent="0.25">
      <c r="C746"/>
      <c r="M746"/>
    </row>
    <row r="747" spans="3:13" ht="12.75" customHeight="1" x14ac:dyDescent="0.25">
      <c r="C747"/>
      <c r="M747"/>
    </row>
    <row r="748" spans="3:13" ht="12.75" customHeight="1" x14ac:dyDescent="0.25">
      <c r="C748"/>
      <c r="M748"/>
    </row>
    <row r="749" spans="3:13" ht="12.75" customHeight="1" x14ac:dyDescent="0.25">
      <c r="C749"/>
      <c r="M749"/>
    </row>
    <row r="750" spans="3:13" ht="12.75" customHeight="1" x14ac:dyDescent="0.25">
      <c r="C750"/>
      <c r="M750"/>
    </row>
    <row r="751" spans="3:13" ht="12.75" customHeight="1" x14ac:dyDescent="0.25">
      <c r="C751"/>
      <c r="M751"/>
    </row>
    <row r="752" spans="3:13" ht="12.75" customHeight="1" x14ac:dyDescent="0.25">
      <c r="C752"/>
      <c r="M752"/>
    </row>
    <row r="753" spans="3:13" ht="12.75" customHeight="1" x14ac:dyDescent="0.25">
      <c r="C753"/>
      <c r="M753"/>
    </row>
    <row r="754" spans="3:13" ht="12.75" customHeight="1" x14ac:dyDescent="0.25">
      <c r="C754"/>
      <c r="M754"/>
    </row>
    <row r="755" spans="3:13" ht="12.75" customHeight="1" x14ac:dyDescent="0.25">
      <c r="C755"/>
      <c r="M755"/>
    </row>
    <row r="756" spans="3:13" ht="12.75" customHeight="1" x14ac:dyDescent="0.25">
      <c r="C756"/>
      <c r="M756"/>
    </row>
    <row r="757" spans="3:13" ht="12.75" customHeight="1" x14ac:dyDescent="0.25">
      <c r="C757"/>
      <c r="M757"/>
    </row>
    <row r="758" spans="3:13" ht="12.75" customHeight="1" x14ac:dyDescent="0.25">
      <c r="C758"/>
      <c r="M758"/>
    </row>
    <row r="759" spans="3:13" ht="12.75" customHeight="1" x14ac:dyDescent="0.25">
      <c r="C759"/>
      <c r="M759"/>
    </row>
    <row r="760" spans="3:13" ht="12.75" customHeight="1" x14ac:dyDescent="0.25">
      <c r="C760"/>
      <c r="M760"/>
    </row>
    <row r="761" spans="3:13" ht="12.75" customHeight="1" x14ac:dyDescent="0.25">
      <c r="C761"/>
      <c r="M761"/>
    </row>
    <row r="762" spans="3:13" ht="12.75" customHeight="1" x14ac:dyDescent="0.25">
      <c r="C762"/>
      <c r="M762"/>
    </row>
    <row r="763" spans="3:13" ht="12.75" customHeight="1" x14ac:dyDescent="0.25">
      <c r="C763"/>
      <c r="M763"/>
    </row>
    <row r="764" spans="3:13" ht="12.75" customHeight="1" x14ac:dyDescent="0.25">
      <c r="C764"/>
      <c r="M764"/>
    </row>
    <row r="765" spans="3:13" ht="12.75" customHeight="1" x14ac:dyDescent="0.25">
      <c r="C765"/>
      <c r="M765"/>
    </row>
    <row r="766" spans="3:13" ht="12.75" customHeight="1" x14ac:dyDescent="0.25">
      <c r="C766"/>
      <c r="M766"/>
    </row>
    <row r="767" spans="3:13" ht="12.75" customHeight="1" x14ac:dyDescent="0.25">
      <c r="C767"/>
      <c r="M767"/>
    </row>
    <row r="768" spans="3:13" ht="12.75" customHeight="1" x14ac:dyDescent="0.25">
      <c r="C768"/>
      <c r="M768"/>
    </row>
    <row r="769" spans="3:13" ht="12.75" customHeight="1" x14ac:dyDescent="0.25">
      <c r="C769"/>
      <c r="M769"/>
    </row>
    <row r="770" spans="3:13" ht="12.75" customHeight="1" x14ac:dyDescent="0.25">
      <c r="C770"/>
      <c r="M770"/>
    </row>
    <row r="771" spans="3:13" ht="12.75" customHeight="1" x14ac:dyDescent="0.25">
      <c r="C771"/>
      <c r="M771"/>
    </row>
    <row r="772" spans="3:13" ht="12.75" customHeight="1" x14ac:dyDescent="0.25">
      <c r="C772"/>
      <c r="M772"/>
    </row>
    <row r="773" spans="3:13" ht="12.75" customHeight="1" x14ac:dyDescent="0.25">
      <c r="C773"/>
      <c r="M773"/>
    </row>
    <row r="774" spans="3:13" ht="12.75" customHeight="1" x14ac:dyDescent="0.25">
      <c r="C774"/>
      <c r="M774"/>
    </row>
    <row r="775" spans="3:13" ht="12.75" customHeight="1" x14ac:dyDescent="0.25">
      <c r="C775"/>
      <c r="M775"/>
    </row>
    <row r="776" spans="3:13" ht="12.75" customHeight="1" x14ac:dyDescent="0.25">
      <c r="C776"/>
      <c r="M776"/>
    </row>
    <row r="777" spans="3:13" ht="12.75" customHeight="1" x14ac:dyDescent="0.25">
      <c r="C777"/>
      <c r="M777"/>
    </row>
    <row r="778" spans="3:13" ht="12.75" customHeight="1" x14ac:dyDescent="0.25">
      <c r="C778"/>
      <c r="M778"/>
    </row>
    <row r="779" spans="3:13" ht="12.75" customHeight="1" x14ac:dyDescent="0.25">
      <c r="C779"/>
      <c r="M779"/>
    </row>
    <row r="780" spans="3:13" ht="12.75" customHeight="1" x14ac:dyDescent="0.25">
      <c r="C780"/>
      <c r="M780"/>
    </row>
    <row r="781" spans="3:13" ht="12.75" customHeight="1" x14ac:dyDescent="0.25">
      <c r="C781"/>
      <c r="M781"/>
    </row>
    <row r="782" spans="3:13" ht="12.75" customHeight="1" x14ac:dyDescent="0.25">
      <c r="C782"/>
      <c r="M782"/>
    </row>
    <row r="783" spans="3:13" ht="12.75" customHeight="1" x14ac:dyDescent="0.25">
      <c r="C783"/>
      <c r="M783"/>
    </row>
    <row r="784" spans="3:13" ht="12.75" customHeight="1" x14ac:dyDescent="0.25">
      <c r="C784"/>
      <c r="M784"/>
    </row>
    <row r="785" spans="3:13" ht="12.75" customHeight="1" x14ac:dyDescent="0.25">
      <c r="C785"/>
      <c r="M785"/>
    </row>
    <row r="786" spans="3:13" ht="12.75" customHeight="1" x14ac:dyDescent="0.25">
      <c r="C786"/>
      <c r="M786"/>
    </row>
    <row r="787" spans="3:13" ht="12.75" customHeight="1" x14ac:dyDescent="0.25">
      <c r="C787"/>
      <c r="M787"/>
    </row>
    <row r="788" spans="3:13" ht="12.75" customHeight="1" x14ac:dyDescent="0.25">
      <c r="C788"/>
      <c r="M788"/>
    </row>
    <row r="789" spans="3:13" ht="12.75" customHeight="1" x14ac:dyDescent="0.25">
      <c r="C789"/>
      <c r="M789"/>
    </row>
    <row r="790" spans="3:13" ht="12.75" customHeight="1" x14ac:dyDescent="0.25">
      <c r="C790"/>
      <c r="M790"/>
    </row>
    <row r="791" spans="3:13" ht="12.75" customHeight="1" x14ac:dyDescent="0.25">
      <c r="C791"/>
      <c r="M791"/>
    </row>
    <row r="792" spans="3:13" ht="12.75" customHeight="1" x14ac:dyDescent="0.25">
      <c r="C792"/>
      <c r="M792"/>
    </row>
    <row r="793" spans="3:13" ht="12.75" customHeight="1" x14ac:dyDescent="0.25">
      <c r="C793"/>
      <c r="M793"/>
    </row>
    <row r="794" spans="3:13" ht="12.75" customHeight="1" x14ac:dyDescent="0.25">
      <c r="C794"/>
      <c r="M794"/>
    </row>
    <row r="795" spans="3:13" ht="12.75" customHeight="1" x14ac:dyDescent="0.25">
      <c r="C795"/>
      <c r="M795"/>
    </row>
    <row r="796" spans="3:13" ht="12.75" customHeight="1" x14ac:dyDescent="0.25">
      <c r="C796"/>
      <c r="M796"/>
    </row>
    <row r="797" spans="3:13" ht="12.75" customHeight="1" x14ac:dyDescent="0.25">
      <c r="C797"/>
      <c r="M797"/>
    </row>
    <row r="798" spans="3:13" ht="12.75" customHeight="1" x14ac:dyDescent="0.25">
      <c r="C798"/>
      <c r="M798"/>
    </row>
    <row r="799" spans="3:13" ht="12.75" customHeight="1" x14ac:dyDescent="0.25">
      <c r="C799"/>
      <c r="M799"/>
    </row>
    <row r="800" spans="3:13" ht="12.75" customHeight="1" x14ac:dyDescent="0.25">
      <c r="C800"/>
      <c r="M800"/>
    </row>
    <row r="801" spans="3:13" ht="12.75" customHeight="1" x14ac:dyDescent="0.25">
      <c r="C801"/>
      <c r="M801"/>
    </row>
    <row r="802" spans="3:13" ht="12.75" customHeight="1" x14ac:dyDescent="0.25">
      <c r="C802"/>
      <c r="M802"/>
    </row>
    <row r="803" spans="3:13" ht="12.75" customHeight="1" x14ac:dyDescent="0.25">
      <c r="C803"/>
      <c r="M803"/>
    </row>
    <row r="804" spans="3:13" ht="12.75" customHeight="1" x14ac:dyDescent="0.25">
      <c r="C804"/>
      <c r="M804"/>
    </row>
    <row r="805" spans="3:13" ht="12.75" customHeight="1" x14ac:dyDescent="0.25">
      <c r="C805"/>
      <c r="M805"/>
    </row>
    <row r="806" spans="3:13" ht="12.75" customHeight="1" x14ac:dyDescent="0.25">
      <c r="C806"/>
      <c r="M806"/>
    </row>
    <row r="807" spans="3:13" ht="12.75" customHeight="1" x14ac:dyDescent="0.25">
      <c r="C807"/>
      <c r="M807"/>
    </row>
    <row r="808" spans="3:13" ht="12.75" customHeight="1" x14ac:dyDescent="0.25">
      <c r="C808"/>
      <c r="M808"/>
    </row>
    <row r="809" spans="3:13" ht="12.75" customHeight="1" x14ac:dyDescent="0.25">
      <c r="C809"/>
      <c r="M809"/>
    </row>
    <row r="810" spans="3:13" ht="12.75" customHeight="1" x14ac:dyDescent="0.25">
      <c r="C810"/>
      <c r="M810"/>
    </row>
    <row r="811" spans="3:13" ht="12.75" customHeight="1" x14ac:dyDescent="0.25">
      <c r="C811"/>
      <c r="M811"/>
    </row>
    <row r="812" spans="3:13" ht="12.75" customHeight="1" x14ac:dyDescent="0.25">
      <c r="C812"/>
      <c r="M812"/>
    </row>
    <row r="813" spans="3:13" ht="12.75" customHeight="1" x14ac:dyDescent="0.25">
      <c r="C813"/>
      <c r="M813"/>
    </row>
    <row r="814" spans="3:13" ht="12.75" customHeight="1" x14ac:dyDescent="0.25">
      <c r="C814"/>
      <c r="M814"/>
    </row>
    <row r="815" spans="3:13" ht="12.75" customHeight="1" x14ac:dyDescent="0.25">
      <c r="C815"/>
      <c r="M815"/>
    </row>
    <row r="816" spans="3:13" ht="12.75" customHeight="1" x14ac:dyDescent="0.25">
      <c r="C816"/>
      <c r="M816"/>
    </row>
    <row r="817" spans="3:13" ht="12.75" customHeight="1" x14ac:dyDescent="0.25">
      <c r="C817"/>
      <c r="M817"/>
    </row>
    <row r="818" spans="3:13" ht="12.75" customHeight="1" x14ac:dyDescent="0.25">
      <c r="C818"/>
      <c r="M818"/>
    </row>
    <row r="819" spans="3:13" ht="12.75" customHeight="1" x14ac:dyDescent="0.25">
      <c r="C819"/>
      <c r="M819"/>
    </row>
    <row r="820" spans="3:13" ht="12.75" customHeight="1" x14ac:dyDescent="0.25">
      <c r="C820"/>
      <c r="M820"/>
    </row>
    <row r="821" spans="3:13" ht="12.75" customHeight="1" x14ac:dyDescent="0.25">
      <c r="C821"/>
      <c r="M821"/>
    </row>
    <row r="822" spans="3:13" ht="12.75" customHeight="1" x14ac:dyDescent="0.25">
      <c r="C822"/>
      <c r="M822"/>
    </row>
    <row r="823" spans="3:13" ht="12.75" customHeight="1" x14ac:dyDescent="0.25">
      <c r="C823"/>
      <c r="M823"/>
    </row>
    <row r="824" spans="3:13" ht="12.75" customHeight="1" x14ac:dyDescent="0.25">
      <c r="C824"/>
      <c r="M824"/>
    </row>
    <row r="825" spans="3:13" ht="12.75" customHeight="1" x14ac:dyDescent="0.25">
      <c r="C825"/>
      <c r="M825"/>
    </row>
    <row r="826" spans="3:13" ht="12.75" customHeight="1" x14ac:dyDescent="0.25">
      <c r="C826"/>
      <c r="M826"/>
    </row>
    <row r="827" spans="3:13" ht="12.75" customHeight="1" x14ac:dyDescent="0.25">
      <c r="C827"/>
      <c r="M827"/>
    </row>
    <row r="828" spans="3:13" ht="12.75" customHeight="1" x14ac:dyDescent="0.25">
      <c r="C828"/>
      <c r="M828"/>
    </row>
    <row r="829" spans="3:13" ht="12.75" customHeight="1" x14ac:dyDescent="0.25">
      <c r="C829"/>
      <c r="M829"/>
    </row>
    <row r="830" spans="3:13" ht="12.75" customHeight="1" x14ac:dyDescent="0.25">
      <c r="C830"/>
      <c r="M830"/>
    </row>
    <row r="831" spans="3:13" ht="12.75" customHeight="1" x14ac:dyDescent="0.25">
      <c r="C831"/>
      <c r="M831"/>
    </row>
    <row r="832" spans="3:13" ht="12.75" customHeight="1" x14ac:dyDescent="0.25">
      <c r="C832"/>
      <c r="M832"/>
    </row>
    <row r="833" spans="3:13" ht="12.75" customHeight="1" x14ac:dyDescent="0.25">
      <c r="C833"/>
      <c r="M833"/>
    </row>
    <row r="834" spans="3:13" ht="12.75" customHeight="1" x14ac:dyDescent="0.25">
      <c r="C834"/>
      <c r="M834"/>
    </row>
    <row r="835" spans="3:13" ht="12.75" customHeight="1" x14ac:dyDescent="0.25">
      <c r="C835"/>
      <c r="M835"/>
    </row>
    <row r="836" spans="3:13" ht="12.75" customHeight="1" x14ac:dyDescent="0.25">
      <c r="C836"/>
      <c r="M836"/>
    </row>
    <row r="837" spans="3:13" ht="12.75" customHeight="1" x14ac:dyDescent="0.25">
      <c r="C837"/>
      <c r="M837"/>
    </row>
    <row r="838" spans="3:13" ht="12.75" customHeight="1" x14ac:dyDescent="0.25">
      <c r="C838"/>
      <c r="M838"/>
    </row>
    <row r="839" spans="3:13" ht="12.75" customHeight="1" x14ac:dyDescent="0.25">
      <c r="C839"/>
      <c r="M839"/>
    </row>
    <row r="840" spans="3:13" ht="12.75" customHeight="1" x14ac:dyDescent="0.25">
      <c r="C840"/>
      <c r="M840"/>
    </row>
    <row r="841" spans="3:13" ht="12.75" customHeight="1" x14ac:dyDescent="0.25">
      <c r="C841"/>
      <c r="M841"/>
    </row>
    <row r="842" spans="3:13" ht="12.75" customHeight="1" x14ac:dyDescent="0.25">
      <c r="C842"/>
      <c r="M842"/>
    </row>
    <row r="843" spans="3:13" ht="12.75" customHeight="1" x14ac:dyDescent="0.25">
      <c r="C843"/>
      <c r="M843"/>
    </row>
    <row r="844" spans="3:13" ht="12.75" customHeight="1" x14ac:dyDescent="0.25">
      <c r="C844"/>
      <c r="M844"/>
    </row>
    <row r="845" spans="3:13" ht="12.75" customHeight="1" x14ac:dyDescent="0.25">
      <c r="C845"/>
      <c r="M845"/>
    </row>
    <row r="846" spans="3:13" ht="12.75" customHeight="1" x14ac:dyDescent="0.25">
      <c r="C846"/>
      <c r="M846"/>
    </row>
    <row r="847" spans="3:13" ht="12.75" customHeight="1" x14ac:dyDescent="0.25">
      <c r="C847"/>
      <c r="M847"/>
    </row>
    <row r="848" spans="3:13" ht="12.75" customHeight="1" x14ac:dyDescent="0.25">
      <c r="C848"/>
      <c r="M848"/>
    </row>
    <row r="849" spans="3:13" ht="12.75" customHeight="1" x14ac:dyDescent="0.25">
      <c r="C849"/>
      <c r="M849"/>
    </row>
    <row r="850" spans="3:13" ht="12.75" customHeight="1" x14ac:dyDescent="0.25">
      <c r="C850"/>
      <c r="M850"/>
    </row>
    <row r="851" spans="3:13" ht="12.75" customHeight="1" x14ac:dyDescent="0.25">
      <c r="C851"/>
      <c r="M851"/>
    </row>
    <row r="852" spans="3:13" ht="12.75" customHeight="1" x14ac:dyDescent="0.25">
      <c r="C852"/>
      <c r="M852"/>
    </row>
    <row r="853" spans="3:13" ht="12.75" customHeight="1" x14ac:dyDescent="0.25">
      <c r="C853"/>
      <c r="M853"/>
    </row>
    <row r="854" spans="3:13" ht="12.75" customHeight="1" x14ac:dyDescent="0.25">
      <c r="C854"/>
      <c r="M854"/>
    </row>
    <row r="855" spans="3:13" ht="12.75" customHeight="1" x14ac:dyDescent="0.25">
      <c r="C855"/>
      <c r="M855"/>
    </row>
    <row r="856" spans="3:13" ht="12.75" customHeight="1" x14ac:dyDescent="0.25">
      <c r="C856"/>
      <c r="M856"/>
    </row>
    <row r="857" spans="3:13" ht="12.75" customHeight="1" x14ac:dyDescent="0.25">
      <c r="C857"/>
      <c r="M857"/>
    </row>
    <row r="858" spans="3:13" ht="12.75" customHeight="1" x14ac:dyDescent="0.25">
      <c r="C858"/>
      <c r="M858"/>
    </row>
    <row r="859" spans="3:13" ht="12.75" customHeight="1" x14ac:dyDescent="0.25">
      <c r="C859"/>
      <c r="M859"/>
    </row>
    <row r="860" spans="3:13" ht="12.75" customHeight="1" x14ac:dyDescent="0.25">
      <c r="C860"/>
      <c r="M860"/>
    </row>
    <row r="861" spans="3:13" ht="12.75" customHeight="1" x14ac:dyDescent="0.25">
      <c r="C861"/>
      <c r="M861"/>
    </row>
    <row r="862" spans="3:13" ht="12.75" customHeight="1" x14ac:dyDescent="0.25">
      <c r="C862"/>
      <c r="M862"/>
    </row>
    <row r="863" spans="3:13" ht="12.75" customHeight="1" x14ac:dyDescent="0.25">
      <c r="C863"/>
      <c r="M863"/>
    </row>
    <row r="864" spans="3:13" ht="12.75" customHeight="1" x14ac:dyDescent="0.25">
      <c r="C864"/>
      <c r="M864"/>
    </row>
    <row r="865" spans="3:13" ht="12.75" customHeight="1" x14ac:dyDescent="0.25">
      <c r="C865"/>
      <c r="M865"/>
    </row>
    <row r="866" spans="3:13" ht="12.75" customHeight="1" x14ac:dyDescent="0.25">
      <c r="C866"/>
      <c r="M866"/>
    </row>
    <row r="867" spans="3:13" ht="12.75" customHeight="1" x14ac:dyDescent="0.25">
      <c r="C867"/>
      <c r="M867"/>
    </row>
    <row r="868" spans="3:13" ht="12.75" customHeight="1" x14ac:dyDescent="0.25">
      <c r="C868"/>
      <c r="M868"/>
    </row>
    <row r="869" spans="3:13" ht="12.75" customHeight="1" x14ac:dyDescent="0.25">
      <c r="C869"/>
      <c r="M869"/>
    </row>
    <row r="870" spans="3:13" ht="12.75" customHeight="1" x14ac:dyDescent="0.25">
      <c r="C870"/>
      <c r="M870"/>
    </row>
    <row r="871" spans="3:13" ht="12.75" customHeight="1" x14ac:dyDescent="0.25">
      <c r="C871"/>
      <c r="M871"/>
    </row>
    <row r="872" spans="3:13" ht="12.75" customHeight="1" x14ac:dyDescent="0.25">
      <c r="C872"/>
      <c r="M872"/>
    </row>
    <row r="873" spans="3:13" ht="12.75" customHeight="1" x14ac:dyDescent="0.25">
      <c r="C873"/>
      <c r="M873"/>
    </row>
    <row r="874" spans="3:13" ht="12.75" customHeight="1" x14ac:dyDescent="0.25">
      <c r="C874"/>
      <c r="M874"/>
    </row>
    <row r="875" spans="3:13" ht="12.75" customHeight="1" x14ac:dyDescent="0.25">
      <c r="C875"/>
      <c r="M875"/>
    </row>
    <row r="876" spans="3:13" ht="12.75" customHeight="1" x14ac:dyDescent="0.25">
      <c r="C876"/>
      <c r="M876"/>
    </row>
    <row r="877" spans="3:13" ht="12.75" customHeight="1" x14ac:dyDescent="0.25">
      <c r="C877"/>
      <c r="M877"/>
    </row>
    <row r="878" spans="3:13" ht="12.75" customHeight="1" x14ac:dyDescent="0.25">
      <c r="C878"/>
      <c r="M878"/>
    </row>
    <row r="879" spans="3:13" ht="12.75" customHeight="1" x14ac:dyDescent="0.25">
      <c r="C879"/>
      <c r="M879"/>
    </row>
    <row r="880" spans="3:13" ht="12.75" customHeight="1" x14ac:dyDescent="0.25">
      <c r="C880"/>
      <c r="M880"/>
    </row>
    <row r="881" spans="3:13" ht="12.75" customHeight="1" x14ac:dyDescent="0.25">
      <c r="C881"/>
      <c r="M881"/>
    </row>
    <row r="882" spans="3:13" ht="12.75" customHeight="1" x14ac:dyDescent="0.25">
      <c r="C882"/>
      <c r="M882"/>
    </row>
    <row r="883" spans="3:13" ht="12.75" customHeight="1" x14ac:dyDescent="0.25">
      <c r="C883"/>
      <c r="M883"/>
    </row>
    <row r="884" spans="3:13" ht="12.75" customHeight="1" x14ac:dyDescent="0.25">
      <c r="C884"/>
      <c r="M884"/>
    </row>
    <row r="885" spans="3:13" ht="12.75" customHeight="1" x14ac:dyDescent="0.25">
      <c r="C885"/>
      <c r="M885"/>
    </row>
    <row r="886" spans="3:13" ht="12.75" customHeight="1" x14ac:dyDescent="0.25">
      <c r="C886"/>
      <c r="M886"/>
    </row>
    <row r="887" spans="3:13" ht="12.75" customHeight="1" x14ac:dyDescent="0.25">
      <c r="C887"/>
      <c r="M887"/>
    </row>
    <row r="888" spans="3:13" ht="12.75" customHeight="1" x14ac:dyDescent="0.25">
      <c r="C888"/>
      <c r="M888"/>
    </row>
    <row r="889" spans="3:13" ht="12.75" customHeight="1" x14ac:dyDescent="0.25">
      <c r="C889"/>
      <c r="M889"/>
    </row>
    <row r="890" spans="3:13" ht="12.75" customHeight="1" x14ac:dyDescent="0.25">
      <c r="C890"/>
      <c r="M890"/>
    </row>
    <row r="891" spans="3:13" ht="12.75" customHeight="1" x14ac:dyDescent="0.25">
      <c r="C891"/>
      <c r="M891"/>
    </row>
    <row r="892" spans="3:13" ht="12.75" customHeight="1" x14ac:dyDescent="0.25">
      <c r="C892"/>
      <c r="M892"/>
    </row>
    <row r="893" spans="3:13" ht="12.75" customHeight="1" x14ac:dyDescent="0.25">
      <c r="C893"/>
      <c r="M893"/>
    </row>
    <row r="894" spans="3:13" ht="12.75" customHeight="1" x14ac:dyDescent="0.25">
      <c r="C894"/>
      <c r="M894"/>
    </row>
    <row r="895" spans="3:13" ht="12.75" customHeight="1" x14ac:dyDescent="0.25">
      <c r="C895"/>
      <c r="M895"/>
    </row>
    <row r="896" spans="3:13" ht="12.75" customHeight="1" x14ac:dyDescent="0.25">
      <c r="C896"/>
      <c r="M896"/>
    </row>
    <row r="897" spans="3:13" ht="12.75" customHeight="1" x14ac:dyDescent="0.25">
      <c r="C897"/>
      <c r="M897"/>
    </row>
    <row r="898" spans="3:13" ht="12.75" customHeight="1" x14ac:dyDescent="0.25">
      <c r="C898"/>
      <c r="M898"/>
    </row>
    <row r="899" spans="3:13" ht="12.75" customHeight="1" x14ac:dyDescent="0.25">
      <c r="C899"/>
      <c r="M899"/>
    </row>
    <row r="900" spans="3:13" ht="12.75" customHeight="1" x14ac:dyDescent="0.25">
      <c r="C900"/>
      <c r="M900"/>
    </row>
    <row r="901" spans="3:13" ht="12.75" customHeight="1" x14ac:dyDescent="0.25">
      <c r="C901"/>
      <c r="M901"/>
    </row>
    <row r="902" spans="3:13" ht="12.75" customHeight="1" x14ac:dyDescent="0.25">
      <c r="C902"/>
      <c r="M902"/>
    </row>
    <row r="903" spans="3:13" ht="12.75" customHeight="1" x14ac:dyDescent="0.25">
      <c r="C903"/>
      <c r="M903"/>
    </row>
    <row r="904" spans="3:13" ht="12.75" customHeight="1" x14ac:dyDescent="0.25">
      <c r="C904"/>
      <c r="M904"/>
    </row>
    <row r="905" spans="3:13" ht="12.75" customHeight="1" x14ac:dyDescent="0.25">
      <c r="C905"/>
      <c r="M905"/>
    </row>
    <row r="906" spans="3:13" ht="12.75" customHeight="1" x14ac:dyDescent="0.25">
      <c r="C906"/>
      <c r="M906"/>
    </row>
    <row r="907" spans="3:13" ht="12.75" customHeight="1" x14ac:dyDescent="0.25">
      <c r="C907"/>
      <c r="M907"/>
    </row>
    <row r="908" spans="3:13" ht="12.75" customHeight="1" x14ac:dyDescent="0.25">
      <c r="C908"/>
      <c r="M908"/>
    </row>
    <row r="909" spans="3:13" ht="12.75" customHeight="1" x14ac:dyDescent="0.25">
      <c r="C909"/>
      <c r="M909"/>
    </row>
    <row r="910" spans="3:13" ht="12.75" customHeight="1" x14ac:dyDescent="0.25">
      <c r="C910"/>
      <c r="M910"/>
    </row>
    <row r="911" spans="3:13" ht="12.75" customHeight="1" x14ac:dyDescent="0.25">
      <c r="C911"/>
      <c r="M911"/>
    </row>
    <row r="912" spans="3:13" ht="12.75" customHeight="1" x14ac:dyDescent="0.25">
      <c r="C912"/>
      <c r="M912"/>
    </row>
    <row r="913" spans="3:13" ht="12.75" customHeight="1" x14ac:dyDescent="0.25">
      <c r="C913"/>
      <c r="M913"/>
    </row>
    <row r="914" spans="3:13" ht="12.75" customHeight="1" x14ac:dyDescent="0.25">
      <c r="C914"/>
      <c r="M914"/>
    </row>
    <row r="915" spans="3:13" ht="12.75" customHeight="1" x14ac:dyDescent="0.25">
      <c r="C915"/>
      <c r="M915"/>
    </row>
    <row r="916" spans="3:13" ht="12.75" customHeight="1" x14ac:dyDescent="0.25">
      <c r="C916"/>
      <c r="M916"/>
    </row>
    <row r="917" spans="3:13" ht="12.75" customHeight="1" x14ac:dyDescent="0.25">
      <c r="C917"/>
      <c r="M917"/>
    </row>
    <row r="918" spans="3:13" ht="12.75" customHeight="1" x14ac:dyDescent="0.25">
      <c r="C918"/>
      <c r="M918"/>
    </row>
    <row r="919" spans="3:13" ht="12.75" customHeight="1" x14ac:dyDescent="0.25">
      <c r="C919"/>
      <c r="M919"/>
    </row>
    <row r="920" spans="3:13" ht="12.75" customHeight="1" x14ac:dyDescent="0.25">
      <c r="C920"/>
      <c r="M920"/>
    </row>
    <row r="921" spans="3:13" ht="12.75" customHeight="1" x14ac:dyDescent="0.25">
      <c r="C921"/>
      <c r="M921"/>
    </row>
    <row r="922" spans="3:13" ht="12.75" customHeight="1" x14ac:dyDescent="0.25">
      <c r="C922"/>
      <c r="M922"/>
    </row>
    <row r="923" spans="3:13" ht="12.75" customHeight="1" x14ac:dyDescent="0.25">
      <c r="C923"/>
      <c r="M923"/>
    </row>
    <row r="924" spans="3:13" ht="12.75" customHeight="1" x14ac:dyDescent="0.25">
      <c r="C924"/>
      <c r="M924"/>
    </row>
    <row r="925" spans="3:13" ht="12.75" customHeight="1" x14ac:dyDescent="0.25">
      <c r="C925"/>
      <c r="M925"/>
    </row>
    <row r="926" spans="3:13" ht="12.75" customHeight="1" x14ac:dyDescent="0.25">
      <c r="C926"/>
      <c r="M926"/>
    </row>
    <row r="927" spans="3:13" ht="12.75" customHeight="1" x14ac:dyDescent="0.25">
      <c r="C927"/>
      <c r="M927"/>
    </row>
    <row r="928" spans="3:13" ht="12.75" customHeight="1" x14ac:dyDescent="0.25">
      <c r="C928"/>
      <c r="M928"/>
    </row>
    <row r="929" spans="3:13" ht="12.75" customHeight="1" x14ac:dyDescent="0.25">
      <c r="C929"/>
      <c r="M929"/>
    </row>
    <row r="930" spans="3:13" ht="12.75" customHeight="1" x14ac:dyDescent="0.25">
      <c r="C930"/>
      <c r="M930"/>
    </row>
    <row r="931" spans="3:13" ht="12.75" customHeight="1" x14ac:dyDescent="0.25">
      <c r="C931"/>
      <c r="M931"/>
    </row>
    <row r="932" spans="3:13" ht="12.75" customHeight="1" x14ac:dyDescent="0.25">
      <c r="C932"/>
      <c r="M932"/>
    </row>
    <row r="933" spans="3:13" ht="12.75" customHeight="1" x14ac:dyDescent="0.25">
      <c r="C933"/>
      <c r="M933"/>
    </row>
    <row r="934" spans="3:13" ht="12.75" customHeight="1" x14ac:dyDescent="0.25">
      <c r="C934"/>
      <c r="M934"/>
    </row>
    <row r="935" spans="3:13" ht="12.75" customHeight="1" x14ac:dyDescent="0.25">
      <c r="C935"/>
      <c r="M935"/>
    </row>
    <row r="936" spans="3:13" ht="12.75" customHeight="1" x14ac:dyDescent="0.25">
      <c r="C936"/>
      <c r="M936"/>
    </row>
    <row r="937" spans="3:13" ht="12.75" customHeight="1" x14ac:dyDescent="0.25">
      <c r="C937"/>
      <c r="M937"/>
    </row>
    <row r="938" spans="3:13" ht="12.75" customHeight="1" x14ac:dyDescent="0.25">
      <c r="C938"/>
      <c r="M938"/>
    </row>
    <row r="939" spans="3:13" ht="12.75" customHeight="1" x14ac:dyDescent="0.25">
      <c r="C939"/>
      <c r="M939"/>
    </row>
    <row r="940" spans="3:13" ht="12.75" customHeight="1" x14ac:dyDescent="0.25">
      <c r="C940"/>
      <c r="M940"/>
    </row>
    <row r="941" spans="3:13" ht="12.75" customHeight="1" x14ac:dyDescent="0.25">
      <c r="C941"/>
      <c r="M941"/>
    </row>
    <row r="942" spans="3:13" ht="12.75" customHeight="1" x14ac:dyDescent="0.25">
      <c r="C942"/>
      <c r="M942"/>
    </row>
    <row r="943" spans="3:13" ht="12.75" customHeight="1" x14ac:dyDescent="0.25">
      <c r="C943"/>
      <c r="M943"/>
    </row>
    <row r="944" spans="3:13" ht="12.75" customHeight="1" x14ac:dyDescent="0.25">
      <c r="C944"/>
      <c r="M944"/>
    </row>
    <row r="945" spans="3:13" ht="12.75" customHeight="1" x14ac:dyDescent="0.25">
      <c r="C945"/>
      <c r="M945"/>
    </row>
    <row r="946" spans="3:13" ht="12.75" customHeight="1" x14ac:dyDescent="0.25">
      <c r="C946"/>
      <c r="M946"/>
    </row>
    <row r="947" spans="3:13" ht="12.75" customHeight="1" x14ac:dyDescent="0.25">
      <c r="C947"/>
      <c r="M947"/>
    </row>
    <row r="948" spans="3:13" ht="12.75" customHeight="1" x14ac:dyDescent="0.25">
      <c r="C948"/>
      <c r="M948"/>
    </row>
    <row r="949" spans="3:13" ht="12.75" customHeight="1" x14ac:dyDescent="0.25">
      <c r="C949"/>
      <c r="M949"/>
    </row>
    <row r="950" spans="3:13" ht="12.75" customHeight="1" x14ac:dyDescent="0.25">
      <c r="C950"/>
      <c r="M950"/>
    </row>
    <row r="951" spans="3:13" ht="12.75" customHeight="1" x14ac:dyDescent="0.25">
      <c r="C951"/>
      <c r="M951"/>
    </row>
    <row r="952" spans="3:13" ht="12.75" customHeight="1" x14ac:dyDescent="0.25">
      <c r="C952"/>
      <c r="M952"/>
    </row>
    <row r="953" spans="3:13" ht="12.75" customHeight="1" x14ac:dyDescent="0.25">
      <c r="C953"/>
      <c r="M953"/>
    </row>
    <row r="954" spans="3:13" ht="12.75" customHeight="1" x14ac:dyDescent="0.25">
      <c r="C954"/>
      <c r="M954"/>
    </row>
    <row r="955" spans="3:13" ht="12.75" customHeight="1" x14ac:dyDescent="0.25">
      <c r="C955"/>
      <c r="M955"/>
    </row>
    <row r="956" spans="3:13" ht="12.75" customHeight="1" x14ac:dyDescent="0.25">
      <c r="C956"/>
      <c r="M956"/>
    </row>
    <row r="957" spans="3:13" ht="12.75" customHeight="1" x14ac:dyDescent="0.25">
      <c r="C957"/>
      <c r="M957"/>
    </row>
    <row r="958" spans="3:13" ht="12.75" customHeight="1" x14ac:dyDescent="0.25">
      <c r="C958"/>
      <c r="M958"/>
    </row>
    <row r="959" spans="3:13" ht="12.75" customHeight="1" x14ac:dyDescent="0.25">
      <c r="C959"/>
      <c r="M959"/>
    </row>
    <row r="960" spans="3:13" ht="12.75" customHeight="1" x14ac:dyDescent="0.25">
      <c r="C960"/>
      <c r="M960"/>
    </row>
    <row r="961" spans="3:13" ht="12.75" customHeight="1" x14ac:dyDescent="0.25">
      <c r="C961"/>
      <c r="M961"/>
    </row>
    <row r="962" spans="3:13" ht="12.75" customHeight="1" x14ac:dyDescent="0.25">
      <c r="C962"/>
      <c r="M962"/>
    </row>
    <row r="963" spans="3:13" ht="12.75" customHeight="1" x14ac:dyDescent="0.25">
      <c r="C963"/>
      <c r="M963"/>
    </row>
    <row r="964" spans="3:13" ht="12.75" customHeight="1" x14ac:dyDescent="0.25">
      <c r="C964"/>
      <c r="M964"/>
    </row>
    <row r="965" spans="3:13" ht="12.75" customHeight="1" x14ac:dyDescent="0.25">
      <c r="C965"/>
      <c r="M965"/>
    </row>
    <row r="966" spans="3:13" ht="12.75" customHeight="1" x14ac:dyDescent="0.25">
      <c r="C966"/>
      <c r="M966"/>
    </row>
    <row r="967" spans="3:13" ht="12.75" customHeight="1" x14ac:dyDescent="0.25">
      <c r="C967"/>
      <c r="M967"/>
    </row>
    <row r="968" spans="3:13" ht="12.75" customHeight="1" x14ac:dyDescent="0.25">
      <c r="C968"/>
      <c r="M968"/>
    </row>
    <row r="969" spans="3:13" ht="12.75" customHeight="1" x14ac:dyDescent="0.25">
      <c r="C969"/>
      <c r="M969"/>
    </row>
    <row r="970" spans="3:13" ht="12.75" customHeight="1" x14ac:dyDescent="0.25">
      <c r="C970"/>
      <c r="M970"/>
    </row>
    <row r="971" spans="3:13" ht="12.75" customHeight="1" x14ac:dyDescent="0.25">
      <c r="C971"/>
      <c r="M971"/>
    </row>
    <row r="972" spans="3:13" ht="12.75" customHeight="1" x14ac:dyDescent="0.25">
      <c r="C972"/>
      <c r="M972"/>
    </row>
    <row r="973" spans="3:13" ht="12.75" customHeight="1" x14ac:dyDescent="0.25">
      <c r="C973"/>
      <c r="M973"/>
    </row>
    <row r="974" spans="3:13" ht="12.75" customHeight="1" x14ac:dyDescent="0.25">
      <c r="C974"/>
      <c r="M974"/>
    </row>
    <row r="975" spans="3:13" ht="12.75" customHeight="1" x14ac:dyDescent="0.25">
      <c r="C975"/>
      <c r="M975"/>
    </row>
    <row r="976" spans="3:13" ht="12.75" customHeight="1" x14ac:dyDescent="0.25">
      <c r="C976"/>
      <c r="M976"/>
    </row>
    <row r="977" spans="3:13" ht="12.75" customHeight="1" x14ac:dyDescent="0.25">
      <c r="C977"/>
      <c r="M977"/>
    </row>
    <row r="978" spans="3:13" ht="12.75" customHeight="1" x14ac:dyDescent="0.25">
      <c r="C978"/>
      <c r="M978"/>
    </row>
    <row r="979" spans="3:13" ht="12.75" customHeight="1" x14ac:dyDescent="0.25">
      <c r="C979"/>
      <c r="M979"/>
    </row>
    <row r="980" spans="3:13" ht="12.75" customHeight="1" x14ac:dyDescent="0.25">
      <c r="C980"/>
      <c r="M980"/>
    </row>
    <row r="981" spans="3:13" ht="12.75" customHeight="1" x14ac:dyDescent="0.25">
      <c r="C981"/>
      <c r="M981"/>
    </row>
    <row r="982" spans="3:13" ht="12.75" customHeight="1" x14ac:dyDescent="0.25">
      <c r="C982"/>
      <c r="M982"/>
    </row>
    <row r="983" spans="3:13" ht="12.75" customHeight="1" x14ac:dyDescent="0.25">
      <c r="C983"/>
      <c r="M983"/>
    </row>
    <row r="984" spans="3:13" ht="12.75" customHeight="1" x14ac:dyDescent="0.25">
      <c r="C984"/>
      <c r="M984"/>
    </row>
    <row r="985" spans="3:13" ht="12.75" customHeight="1" x14ac:dyDescent="0.25">
      <c r="C985"/>
      <c r="M985"/>
    </row>
    <row r="986" spans="3:13" ht="12.75" customHeight="1" x14ac:dyDescent="0.25">
      <c r="C986"/>
      <c r="M986"/>
    </row>
    <row r="987" spans="3:13" ht="12.75" customHeight="1" x14ac:dyDescent="0.25">
      <c r="C987"/>
      <c r="M987"/>
    </row>
    <row r="988" spans="3:13" ht="12.75" customHeight="1" x14ac:dyDescent="0.25">
      <c r="C988"/>
      <c r="M988"/>
    </row>
    <row r="989" spans="3:13" ht="12.75" customHeight="1" x14ac:dyDescent="0.25">
      <c r="C989"/>
      <c r="M989"/>
    </row>
    <row r="990" spans="3:13" ht="12.75" customHeight="1" x14ac:dyDescent="0.25">
      <c r="C990"/>
      <c r="M990"/>
    </row>
    <row r="991" spans="3:13" ht="12.75" customHeight="1" x14ac:dyDescent="0.25">
      <c r="C991"/>
      <c r="M991"/>
    </row>
    <row r="992" spans="3:13" ht="12.75" customHeight="1" x14ac:dyDescent="0.25">
      <c r="C992"/>
      <c r="M992"/>
    </row>
    <row r="993" spans="3:13" ht="12.75" customHeight="1" x14ac:dyDescent="0.25">
      <c r="C993"/>
      <c r="M993"/>
    </row>
    <row r="994" spans="3:13" ht="12.75" customHeight="1" x14ac:dyDescent="0.25">
      <c r="C994"/>
      <c r="M994"/>
    </row>
    <row r="995" spans="3:13" ht="12.75" customHeight="1" x14ac:dyDescent="0.25">
      <c r="C995"/>
      <c r="M995"/>
    </row>
    <row r="996" spans="3:13" ht="12.75" customHeight="1" x14ac:dyDescent="0.25">
      <c r="C996"/>
      <c r="M996"/>
    </row>
    <row r="997" spans="3:13" ht="12.75" customHeight="1" x14ac:dyDescent="0.25">
      <c r="C997"/>
      <c r="M997"/>
    </row>
    <row r="998" spans="3:13" ht="12.75" customHeight="1" x14ac:dyDescent="0.25">
      <c r="C998"/>
      <c r="M998"/>
    </row>
    <row r="999" spans="3:13" ht="12.75" customHeight="1" x14ac:dyDescent="0.25">
      <c r="C999"/>
      <c r="M999"/>
    </row>
    <row r="1000" spans="3:13" ht="12.75" customHeight="1" x14ac:dyDescent="0.25">
      <c r="C1000"/>
      <c r="M1000"/>
    </row>
    <row r="1001" spans="3:13" ht="12.75" customHeight="1" x14ac:dyDescent="0.25">
      <c r="C1001"/>
      <c r="M1001"/>
    </row>
    <row r="1002" spans="3:13" ht="12.75" customHeight="1" x14ac:dyDescent="0.25">
      <c r="C1002"/>
      <c r="M1002"/>
    </row>
    <row r="1003" spans="3:13" ht="12.75" customHeight="1" x14ac:dyDescent="0.25">
      <c r="C1003"/>
      <c r="M1003"/>
    </row>
    <row r="1004" spans="3:13" ht="12.75" customHeight="1" x14ac:dyDescent="0.25">
      <c r="C1004"/>
      <c r="M1004"/>
    </row>
    <row r="1005" spans="3:13" ht="12.75" customHeight="1" x14ac:dyDescent="0.25">
      <c r="C1005"/>
      <c r="M1005"/>
    </row>
    <row r="1006" spans="3:13" ht="12.75" customHeight="1" x14ac:dyDescent="0.25">
      <c r="C1006"/>
      <c r="M1006"/>
    </row>
    <row r="1007" spans="3:13" ht="12.75" customHeight="1" x14ac:dyDescent="0.25">
      <c r="C1007"/>
      <c r="M1007"/>
    </row>
    <row r="1008" spans="3:13" ht="12.75" customHeight="1" x14ac:dyDescent="0.25">
      <c r="C1008"/>
      <c r="M1008"/>
    </row>
    <row r="1009" spans="3:13" ht="12.75" customHeight="1" x14ac:dyDescent="0.25">
      <c r="C1009"/>
      <c r="M1009"/>
    </row>
    <row r="1010" spans="3:13" ht="12.75" customHeight="1" x14ac:dyDescent="0.25">
      <c r="C1010"/>
      <c r="M1010"/>
    </row>
    <row r="1011" spans="3:13" ht="12.75" customHeight="1" x14ac:dyDescent="0.25">
      <c r="C1011"/>
      <c r="M1011"/>
    </row>
    <row r="1012" spans="3:13" ht="12.75" customHeight="1" x14ac:dyDescent="0.25">
      <c r="C1012"/>
      <c r="M1012"/>
    </row>
    <row r="1013" spans="3:13" ht="12.75" customHeight="1" x14ac:dyDescent="0.25">
      <c r="C1013"/>
      <c r="M1013"/>
    </row>
    <row r="1014" spans="3:13" ht="12.75" customHeight="1" x14ac:dyDescent="0.25">
      <c r="C1014"/>
      <c r="M1014"/>
    </row>
    <row r="1015" spans="3:13" ht="12.75" customHeight="1" x14ac:dyDescent="0.25">
      <c r="C1015"/>
      <c r="M1015"/>
    </row>
    <row r="1016" spans="3:13" ht="12.75" customHeight="1" x14ac:dyDescent="0.25">
      <c r="C1016"/>
      <c r="M1016"/>
    </row>
    <row r="1017" spans="3:13" ht="12.75" customHeight="1" x14ac:dyDescent="0.25">
      <c r="C1017"/>
      <c r="M1017"/>
    </row>
    <row r="1018" spans="3:13" ht="12.75" customHeight="1" x14ac:dyDescent="0.25">
      <c r="C1018"/>
      <c r="M1018"/>
    </row>
    <row r="1019" spans="3:13" ht="12.75" customHeight="1" x14ac:dyDescent="0.25">
      <c r="C1019"/>
      <c r="M1019"/>
    </row>
    <row r="1020" spans="3:13" ht="12.75" customHeight="1" x14ac:dyDescent="0.25">
      <c r="C1020"/>
      <c r="M1020"/>
    </row>
    <row r="1021" spans="3:13" ht="12.75" customHeight="1" x14ac:dyDescent="0.25">
      <c r="C1021"/>
      <c r="M1021"/>
    </row>
    <row r="1022" spans="3:13" ht="12.75" customHeight="1" x14ac:dyDescent="0.25">
      <c r="C1022"/>
      <c r="M1022"/>
    </row>
    <row r="1023" spans="3:13" ht="12.75" customHeight="1" x14ac:dyDescent="0.25">
      <c r="C1023"/>
      <c r="M1023"/>
    </row>
    <row r="1024" spans="3:13" ht="12.75" customHeight="1" x14ac:dyDescent="0.25">
      <c r="C1024"/>
      <c r="M1024"/>
    </row>
    <row r="1025" spans="3:13" ht="12.75" customHeight="1" x14ac:dyDescent="0.25">
      <c r="C1025"/>
      <c r="M1025"/>
    </row>
    <row r="1026" spans="3:13" ht="12.75" customHeight="1" x14ac:dyDescent="0.25">
      <c r="C1026"/>
      <c r="M1026"/>
    </row>
    <row r="1027" spans="3:13" ht="12.75" customHeight="1" x14ac:dyDescent="0.25">
      <c r="C1027"/>
      <c r="M1027"/>
    </row>
    <row r="1028" spans="3:13" ht="12.75" customHeight="1" x14ac:dyDescent="0.25">
      <c r="C1028"/>
      <c r="M1028"/>
    </row>
    <row r="1029" spans="3:13" ht="12.75" customHeight="1" x14ac:dyDescent="0.25">
      <c r="C1029"/>
      <c r="M1029"/>
    </row>
    <row r="1030" spans="3:13" ht="12.75" customHeight="1" x14ac:dyDescent="0.25">
      <c r="C1030"/>
      <c r="M1030"/>
    </row>
    <row r="1031" spans="3:13" ht="12.75" customHeight="1" x14ac:dyDescent="0.25">
      <c r="C1031"/>
      <c r="M1031"/>
    </row>
    <row r="1032" spans="3:13" ht="12.75" customHeight="1" x14ac:dyDescent="0.25">
      <c r="C1032"/>
      <c r="M1032"/>
    </row>
    <row r="1033" spans="3:13" ht="12.75" customHeight="1" x14ac:dyDescent="0.25">
      <c r="C1033"/>
      <c r="M1033"/>
    </row>
    <row r="1034" spans="3:13" ht="12.75" customHeight="1" x14ac:dyDescent="0.25">
      <c r="C1034"/>
      <c r="M1034"/>
    </row>
    <row r="1035" spans="3:13" ht="12.75" customHeight="1" x14ac:dyDescent="0.25">
      <c r="C1035"/>
      <c r="M1035"/>
    </row>
    <row r="1036" spans="3:13" ht="12.75" customHeight="1" x14ac:dyDescent="0.25">
      <c r="C1036"/>
      <c r="M1036"/>
    </row>
    <row r="1037" spans="3:13" ht="12.75" customHeight="1" x14ac:dyDescent="0.25">
      <c r="C1037"/>
      <c r="M1037"/>
    </row>
    <row r="1038" spans="3:13" ht="12.75" customHeight="1" x14ac:dyDescent="0.25">
      <c r="C1038"/>
      <c r="M1038"/>
    </row>
    <row r="1039" spans="3:13" ht="12.75" customHeight="1" x14ac:dyDescent="0.25">
      <c r="C1039"/>
      <c r="M1039"/>
    </row>
    <row r="1040" spans="3:13" ht="12.75" customHeight="1" x14ac:dyDescent="0.25">
      <c r="C1040"/>
      <c r="M1040"/>
    </row>
    <row r="1041" spans="3:13" ht="12.75" customHeight="1" x14ac:dyDescent="0.25">
      <c r="C1041"/>
      <c r="M1041"/>
    </row>
    <row r="1042" spans="3:13" ht="12.75" customHeight="1" x14ac:dyDescent="0.25">
      <c r="C1042"/>
      <c r="M1042"/>
    </row>
    <row r="1043" spans="3:13" ht="12.75" customHeight="1" x14ac:dyDescent="0.25">
      <c r="C1043"/>
      <c r="M1043"/>
    </row>
    <row r="1044" spans="3:13" ht="12.75" customHeight="1" x14ac:dyDescent="0.25">
      <c r="C1044"/>
      <c r="M1044"/>
    </row>
    <row r="1045" spans="3:13" ht="12.75" customHeight="1" x14ac:dyDescent="0.25">
      <c r="C1045"/>
      <c r="M1045"/>
    </row>
    <row r="1046" spans="3:13" ht="12.75" customHeight="1" x14ac:dyDescent="0.25">
      <c r="C1046"/>
      <c r="M1046"/>
    </row>
    <row r="1047" spans="3:13" ht="12.75" customHeight="1" x14ac:dyDescent="0.25">
      <c r="C1047"/>
      <c r="M1047"/>
    </row>
    <row r="1048" spans="3:13" ht="12.75" customHeight="1" x14ac:dyDescent="0.25">
      <c r="C1048"/>
      <c r="M1048"/>
    </row>
    <row r="1049" spans="3:13" ht="12.75" customHeight="1" x14ac:dyDescent="0.25">
      <c r="C1049"/>
      <c r="M1049"/>
    </row>
    <row r="1050" spans="3:13" ht="12.75" customHeight="1" x14ac:dyDescent="0.25">
      <c r="C1050"/>
      <c r="M1050"/>
    </row>
    <row r="1051" spans="3:13" ht="12.75" customHeight="1" x14ac:dyDescent="0.25">
      <c r="C1051"/>
      <c r="M1051"/>
    </row>
    <row r="1052" spans="3:13" ht="12.75" customHeight="1" x14ac:dyDescent="0.25">
      <c r="C1052"/>
      <c r="M1052"/>
    </row>
    <row r="1053" spans="3:13" ht="12.75" customHeight="1" x14ac:dyDescent="0.25">
      <c r="C1053"/>
      <c r="M1053"/>
    </row>
    <row r="1054" spans="3:13" ht="12.75" customHeight="1" x14ac:dyDescent="0.25">
      <c r="C1054"/>
      <c r="M1054"/>
    </row>
    <row r="1055" spans="3:13" ht="12.75" customHeight="1" x14ac:dyDescent="0.25">
      <c r="C1055"/>
      <c r="M1055"/>
    </row>
    <row r="1056" spans="3:13" ht="12.75" customHeight="1" x14ac:dyDescent="0.25">
      <c r="C1056"/>
      <c r="M1056"/>
    </row>
    <row r="1057" spans="3:13" ht="12.75" customHeight="1" x14ac:dyDescent="0.25">
      <c r="C1057"/>
      <c r="M1057"/>
    </row>
    <row r="1058" spans="3:13" ht="12.75" customHeight="1" x14ac:dyDescent="0.25">
      <c r="C1058"/>
      <c r="M1058"/>
    </row>
    <row r="1059" spans="3:13" ht="12.75" customHeight="1" x14ac:dyDescent="0.25">
      <c r="C1059"/>
      <c r="M1059"/>
    </row>
    <row r="1060" spans="3:13" ht="12.75" customHeight="1" x14ac:dyDescent="0.25">
      <c r="C1060"/>
      <c r="M1060"/>
    </row>
    <row r="1061" spans="3:13" ht="12.75" customHeight="1" x14ac:dyDescent="0.25">
      <c r="C1061"/>
      <c r="M1061"/>
    </row>
    <row r="1062" spans="3:13" ht="12.75" customHeight="1" x14ac:dyDescent="0.25">
      <c r="C1062"/>
      <c r="M1062"/>
    </row>
    <row r="1063" spans="3:13" ht="12.75" customHeight="1" x14ac:dyDescent="0.25">
      <c r="C1063"/>
      <c r="M1063"/>
    </row>
    <row r="1064" spans="3:13" ht="12.75" customHeight="1" x14ac:dyDescent="0.25">
      <c r="C1064"/>
      <c r="M1064"/>
    </row>
    <row r="1065" spans="3:13" ht="12.75" customHeight="1" x14ac:dyDescent="0.25">
      <c r="C1065"/>
      <c r="M1065"/>
    </row>
    <row r="1066" spans="3:13" ht="12.75" customHeight="1" x14ac:dyDescent="0.25">
      <c r="C1066"/>
      <c r="M1066"/>
    </row>
    <row r="1067" spans="3:13" ht="12.75" customHeight="1" x14ac:dyDescent="0.25">
      <c r="C1067"/>
      <c r="M1067"/>
    </row>
    <row r="1068" spans="3:13" ht="12.75" customHeight="1" x14ac:dyDescent="0.25">
      <c r="C1068"/>
      <c r="M1068"/>
    </row>
    <row r="1069" spans="3:13" ht="12.75" customHeight="1" x14ac:dyDescent="0.25">
      <c r="C1069"/>
      <c r="M1069"/>
    </row>
    <row r="1070" spans="3:13" ht="12.75" customHeight="1" x14ac:dyDescent="0.25">
      <c r="C1070"/>
      <c r="M1070"/>
    </row>
    <row r="1071" spans="3:13" ht="12.75" customHeight="1" x14ac:dyDescent="0.25">
      <c r="C1071"/>
      <c r="M1071"/>
    </row>
    <row r="1072" spans="3:13" ht="12.75" customHeight="1" x14ac:dyDescent="0.25">
      <c r="C1072"/>
      <c r="M1072"/>
    </row>
    <row r="1073" spans="3:13" ht="12.75" customHeight="1" x14ac:dyDescent="0.25">
      <c r="C1073"/>
      <c r="M1073"/>
    </row>
    <row r="1074" spans="3:13" ht="12.75" customHeight="1" x14ac:dyDescent="0.25">
      <c r="C1074"/>
      <c r="M1074"/>
    </row>
    <row r="1075" spans="3:13" ht="12.75" customHeight="1" x14ac:dyDescent="0.25">
      <c r="C1075"/>
      <c r="M1075"/>
    </row>
    <row r="1076" spans="3:13" ht="12.75" customHeight="1" x14ac:dyDescent="0.25">
      <c r="C1076"/>
      <c r="M1076"/>
    </row>
    <row r="1077" spans="3:13" ht="12.75" customHeight="1" x14ac:dyDescent="0.25">
      <c r="C1077"/>
      <c r="M1077"/>
    </row>
    <row r="1078" spans="3:13" ht="12.75" customHeight="1" x14ac:dyDescent="0.25">
      <c r="C1078"/>
      <c r="M1078"/>
    </row>
    <row r="1079" spans="3:13" ht="12.75" customHeight="1" x14ac:dyDescent="0.25">
      <c r="C1079"/>
      <c r="M1079"/>
    </row>
    <row r="1080" spans="3:13" ht="12.75" customHeight="1" x14ac:dyDescent="0.25">
      <c r="C1080"/>
      <c r="M1080"/>
    </row>
    <row r="1081" spans="3:13" ht="12.75" customHeight="1" x14ac:dyDescent="0.25">
      <c r="C1081"/>
      <c r="M1081"/>
    </row>
    <row r="1082" spans="3:13" ht="12.75" customHeight="1" x14ac:dyDescent="0.25">
      <c r="C1082"/>
      <c r="M1082"/>
    </row>
    <row r="1083" spans="3:13" ht="12.75" customHeight="1" x14ac:dyDescent="0.25">
      <c r="C1083"/>
      <c r="M1083"/>
    </row>
    <row r="1084" spans="3:13" ht="12.75" customHeight="1" x14ac:dyDescent="0.25">
      <c r="C1084"/>
      <c r="M1084"/>
    </row>
    <row r="1085" spans="3:13" ht="12.75" customHeight="1" x14ac:dyDescent="0.25">
      <c r="C1085"/>
      <c r="M1085"/>
    </row>
    <row r="1086" spans="3:13" ht="12.75" customHeight="1" x14ac:dyDescent="0.25">
      <c r="C1086"/>
      <c r="M1086"/>
    </row>
    <row r="1087" spans="3:13" ht="12.75" customHeight="1" x14ac:dyDescent="0.25">
      <c r="C1087"/>
      <c r="M1087"/>
    </row>
    <row r="1088" spans="3:13" ht="12.75" customHeight="1" x14ac:dyDescent="0.25">
      <c r="C1088"/>
      <c r="M1088"/>
    </row>
    <row r="1089" spans="3:13" ht="12.75" customHeight="1" x14ac:dyDescent="0.25">
      <c r="C1089"/>
      <c r="M1089"/>
    </row>
    <row r="1090" spans="3:13" ht="12.75" customHeight="1" x14ac:dyDescent="0.25">
      <c r="C1090"/>
      <c r="M1090"/>
    </row>
    <row r="1091" spans="3:13" ht="12.75" customHeight="1" x14ac:dyDescent="0.25">
      <c r="C1091"/>
      <c r="M1091"/>
    </row>
    <row r="1092" spans="3:13" ht="12.75" customHeight="1" x14ac:dyDescent="0.25">
      <c r="C1092"/>
      <c r="M1092"/>
    </row>
    <row r="1093" spans="3:13" ht="12.75" customHeight="1" x14ac:dyDescent="0.25">
      <c r="C1093"/>
      <c r="M1093"/>
    </row>
    <row r="1094" spans="3:13" ht="12.75" customHeight="1" x14ac:dyDescent="0.25">
      <c r="C1094"/>
      <c r="M1094"/>
    </row>
    <row r="1095" spans="3:13" ht="12.75" customHeight="1" x14ac:dyDescent="0.25">
      <c r="C1095"/>
      <c r="M1095"/>
    </row>
    <row r="1096" spans="3:13" ht="12.75" customHeight="1" x14ac:dyDescent="0.25">
      <c r="C1096"/>
      <c r="M1096"/>
    </row>
    <row r="1097" spans="3:13" ht="12.75" customHeight="1" x14ac:dyDescent="0.25">
      <c r="C1097"/>
      <c r="M1097"/>
    </row>
    <row r="1098" spans="3:13" ht="12.75" customHeight="1" x14ac:dyDescent="0.25">
      <c r="C1098"/>
      <c r="M1098"/>
    </row>
    <row r="1099" spans="3:13" ht="12.75" customHeight="1" x14ac:dyDescent="0.25">
      <c r="C1099"/>
      <c r="M1099"/>
    </row>
    <row r="1100" spans="3:13" ht="12.75" customHeight="1" x14ac:dyDescent="0.25">
      <c r="C1100"/>
      <c r="M1100"/>
    </row>
    <row r="1101" spans="3:13" ht="12.75" customHeight="1" x14ac:dyDescent="0.25">
      <c r="C1101"/>
      <c r="M1101"/>
    </row>
    <row r="1102" spans="3:13" ht="12.75" customHeight="1" x14ac:dyDescent="0.25">
      <c r="C1102"/>
      <c r="M1102"/>
    </row>
    <row r="1103" spans="3:13" ht="12.75" customHeight="1" x14ac:dyDescent="0.25">
      <c r="C1103"/>
      <c r="M1103"/>
    </row>
    <row r="1104" spans="3:13" ht="12.75" customHeight="1" x14ac:dyDescent="0.25">
      <c r="C1104"/>
      <c r="M1104"/>
    </row>
    <row r="1105" spans="3:13" ht="12.75" customHeight="1" x14ac:dyDescent="0.25">
      <c r="C1105"/>
      <c r="M1105"/>
    </row>
    <row r="1106" spans="3:13" ht="12.75" customHeight="1" x14ac:dyDescent="0.25">
      <c r="C1106"/>
      <c r="M1106"/>
    </row>
    <row r="1107" spans="3:13" ht="12.75" customHeight="1" x14ac:dyDescent="0.25">
      <c r="C1107"/>
      <c r="M1107"/>
    </row>
    <row r="1108" spans="3:13" ht="12.75" customHeight="1" x14ac:dyDescent="0.25">
      <c r="C1108"/>
      <c r="M1108"/>
    </row>
    <row r="1109" spans="3:13" ht="12.75" customHeight="1" x14ac:dyDescent="0.25">
      <c r="C1109"/>
      <c r="M1109"/>
    </row>
    <row r="1110" spans="3:13" ht="12.75" customHeight="1" x14ac:dyDescent="0.25">
      <c r="C1110"/>
      <c r="M1110"/>
    </row>
    <row r="1111" spans="3:13" ht="12.75" customHeight="1" x14ac:dyDescent="0.25">
      <c r="C1111"/>
      <c r="M1111"/>
    </row>
    <row r="1112" spans="3:13" ht="12.75" customHeight="1" x14ac:dyDescent="0.25">
      <c r="C1112"/>
      <c r="M1112"/>
    </row>
    <row r="1113" spans="3:13" ht="12.75" customHeight="1" x14ac:dyDescent="0.25">
      <c r="C1113"/>
      <c r="M1113"/>
    </row>
    <row r="1114" spans="3:13" ht="12.75" customHeight="1" x14ac:dyDescent="0.25">
      <c r="C1114"/>
      <c r="M1114"/>
    </row>
    <row r="1115" spans="3:13" ht="12.75" customHeight="1" x14ac:dyDescent="0.25">
      <c r="C1115"/>
      <c r="M1115"/>
    </row>
    <row r="1116" spans="3:13" ht="12.75" customHeight="1" x14ac:dyDescent="0.25">
      <c r="C1116"/>
      <c r="M1116"/>
    </row>
    <row r="1117" spans="3:13" ht="12.75" customHeight="1" x14ac:dyDescent="0.25">
      <c r="C1117"/>
      <c r="M1117"/>
    </row>
    <row r="1118" spans="3:13" ht="12.75" customHeight="1" x14ac:dyDescent="0.25">
      <c r="C1118"/>
      <c r="M1118"/>
    </row>
    <row r="1119" spans="3:13" ht="12.75" customHeight="1" x14ac:dyDescent="0.25">
      <c r="C1119"/>
      <c r="M1119"/>
    </row>
    <row r="1120" spans="3:13" ht="12.75" customHeight="1" x14ac:dyDescent="0.25">
      <c r="C1120"/>
      <c r="M1120"/>
    </row>
    <row r="1121" spans="3:13" ht="12.75" customHeight="1" x14ac:dyDescent="0.25">
      <c r="C1121"/>
      <c r="M1121"/>
    </row>
    <row r="1122" spans="3:13" ht="12.75" customHeight="1" x14ac:dyDescent="0.25">
      <c r="C1122"/>
      <c r="M1122"/>
    </row>
    <row r="1123" spans="3:13" ht="12.75" customHeight="1" x14ac:dyDescent="0.25">
      <c r="C1123"/>
      <c r="M1123"/>
    </row>
    <row r="1124" spans="3:13" ht="12.75" customHeight="1" x14ac:dyDescent="0.25">
      <c r="C1124"/>
      <c r="M1124"/>
    </row>
    <row r="1125" spans="3:13" ht="12.75" customHeight="1" x14ac:dyDescent="0.25">
      <c r="C1125"/>
      <c r="M1125"/>
    </row>
    <row r="1126" spans="3:13" ht="12.75" customHeight="1" x14ac:dyDescent="0.25">
      <c r="C1126"/>
      <c r="M1126"/>
    </row>
    <row r="1127" spans="3:13" ht="12.75" customHeight="1" x14ac:dyDescent="0.25">
      <c r="C1127"/>
      <c r="M1127"/>
    </row>
    <row r="1128" spans="3:13" ht="12.75" customHeight="1" x14ac:dyDescent="0.25">
      <c r="C1128"/>
      <c r="M1128"/>
    </row>
    <row r="1129" spans="3:13" ht="12.75" customHeight="1" x14ac:dyDescent="0.25">
      <c r="C1129"/>
      <c r="M1129"/>
    </row>
    <row r="1130" spans="3:13" ht="12.75" customHeight="1" x14ac:dyDescent="0.25">
      <c r="C1130"/>
      <c r="M1130"/>
    </row>
    <row r="1131" spans="3:13" ht="12.75" customHeight="1" x14ac:dyDescent="0.25">
      <c r="C1131"/>
      <c r="M1131"/>
    </row>
    <row r="1132" spans="3:13" ht="12.75" customHeight="1" x14ac:dyDescent="0.25">
      <c r="C1132"/>
      <c r="M1132"/>
    </row>
    <row r="1133" spans="3:13" ht="12.75" customHeight="1" x14ac:dyDescent="0.25">
      <c r="C1133"/>
      <c r="M1133"/>
    </row>
    <row r="1134" spans="3:13" ht="12.75" customHeight="1" x14ac:dyDescent="0.25">
      <c r="C1134"/>
      <c r="M1134"/>
    </row>
    <row r="1135" spans="3:13" ht="12.75" customHeight="1" x14ac:dyDescent="0.25">
      <c r="C1135"/>
      <c r="M1135"/>
    </row>
    <row r="1136" spans="3:13" ht="12.75" customHeight="1" x14ac:dyDescent="0.25">
      <c r="C1136"/>
      <c r="M1136"/>
    </row>
    <row r="1137" spans="3:13" ht="12.75" customHeight="1" x14ac:dyDescent="0.25">
      <c r="C1137"/>
      <c r="M1137"/>
    </row>
    <row r="1138" spans="3:13" ht="12.75" customHeight="1" x14ac:dyDescent="0.25">
      <c r="C1138"/>
      <c r="M1138"/>
    </row>
    <row r="1139" spans="3:13" ht="12.75" customHeight="1" x14ac:dyDescent="0.25">
      <c r="C1139"/>
      <c r="M1139"/>
    </row>
    <row r="1140" spans="3:13" ht="12.75" customHeight="1" x14ac:dyDescent="0.25">
      <c r="C1140"/>
      <c r="M1140"/>
    </row>
    <row r="1141" spans="3:13" ht="12.75" customHeight="1" x14ac:dyDescent="0.25">
      <c r="C1141"/>
      <c r="M1141"/>
    </row>
    <row r="1142" spans="3:13" ht="12.75" customHeight="1" x14ac:dyDescent="0.25">
      <c r="C1142"/>
      <c r="M1142"/>
    </row>
    <row r="1143" spans="3:13" ht="12.75" customHeight="1" x14ac:dyDescent="0.25">
      <c r="C1143"/>
      <c r="M1143"/>
    </row>
    <row r="1144" spans="3:13" ht="12.75" customHeight="1" x14ac:dyDescent="0.25">
      <c r="C1144"/>
      <c r="M1144"/>
    </row>
    <row r="1145" spans="3:13" ht="12.75" customHeight="1" x14ac:dyDescent="0.25">
      <c r="C1145"/>
      <c r="M1145"/>
    </row>
    <row r="1146" spans="3:13" ht="12.75" customHeight="1" x14ac:dyDescent="0.25">
      <c r="C1146"/>
      <c r="M1146"/>
    </row>
    <row r="1147" spans="3:13" ht="12.75" customHeight="1" x14ac:dyDescent="0.25">
      <c r="C1147"/>
      <c r="M1147"/>
    </row>
    <row r="1148" spans="3:13" ht="12.75" customHeight="1" x14ac:dyDescent="0.25">
      <c r="C1148"/>
      <c r="M1148"/>
    </row>
    <row r="1149" spans="3:13" ht="12.75" customHeight="1" x14ac:dyDescent="0.25">
      <c r="C1149"/>
      <c r="M1149"/>
    </row>
    <row r="1150" spans="3:13" ht="12.75" customHeight="1" x14ac:dyDescent="0.25">
      <c r="C1150"/>
      <c r="M1150"/>
    </row>
    <row r="1151" spans="3:13" ht="12.75" customHeight="1" x14ac:dyDescent="0.25">
      <c r="C1151"/>
      <c r="M1151"/>
    </row>
    <row r="1152" spans="3:13" ht="12.75" customHeight="1" x14ac:dyDescent="0.25">
      <c r="C1152"/>
      <c r="M1152"/>
    </row>
    <row r="1153" spans="3:13" ht="12.75" customHeight="1" x14ac:dyDescent="0.25">
      <c r="C1153"/>
      <c r="M1153"/>
    </row>
    <row r="1154" spans="3:13" ht="12.75" customHeight="1" x14ac:dyDescent="0.25">
      <c r="C1154"/>
      <c r="M1154"/>
    </row>
    <row r="1155" spans="3:13" ht="12.75" customHeight="1" x14ac:dyDescent="0.25">
      <c r="C1155"/>
      <c r="M1155"/>
    </row>
    <row r="1156" spans="3:13" ht="12.75" customHeight="1" x14ac:dyDescent="0.25">
      <c r="C1156"/>
      <c r="M1156"/>
    </row>
    <row r="1157" spans="3:13" ht="12.75" customHeight="1" x14ac:dyDescent="0.25">
      <c r="C1157"/>
      <c r="M1157"/>
    </row>
    <row r="1158" spans="3:13" ht="12.75" customHeight="1" x14ac:dyDescent="0.25">
      <c r="C1158"/>
      <c r="M1158"/>
    </row>
    <row r="1159" spans="3:13" ht="12.75" customHeight="1" x14ac:dyDescent="0.25">
      <c r="C1159"/>
      <c r="M1159"/>
    </row>
    <row r="1160" spans="3:13" ht="12.75" customHeight="1" x14ac:dyDescent="0.25">
      <c r="C1160"/>
      <c r="M1160"/>
    </row>
    <row r="1161" spans="3:13" ht="12.75" customHeight="1" x14ac:dyDescent="0.25">
      <c r="C1161"/>
      <c r="M1161"/>
    </row>
    <row r="1162" spans="3:13" ht="12.75" customHeight="1" x14ac:dyDescent="0.25">
      <c r="C1162"/>
      <c r="M1162"/>
    </row>
    <row r="1163" spans="3:13" ht="12.75" customHeight="1" x14ac:dyDescent="0.25">
      <c r="C1163"/>
      <c r="M1163"/>
    </row>
    <row r="1164" spans="3:13" ht="12.75" customHeight="1" x14ac:dyDescent="0.25">
      <c r="C1164"/>
      <c r="M1164"/>
    </row>
    <row r="1165" spans="3:13" ht="12.75" customHeight="1" x14ac:dyDescent="0.25">
      <c r="C1165"/>
      <c r="M1165"/>
    </row>
    <row r="1166" spans="3:13" ht="12.75" customHeight="1" x14ac:dyDescent="0.25">
      <c r="C1166"/>
      <c r="M1166"/>
    </row>
    <row r="1167" spans="3:13" ht="12.75" customHeight="1" x14ac:dyDescent="0.25">
      <c r="C1167"/>
      <c r="M1167"/>
    </row>
    <row r="1168" spans="3:13" ht="12.75" customHeight="1" x14ac:dyDescent="0.25">
      <c r="C1168"/>
      <c r="M1168"/>
    </row>
    <row r="1169" spans="3:13" ht="12.75" customHeight="1" x14ac:dyDescent="0.25">
      <c r="C1169"/>
      <c r="M1169"/>
    </row>
    <row r="1170" spans="3:13" ht="12.75" customHeight="1" x14ac:dyDescent="0.25">
      <c r="C1170"/>
      <c r="M1170"/>
    </row>
    <row r="1171" spans="3:13" ht="12.75" customHeight="1" x14ac:dyDescent="0.25">
      <c r="C1171"/>
      <c r="M1171"/>
    </row>
    <row r="1172" spans="3:13" ht="12.75" customHeight="1" x14ac:dyDescent="0.25">
      <c r="C1172"/>
      <c r="M1172"/>
    </row>
    <row r="1173" spans="3:13" ht="12.75" customHeight="1" x14ac:dyDescent="0.25">
      <c r="C1173"/>
      <c r="M1173"/>
    </row>
    <row r="1174" spans="3:13" ht="12.75" customHeight="1" x14ac:dyDescent="0.25">
      <c r="C1174"/>
      <c r="M1174"/>
    </row>
    <row r="1175" spans="3:13" ht="12.75" customHeight="1" x14ac:dyDescent="0.25">
      <c r="C1175"/>
      <c r="M1175"/>
    </row>
    <row r="1176" spans="3:13" ht="12.75" customHeight="1" x14ac:dyDescent="0.25">
      <c r="C1176"/>
      <c r="M1176"/>
    </row>
    <row r="1177" spans="3:13" ht="12.75" customHeight="1" x14ac:dyDescent="0.25">
      <c r="C1177"/>
      <c r="M1177"/>
    </row>
    <row r="1178" spans="3:13" ht="12.75" customHeight="1" x14ac:dyDescent="0.25">
      <c r="C1178"/>
      <c r="M1178"/>
    </row>
    <row r="1179" spans="3:13" ht="12.75" customHeight="1" x14ac:dyDescent="0.25">
      <c r="C1179"/>
      <c r="M1179"/>
    </row>
    <row r="1180" spans="3:13" ht="12.75" customHeight="1" x14ac:dyDescent="0.25">
      <c r="C1180"/>
      <c r="M1180"/>
    </row>
    <row r="1181" spans="3:13" ht="12.75" customHeight="1" x14ac:dyDescent="0.25">
      <c r="C1181"/>
      <c r="M1181"/>
    </row>
    <row r="1182" spans="3:13" ht="12.75" customHeight="1" x14ac:dyDescent="0.25">
      <c r="C1182"/>
      <c r="M1182"/>
    </row>
    <row r="1183" spans="3:13" ht="12.75" customHeight="1" x14ac:dyDescent="0.25">
      <c r="C1183"/>
      <c r="M1183"/>
    </row>
    <row r="1184" spans="3:13" ht="12.75" customHeight="1" x14ac:dyDescent="0.25">
      <c r="C1184"/>
      <c r="M1184"/>
    </row>
    <row r="1185" spans="3:13" ht="12.75" customHeight="1" x14ac:dyDescent="0.25">
      <c r="C1185"/>
      <c r="M1185"/>
    </row>
    <row r="1186" spans="3:13" ht="12.75" customHeight="1" x14ac:dyDescent="0.25">
      <c r="C1186"/>
      <c r="M1186"/>
    </row>
    <row r="1187" spans="3:13" ht="12.75" customHeight="1" x14ac:dyDescent="0.25">
      <c r="C1187"/>
      <c r="M1187"/>
    </row>
    <row r="1188" spans="3:13" ht="12.75" customHeight="1" x14ac:dyDescent="0.25">
      <c r="C1188"/>
      <c r="M1188"/>
    </row>
    <row r="1189" spans="3:13" ht="12.75" customHeight="1" x14ac:dyDescent="0.25">
      <c r="C1189"/>
      <c r="M1189"/>
    </row>
    <row r="1190" spans="3:13" ht="12.75" customHeight="1" x14ac:dyDescent="0.25">
      <c r="C1190"/>
      <c r="M1190"/>
    </row>
    <row r="1191" spans="3:13" ht="12.75" customHeight="1" x14ac:dyDescent="0.25">
      <c r="C1191"/>
      <c r="M1191"/>
    </row>
    <row r="1192" spans="3:13" ht="12.75" customHeight="1" x14ac:dyDescent="0.25">
      <c r="C1192"/>
      <c r="M1192"/>
    </row>
    <row r="1193" spans="3:13" ht="12.75" customHeight="1" x14ac:dyDescent="0.25">
      <c r="C1193"/>
      <c r="M1193"/>
    </row>
    <row r="1194" spans="3:13" ht="12.75" customHeight="1" x14ac:dyDescent="0.25">
      <c r="C1194"/>
      <c r="M1194"/>
    </row>
    <row r="1195" spans="3:13" ht="12.75" customHeight="1" x14ac:dyDescent="0.25">
      <c r="C1195"/>
      <c r="M1195"/>
    </row>
    <row r="1196" spans="3:13" ht="12.75" customHeight="1" x14ac:dyDescent="0.25">
      <c r="C1196"/>
      <c r="M1196"/>
    </row>
    <row r="1197" spans="3:13" ht="12.75" customHeight="1" x14ac:dyDescent="0.25">
      <c r="C1197"/>
      <c r="M1197"/>
    </row>
    <row r="1198" spans="3:13" ht="12.75" customHeight="1" x14ac:dyDescent="0.25">
      <c r="C1198"/>
      <c r="M1198"/>
    </row>
    <row r="1199" spans="3:13" ht="12.75" customHeight="1" x14ac:dyDescent="0.25">
      <c r="C1199"/>
      <c r="M1199"/>
    </row>
    <row r="1200" spans="3:13" ht="12.75" customHeight="1" x14ac:dyDescent="0.25">
      <c r="C1200"/>
      <c r="M1200"/>
    </row>
    <row r="1201" spans="3:13" ht="12.75" customHeight="1" x14ac:dyDescent="0.25">
      <c r="C1201"/>
      <c r="M1201"/>
    </row>
    <row r="1202" spans="3:13" ht="12.75" customHeight="1" x14ac:dyDescent="0.25">
      <c r="C1202"/>
      <c r="M1202"/>
    </row>
    <row r="1203" spans="3:13" ht="12.75" customHeight="1" x14ac:dyDescent="0.25">
      <c r="C1203"/>
      <c r="M1203"/>
    </row>
    <row r="1204" spans="3:13" ht="12.75" customHeight="1" x14ac:dyDescent="0.25">
      <c r="C1204"/>
      <c r="M1204"/>
    </row>
    <row r="1205" spans="3:13" ht="12.75" customHeight="1" x14ac:dyDescent="0.25">
      <c r="C1205"/>
      <c r="M1205"/>
    </row>
    <row r="1206" spans="3:13" ht="12.75" customHeight="1" x14ac:dyDescent="0.25">
      <c r="C1206"/>
      <c r="M1206"/>
    </row>
    <row r="1207" spans="3:13" ht="12.75" customHeight="1" x14ac:dyDescent="0.25">
      <c r="C1207"/>
      <c r="M1207"/>
    </row>
    <row r="1208" spans="3:13" ht="12.75" customHeight="1" x14ac:dyDescent="0.25">
      <c r="C1208"/>
      <c r="M1208"/>
    </row>
    <row r="1209" spans="3:13" ht="12.75" customHeight="1" x14ac:dyDescent="0.25">
      <c r="C1209"/>
      <c r="M1209"/>
    </row>
    <row r="1210" spans="3:13" ht="12.75" customHeight="1" x14ac:dyDescent="0.25">
      <c r="C1210"/>
      <c r="M1210"/>
    </row>
    <row r="1211" spans="3:13" ht="12.75" customHeight="1" x14ac:dyDescent="0.25">
      <c r="C1211"/>
      <c r="M1211"/>
    </row>
    <row r="1212" spans="3:13" ht="12.75" customHeight="1" x14ac:dyDescent="0.25">
      <c r="C1212"/>
      <c r="M1212"/>
    </row>
    <row r="1213" spans="3:13" ht="12.75" customHeight="1" x14ac:dyDescent="0.25">
      <c r="C1213"/>
      <c r="M1213"/>
    </row>
    <row r="1214" spans="3:13" ht="12.75" customHeight="1" x14ac:dyDescent="0.25">
      <c r="C1214"/>
      <c r="M1214"/>
    </row>
    <row r="1215" spans="3:13" ht="12.75" customHeight="1" x14ac:dyDescent="0.25">
      <c r="C1215"/>
      <c r="M1215"/>
    </row>
    <row r="1216" spans="3:13" ht="12.75" customHeight="1" x14ac:dyDescent="0.25">
      <c r="C1216"/>
      <c r="M1216"/>
    </row>
    <row r="1217" spans="3:13" ht="12.75" customHeight="1" x14ac:dyDescent="0.25">
      <c r="C1217"/>
      <c r="M1217"/>
    </row>
    <row r="1218" spans="3:13" ht="12.75" customHeight="1" x14ac:dyDescent="0.25">
      <c r="C1218"/>
      <c r="M1218"/>
    </row>
    <row r="1219" spans="3:13" ht="12.75" customHeight="1" x14ac:dyDescent="0.25">
      <c r="C1219"/>
      <c r="M1219"/>
    </row>
    <row r="1220" spans="3:13" ht="12.75" customHeight="1" x14ac:dyDescent="0.25">
      <c r="C1220"/>
      <c r="M1220"/>
    </row>
    <row r="1221" spans="3:13" ht="12.75" customHeight="1" x14ac:dyDescent="0.25">
      <c r="C1221"/>
      <c r="M1221"/>
    </row>
    <row r="1222" spans="3:13" ht="12.75" customHeight="1" x14ac:dyDescent="0.25">
      <c r="C1222"/>
      <c r="M1222"/>
    </row>
    <row r="1223" spans="3:13" ht="12.75" customHeight="1" x14ac:dyDescent="0.25">
      <c r="C1223"/>
      <c r="M1223"/>
    </row>
    <row r="1224" spans="3:13" ht="12.75" customHeight="1" x14ac:dyDescent="0.25">
      <c r="C1224"/>
      <c r="M1224"/>
    </row>
    <row r="1225" spans="3:13" ht="12.75" customHeight="1" x14ac:dyDescent="0.25">
      <c r="C1225"/>
      <c r="M1225"/>
    </row>
    <row r="1226" spans="3:13" ht="12.75" customHeight="1" x14ac:dyDescent="0.25">
      <c r="C1226"/>
      <c r="M1226"/>
    </row>
    <row r="1227" spans="3:13" ht="12.75" customHeight="1" x14ac:dyDescent="0.25">
      <c r="C1227"/>
      <c r="M1227"/>
    </row>
    <row r="1228" spans="3:13" ht="12.75" customHeight="1" x14ac:dyDescent="0.25">
      <c r="C1228"/>
      <c r="M1228"/>
    </row>
    <row r="1229" spans="3:13" ht="12.75" customHeight="1" x14ac:dyDescent="0.25">
      <c r="C1229"/>
      <c r="M1229"/>
    </row>
    <row r="1230" spans="3:13" ht="12.75" customHeight="1" x14ac:dyDescent="0.25">
      <c r="C1230"/>
      <c r="M1230"/>
    </row>
    <row r="1231" spans="3:13" ht="12.75" customHeight="1" x14ac:dyDescent="0.25">
      <c r="C1231"/>
      <c r="M1231"/>
    </row>
    <row r="1232" spans="3:13" ht="12.75" customHeight="1" x14ac:dyDescent="0.25">
      <c r="C1232"/>
      <c r="M1232"/>
    </row>
    <row r="1233" spans="3:13" ht="12.75" customHeight="1" x14ac:dyDescent="0.25">
      <c r="C1233"/>
      <c r="M1233"/>
    </row>
    <row r="1234" spans="3:13" ht="12.75" customHeight="1" x14ac:dyDescent="0.25">
      <c r="C1234"/>
      <c r="M1234"/>
    </row>
    <row r="1235" spans="3:13" ht="12.75" customHeight="1" x14ac:dyDescent="0.25">
      <c r="C1235"/>
      <c r="M1235"/>
    </row>
    <row r="1236" spans="3:13" ht="12.75" customHeight="1" x14ac:dyDescent="0.25">
      <c r="C1236"/>
      <c r="M1236"/>
    </row>
    <row r="1237" spans="3:13" ht="12.75" customHeight="1" x14ac:dyDescent="0.25">
      <c r="C1237"/>
      <c r="M1237"/>
    </row>
    <row r="1238" spans="3:13" ht="12.75" customHeight="1" x14ac:dyDescent="0.25">
      <c r="C1238"/>
      <c r="M1238"/>
    </row>
    <row r="1239" spans="3:13" ht="12.75" customHeight="1" x14ac:dyDescent="0.25">
      <c r="C1239"/>
      <c r="M1239"/>
    </row>
    <row r="1240" spans="3:13" ht="12.75" customHeight="1" x14ac:dyDescent="0.25">
      <c r="C1240"/>
      <c r="M1240"/>
    </row>
    <row r="1241" spans="3:13" ht="12.75" customHeight="1" x14ac:dyDescent="0.25">
      <c r="C1241"/>
      <c r="M1241"/>
    </row>
    <row r="1242" spans="3:13" ht="12.75" customHeight="1" x14ac:dyDescent="0.25">
      <c r="C1242"/>
      <c r="M1242"/>
    </row>
    <row r="1243" spans="3:13" ht="12.75" customHeight="1" x14ac:dyDescent="0.25">
      <c r="C1243"/>
      <c r="M1243"/>
    </row>
    <row r="1244" spans="3:13" ht="12.75" customHeight="1" x14ac:dyDescent="0.25">
      <c r="C1244"/>
      <c r="M1244"/>
    </row>
    <row r="1245" spans="3:13" ht="12.75" customHeight="1" x14ac:dyDescent="0.25">
      <c r="C1245"/>
      <c r="M1245"/>
    </row>
    <row r="1246" spans="3:13" ht="12.75" customHeight="1" x14ac:dyDescent="0.25">
      <c r="C1246"/>
      <c r="M1246"/>
    </row>
    <row r="1247" spans="3:13" ht="12.75" customHeight="1" x14ac:dyDescent="0.25">
      <c r="C1247"/>
      <c r="M1247"/>
    </row>
    <row r="1248" spans="3:13" ht="12.75" customHeight="1" x14ac:dyDescent="0.25">
      <c r="C1248"/>
      <c r="M1248"/>
    </row>
    <row r="1249" spans="3:13" ht="12.75" customHeight="1" x14ac:dyDescent="0.25">
      <c r="C1249"/>
      <c r="M1249"/>
    </row>
    <row r="1250" spans="3:13" ht="12.75" customHeight="1" x14ac:dyDescent="0.25">
      <c r="C1250"/>
      <c r="M1250"/>
    </row>
    <row r="1251" spans="3:13" ht="12.75" customHeight="1" x14ac:dyDescent="0.25">
      <c r="C1251"/>
      <c r="M1251"/>
    </row>
    <row r="1252" spans="3:13" ht="12.75" customHeight="1" x14ac:dyDescent="0.25">
      <c r="C1252"/>
      <c r="M1252"/>
    </row>
    <row r="1253" spans="3:13" ht="12.75" customHeight="1" x14ac:dyDescent="0.25">
      <c r="C1253"/>
      <c r="M1253"/>
    </row>
    <row r="1254" spans="3:13" ht="12.75" customHeight="1" x14ac:dyDescent="0.25">
      <c r="C1254"/>
      <c r="M1254"/>
    </row>
    <row r="1255" spans="3:13" ht="12.75" customHeight="1" x14ac:dyDescent="0.25">
      <c r="C1255"/>
      <c r="M1255"/>
    </row>
    <row r="1256" spans="3:13" ht="12.75" customHeight="1" x14ac:dyDescent="0.25">
      <c r="C1256"/>
      <c r="M1256"/>
    </row>
    <row r="1257" spans="3:13" ht="12.75" customHeight="1" x14ac:dyDescent="0.25">
      <c r="C1257"/>
      <c r="M1257"/>
    </row>
    <row r="1258" spans="3:13" ht="12.75" customHeight="1" x14ac:dyDescent="0.25">
      <c r="C1258"/>
      <c r="M1258"/>
    </row>
    <row r="1259" spans="3:13" ht="12.75" customHeight="1" x14ac:dyDescent="0.25">
      <c r="C1259"/>
      <c r="M1259"/>
    </row>
    <row r="1260" spans="3:13" ht="12.75" customHeight="1" x14ac:dyDescent="0.25">
      <c r="C1260"/>
      <c r="M1260"/>
    </row>
    <row r="1261" spans="3:13" ht="12.75" customHeight="1" x14ac:dyDescent="0.25">
      <c r="C1261"/>
      <c r="M1261"/>
    </row>
    <row r="1262" spans="3:13" ht="12.75" customHeight="1" x14ac:dyDescent="0.25">
      <c r="C1262"/>
      <c r="M1262"/>
    </row>
    <row r="1263" spans="3:13" ht="12.75" customHeight="1" x14ac:dyDescent="0.25">
      <c r="C1263"/>
      <c r="M1263"/>
    </row>
    <row r="1264" spans="3:13" ht="12.75" customHeight="1" x14ac:dyDescent="0.25">
      <c r="C1264"/>
      <c r="M1264"/>
    </row>
    <row r="1265" spans="3:13" ht="12.75" customHeight="1" x14ac:dyDescent="0.25">
      <c r="C1265"/>
      <c r="M1265"/>
    </row>
    <row r="1266" spans="3:13" ht="12.75" customHeight="1" x14ac:dyDescent="0.25">
      <c r="C1266"/>
      <c r="M1266"/>
    </row>
    <row r="1267" spans="3:13" ht="12.75" customHeight="1" x14ac:dyDescent="0.25">
      <c r="C1267"/>
      <c r="M1267"/>
    </row>
    <row r="1268" spans="3:13" ht="12.75" customHeight="1" x14ac:dyDescent="0.25">
      <c r="C1268"/>
      <c r="M1268"/>
    </row>
    <row r="1269" spans="3:13" ht="12.75" customHeight="1" x14ac:dyDescent="0.25">
      <c r="C1269"/>
      <c r="M1269"/>
    </row>
    <row r="1270" spans="3:13" ht="12.75" customHeight="1" x14ac:dyDescent="0.25">
      <c r="C1270"/>
      <c r="M1270"/>
    </row>
    <row r="1271" spans="3:13" ht="12.75" customHeight="1" x14ac:dyDescent="0.25">
      <c r="C1271"/>
      <c r="M1271"/>
    </row>
    <row r="1272" spans="3:13" ht="12.75" customHeight="1" x14ac:dyDescent="0.25">
      <c r="C1272"/>
      <c r="M1272"/>
    </row>
    <row r="1273" spans="3:13" ht="12.75" customHeight="1" x14ac:dyDescent="0.25">
      <c r="C1273"/>
      <c r="M1273"/>
    </row>
    <row r="1274" spans="3:13" ht="12.75" customHeight="1" x14ac:dyDescent="0.25">
      <c r="C1274"/>
      <c r="M1274"/>
    </row>
    <row r="1275" spans="3:13" ht="12.75" customHeight="1" x14ac:dyDescent="0.25">
      <c r="C1275"/>
      <c r="M1275"/>
    </row>
    <row r="1276" spans="3:13" ht="12.75" customHeight="1" x14ac:dyDescent="0.25">
      <c r="C1276"/>
      <c r="M1276"/>
    </row>
    <row r="1277" spans="3:13" ht="12.75" customHeight="1" x14ac:dyDescent="0.25">
      <c r="C1277"/>
      <c r="M1277"/>
    </row>
    <row r="1278" spans="3:13" ht="12.75" customHeight="1" x14ac:dyDescent="0.25">
      <c r="C1278"/>
      <c r="M1278"/>
    </row>
    <row r="1279" spans="3:13" ht="12.75" customHeight="1" x14ac:dyDescent="0.25">
      <c r="C1279"/>
      <c r="M1279"/>
    </row>
    <row r="1280" spans="3:13" ht="12.75" customHeight="1" x14ac:dyDescent="0.25">
      <c r="C1280"/>
      <c r="M1280"/>
    </row>
    <row r="1281" spans="3:13" ht="12.75" customHeight="1" x14ac:dyDescent="0.25">
      <c r="C1281"/>
      <c r="M1281"/>
    </row>
    <row r="1282" spans="3:13" ht="12.75" customHeight="1" x14ac:dyDescent="0.25">
      <c r="C1282"/>
      <c r="M1282"/>
    </row>
    <row r="1283" spans="3:13" ht="12.75" customHeight="1" x14ac:dyDescent="0.25">
      <c r="C1283"/>
      <c r="M1283"/>
    </row>
    <row r="1284" spans="3:13" ht="12.75" customHeight="1" x14ac:dyDescent="0.25">
      <c r="C1284"/>
      <c r="M1284"/>
    </row>
    <row r="1285" spans="3:13" ht="12.75" customHeight="1" x14ac:dyDescent="0.25">
      <c r="C1285"/>
      <c r="M1285"/>
    </row>
    <row r="1286" spans="3:13" ht="12.75" customHeight="1" x14ac:dyDescent="0.25">
      <c r="C1286"/>
      <c r="M1286"/>
    </row>
    <row r="1287" spans="3:13" ht="12.75" customHeight="1" x14ac:dyDescent="0.25">
      <c r="C1287"/>
      <c r="M1287"/>
    </row>
    <row r="1288" spans="3:13" ht="12.75" customHeight="1" x14ac:dyDescent="0.25">
      <c r="C1288"/>
      <c r="M1288"/>
    </row>
    <row r="1289" spans="3:13" ht="12.75" customHeight="1" x14ac:dyDescent="0.25">
      <c r="C1289"/>
      <c r="M1289"/>
    </row>
    <row r="1290" spans="3:13" ht="12.75" customHeight="1" x14ac:dyDescent="0.25">
      <c r="C1290"/>
      <c r="M1290"/>
    </row>
    <row r="1291" spans="3:13" ht="12.75" customHeight="1" x14ac:dyDescent="0.25">
      <c r="C1291"/>
      <c r="M1291"/>
    </row>
    <row r="1292" spans="3:13" ht="12.75" customHeight="1" x14ac:dyDescent="0.25">
      <c r="C1292"/>
      <c r="M1292"/>
    </row>
    <row r="1293" spans="3:13" ht="12.75" customHeight="1" x14ac:dyDescent="0.25">
      <c r="C1293"/>
      <c r="M1293"/>
    </row>
    <row r="1294" spans="3:13" ht="12.75" customHeight="1" x14ac:dyDescent="0.25">
      <c r="C1294"/>
      <c r="M1294"/>
    </row>
    <row r="1295" spans="3:13" ht="12.75" customHeight="1" x14ac:dyDescent="0.25">
      <c r="C1295"/>
      <c r="M1295"/>
    </row>
    <row r="1296" spans="3:13" ht="12.75" customHeight="1" x14ac:dyDescent="0.25">
      <c r="C1296"/>
      <c r="M1296"/>
    </row>
    <row r="1297" spans="3:13" ht="12.75" customHeight="1" x14ac:dyDescent="0.25">
      <c r="C1297"/>
      <c r="M1297"/>
    </row>
    <row r="1298" spans="3:13" ht="12.75" customHeight="1" x14ac:dyDescent="0.25">
      <c r="C1298"/>
      <c r="M1298"/>
    </row>
    <row r="1299" spans="3:13" ht="12.75" customHeight="1" x14ac:dyDescent="0.25">
      <c r="C1299"/>
      <c r="M1299"/>
    </row>
    <row r="1300" spans="3:13" ht="12.75" customHeight="1" x14ac:dyDescent="0.25">
      <c r="C1300"/>
      <c r="M1300"/>
    </row>
    <row r="1301" spans="3:13" ht="12.75" customHeight="1" x14ac:dyDescent="0.25">
      <c r="C1301"/>
      <c r="M1301"/>
    </row>
    <row r="1302" spans="3:13" ht="12.75" customHeight="1" x14ac:dyDescent="0.25">
      <c r="C1302"/>
      <c r="M1302"/>
    </row>
    <row r="1303" spans="3:13" ht="12.75" customHeight="1" x14ac:dyDescent="0.25">
      <c r="C1303"/>
      <c r="M1303"/>
    </row>
    <row r="1304" spans="3:13" ht="12.75" customHeight="1" x14ac:dyDescent="0.25">
      <c r="C1304"/>
      <c r="M1304"/>
    </row>
    <row r="1305" spans="3:13" ht="12.75" customHeight="1" x14ac:dyDescent="0.25">
      <c r="C1305"/>
      <c r="M1305"/>
    </row>
    <row r="1306" spans="3:13" ht="12.75" customHeight="1" x14ac:dyDescent="0.25">
      <c r="C1306"/>
      <c r="M1306"/>
    </row>
    <row r="1307" spans="3:13" ht="12.75" customHeight="1" x14ac:dyDescent="0.25">
      <c r="C1307"/>
      <c r="M1307"/>
    </row>
    <row r="1308" spans="3:13" ht="12.75" customHeight="1" x14ac:dyDescent="0.25">
      <c r="C1308"/>
      <c r="M1308"/>
    </row>
    <row r="1309" spans="3:13" ht="12.75" customHeight="1" x14ac:dyDescent="0.25">
      <c r="C1309"/>
      <c r="M1309"/>
    </row>
    <row r="1310" spans="3:13" ht="12.75" customHeight="1" x14ac:dyDescent="0.25">
      <c r="C1310"/>
      <c r="M1310"/>
    </row>
    <row r="1311" spans="3:13" ht="12.75" customHeight="1" x14ac:dyDescent="0.25">
      <c r="C1311"/>
      <c r="M1311"/>
    </row>
    <row r="1312" spans="3:13" ht="12.75" customHeight="1" x14ac:dyDescent="0.25">
      <c r="C1312"/>
      <c r="M1312"/>
    </row>
    <row r="1313" spans="3:13" ht="12.75" customHeight="1" x14ac:dyDescent="0.25">
      <c r="C1313"/>
      <c r="M1313"/>
    </row>
    <row r="1314" spans="3:13" ht="12.75" customHeight="1" x14ac:dyDescent="0.25">
      <c r="C1314"/>
      <c r="M1314"/>
    </row>
    <row r="1315" spans="3:13" ht="12.75" customHeight="1" x14ac:dyDescent="0.25">
      <c r="C1315"/>
      <c r="M1315"/>
    </row>
    <row r="1316" spans="3:13" ht="12.75" customHeight="1" x14ac:dyDescent="0.25">
      <c r="C1316"/>
      <c r="M1316"/>
    </row>
    <row r="1317" spans="3:13" ht="12.75" customHeight="1" x14ac:dyDescent="0.25">
      <c r="C1317"/>
      <c r="M1317"/>
    </row>
    <row r="1318" spans="3:13" ht="12.75" customHeight="1" x14ac:dyDescent="0.25">
      <c r="C1318"/>
      <c r="M1318"/>
    </row>
    <row r="1319" spans="3:13" ht="12.75" customHeight="1" x14ac:dyDescent="0.25">
      <c r="C1319"/>
      <c r="M1319"/>
    </row>
    <row r="1320" spans="3:13" ht="12.75" customHeight="1" x14ac:dyDescent="0.25">
      <c r="C1320"/>
      <c r="M1320"/>
    </row>
    <row r="1321" spans="3:13" ht="12.75" customHeight="1" x14ac:dyDescent="0.25">
      <c r="C1321"/>
      <c r="M1321"/>
    </row>
    <row r="1322" spans="3:13" ht="12.75" customHeight="1" x14ac:dyDescent="0.25">
      <c r="C1322"/>
      <c r="M1322"/>
    </row>
    <row r="1323" spans="3:13" ht="12.75" customHeight="1" x14ac:dyDescent="0.25">
      <c r="C1323"/>
      <c r="M1323"/>
    </row>
    <row r="1324" spans="3:13" ht="12.75" customHeight="1" x14ac:dyDescent="0.25">
      <c r="C1324"/>
      <c r="M1324"/>
    </row>
    <row r="1325" spans="3:13" ht="12.75" customHeight="1" x14ac:dyDescent="0.25">
      <c r="C1325"/>
      <c r="M1325"/>
    </row>
    <row r="1326" spans="3:13" ht="12.75" customHeight="1" x14ac:dyDescent="0.25">
      <c r="C1326"/>
      <c r="M1326"/>
    </row>
    <row r="1327" spans="3:13" ht="12.75" customHeight="1" x14ac:dyDescent="0.25">
      <c r="C1327"/>
      <c r="M1327"/>
    </row>
    <row r="1328" spans="3:13" ht="12.75" customHeight="1" x14ac:dyDescent="0.25">
      <c r="C1328"/>
      <c r="M1328"/>
    </row>
    <row r="1329" spans="3:13" ht="12.75" customHeight="1" x14ac:dyDescent="0.25">
      <c r="C1329"/>
      <c r="M1329"/>
    </row>
    <row r="1330" spans="3:13" ht="12.75" customHeight="1" x14ac:dyDescent="0.25">
      <c r="C1330"/>
      <c r="M1330"/>
    </row>
    <row r="1331" spans="3:13" ht="12.75" customHeight="1" x14ac:dyDescent="0.25">
      <c r="C1331"/>
      <c r="M1331"/>
    </row>
    <row r="1332" spans="3:13" ht="12.75" customHeight="1" x14ac:dyDescent="0.25">
      <c r="C1332"/>
      <c r="M1332"/>
    </row>
    <row r="1333" spans="3:13" ht="12.75" customHeight="1" x14ac:dyDescent="0.25">
      <c r="C1333"/>
      <c r="M1333"/>
    </row>
    <row r="1334" spans="3:13" ht="12.75" customHeight="1" x14ac:dyDescent="0.25">
      <c r="C1334"/>
      <c r="M1334"/>
    </row>
    <row r="1335" spans="3:13" ht="12.75" customHeight="1" x14ac:dyDescent="0.25">
      <c r="C1335"/>
      <c r="M1335"/>
    </row>
    <row r="1336" spans="3:13" ht="12.75" customHeight="1" x14ac:dyDescent="0.25">
      <c r="C1336"/>
      <c r="M1336"/>
    </row>
    <row r="1337" spans="3:13" ht="12.75" customHeight="1" x14ac:dyDescent="0.25">
      <c r="C1337"/>
      <c r="M1337"/>
    </row>
    <row r="1338" spans="3:13" ht="12.75" customHeight="1" x14ac:dyDescent="0.25">
      <c r="C1338"/>
      <c r="M1338"/>
    </row>
    <row r="1339" spans="3:13" ht="12.75" customHeight="1" x14ac:dyDescent="0.25">
      <c r="C1339"/>
      <c r="M1339"/>
    </row>
    <row r="1340" spans="3:13" ht="12.75" customHeight="1" x14ac:dyDescent="0.25">
      <c r="C1340"/>
      <c r="M1340"/>
    </row>
    <row r="1341" spans="3:13" ht="12.75" customHeight="1" x14ac:dyDescent="0.25">
      <c r="C1341"/>
      <c r="M1341"/>
    </row>
    <row r="1342" spans="3:13" ht="12.75" customHeight="1" x14ac:dyDescent="0.25">
      <c r="C1342"/>
      <c r="M1342"/>
    </row>
    <row r="1343" spans="3:13" ht="12.75" customHeight="1" x14ac:dyDescent="0.25">
      <c r="C1343"/>
      <c r="M1343"/>
    </row>
    <row r="1344" spans="3:13" ht="12.75" customHeight="1" x14ac:dyDescent="0.25">
      <c r="C1344"/>
      <c r="M1344"/>
    </row>
    <row r="1345" spans="3:13" ht="12.75" customHeight="1" x14ac:dyDescent="0.25">
      <c r="C1345"/>
      <c r="M1345"/>
    </row>
    <row r="1346" spans="3:13" ht="12.75" customHeight="1" x14ac:dyDescent="0.25">
      <c r="C1346"/>
      <c r="M1346"/>
    </row>
    <row r="1347" spans="3:13" ht="12.75" customHeight="1" x14ac:dyDescent="0.25">
      <c r="C1347"/>
      <c r="M1347"/>
    </row>
    <row r="1348" spans="3:13" ht="12.75" customHeight="1" x14ac:dyDescent="0.25">
      <c r="C1348"/>
      <c r="M1348"/>
    </row>
    <row r="1349" spans="3:13" ht="12.75" customHeight="1" x14ac:dyDescent="0.25">
      <c r="C1349"/>
      <c r="M1349"/>
    </row>
    <row r="1350" spans="3:13" ht="12.75" customHeight="1" x14ac:dyDescent="0.25">
      <c r="C1350"/>
      <c r="M1350"/>
    </row>
    <row r="1351" spans="3:13" ht="12.75" customHeight="1" x14ac:dyDescent="0.25">
      <c r="C1351"/>
      <c r="M1351"/>
    </row>
    <row r="1352" spans="3:13" ht="12.75" customHeight="1" x14ac:dyDescent="0.25">
      <c r="C1352"/>
      <c r="M1352"/>
    </row>
    <row r="1353" spans="3:13" ht="12.75" customHeight="1" x14ac:dyDescent="0.25">
      <c r="C1353"/>
      <c r="M1353"/>
    </row>
    <row r="1354" spans="3:13" ht="12.75" customHeight="1" x14ac:dyDescent="0.25">
      <c r="C1354"/>
      <c r="M1354"/>
    </row>
    <row r="1355" spans="3:13" ht="12.75" customHeight="1" x14ac:dyDescent="0.25">
      <c r="C1355"/>
      <c r="M1355"/>
    </row>
    <row r="1356" spans="3:13" ht="12.75" customHeight="1" x14ac:dyDescent="0.25">
      <c r="C1356"/>
      <c r="M1356"/>
    </row>
    <row r="1357" spans="3:13" ht="12.75" customHeight="1" x14ac:dyDescent="0.25">
      <c r="C1357"/>
      <c r="M1357"/>
    </row>
    <row r="1358" spans="3:13" ht="12.75" customHeight="1" x14ac:dyDescent="0.25">
      <c r="C1358"/>
      <c r="M1358"/>
    </row>
    <row r="1359" spans="3:13" ht="12.75" customHeight="1" x14ac:dyDescent="0.25">
      <c r="C1359"/>
      <c r="M1359"/>
    </row>
    <row r="1360" spans="3:13" ht="12.75" customHeight="1" x14ac:dyDescent="0.25">
      <c r="C1360"/>
      <c r="M1360"/>
    </row>
    <row r="1361" spans="3:13" ht="12.75" customHeight="1" x14ac:dyDescent="0.25">
      <c r="C1361"/>
      <c r="M1361"/>
    </row>
    <row r="1362" spans="3:13" ht="12.75" customHeight="1" x14ac:dyDescent="0.25">
      <c r="C1362"/>
      <c r="M1362"/>
    </row>
    <row r="1363" spans="3:13" ht="12.75" customHeight="1" x14ac:dyDescent="0.25">
      <c r="C1363"/>
      <c r="M1363"/>
    </row>
    <row r="1364" spans="3:13" ht="12.75" customHeight="1" x14ac:dyDescent="0.25">
      <c r="C1364"/>
      <c r="M1364"/>
    </row>
    <row r="1365" spans="3:13" ht="12.75" customHeight="1" x14ac:dyDescent="0.25">
      <c r="C1365"/>
      <c r="M1365"/>
    </row>
    <row r="1366" spans="3:13" ht="12.75" customHeight="1" x14ac:dyDescent="0.25">
      <c r="C1366"/>
      <c r="M1366"/>
    </row>
    <row r="1367" spans="3:13" ht="12.75" customHeight="1" x14ac:dyDescent="0.25">
      <c r="C1367"/>
      <c r="M1367"/>
    </row>
    <row r="1368" spans="3:13" ht="12.75" customHeight="1" x14ac:dyDescent="0.25">
      <c r="C1368"/>
      <c r="M1368"/>
    </row>
    <row r="1369" spans="3:13" ht="12.75" customHeight="1" x14ac:dyDescent="0.25">
      <c r="C1369"/>
      <c r="M1369"/>
    </row>
    <row r="1370" spans="3:13" ht="12.75" customHeight="1" x14ac:dyDescent="0.25">
      <c r="C1370"/>
      <c r="M1370"/>
    </row>
    <row r="1371" spans="3:13" ht="12.75" customHeight="1" x14ac:dyDescent="0.25">
      <c r="C1371"/>
      <c r="M1371"/>
    </row>
    <row r="1372" spans="3:13" ht="12.75" customHeight="1" x14ac:dyDescent="0.25">
      <c r="C1372"/>
      <c r="M1372"/>
    </row>
    <row r="1373" spans="3:13" ht="12.75" customHeight="1" x14ac:dyDescent="0.25">
      <c r="C1373"/>
      <c r="M1373"/>
    </row>
    <row r="1374" spans="3:13" ht="12.75" customHeight="1" x14ac:dyDescent="0.25">
      <c r="C1374"/>
      <c r="M1374"/>
    </row>
    <row r="1375" spans="3:13" ht="12.75" customHeight="1" x14ac:dyDescent="0.25">
      <c r="C1375"/>
      <c r="M1375"/>
    </row>
    <row r="1376" spans="3:13" ht="12.75" customHeight="1" x14ac:dyDescent="0.25">
      <c r="C1376"/>
      <c r="M1376"/>
    </row>
    <row r="1377" spans="3:13" ht="12.75" customHeight="1" x14ac:dyDescent="0.25">
      <c r="C1377"/>
      <c r="M1377"/>
    </row>
    <row r="1378" spans="3:13" ht="12.75" customHeight="1" x14ac:dyDescent="0.25">
      <c r="C1378"/>
      <c r="M1378"/>
    </row>
    <row r="1379" spans="3:13" ht="12.75" customHeight="1" x14ac:dyDescent="0.25">
      <c r="C1379"/>
      <c r="M1379"/>
    </row>
    <row r="1380" spans="3:13" ht="12.75" customHeight="1" x14ac:dyDescent="0.25">
      <c r="C1380"/>
      <c r="M1380"/>
    </row>
    <row r="1381" spans="3:13" ht="12.75" customHeight="1" x14ac:dyDescent="0.25">
      <c r="C1381"/>
      <c r="M1381"/>
    </row>
    <row r="1382" spans="3:13" ht="12.75" customHeight="1" x14ac:dyDescent="0.25">
      <c r="C1382"/>
      <c r="M1382"/>
    </row>
    <row r="1383" spans="3:13" ht="12.75" customHeight="1" x14ac:dyDescent="0.25">
      <c r="C1383"/>
      <c r="M1383"/>
    </row>
    <row r="1384" spans="3:13" ht="12.75" customHeight="1" x14ac:dyDescent="0.25">
      <c r="C1384"/>
      <c r="M1384"/>
    </row>
    <row r="1385" spans="3:13" ht="12.75" customHeight="1" x14ac:dyDescent="0.25">
      <c r="C1385"/>
      <c r="M1385"/>
    </row>
    <row r="1386" spans="3:13" ht="12.75" customHeight="1" x14ac:dyDescent="0.25">
      <c r="C1386"/>
      <c r="M1386"/>
    </row>
    <row r="1387" spans="3:13" ht="12.75" customHeight="1" x14ac:dyDescent="0.25">
      <c r="C1387"/>
      <c r="M1387"/>
    </row>
    <row r="1388" spans="3:13" ht="12.75" customHeight="1" x14ac:dyDescent="0.25">
      <c r="C1388"/>
      <c r="M1388"/>
    </row>
    <row r="1389" spans="3:13" ht="12.75" customHeight="1" x14ac:dyDescent="0.25">
      <c r="C1389"/>
      <c r="M1389"/>
    </row>
    <row r="1390" spans="3:13" ht="12.75" customHeight="1" x14ac:dyDescent="0.25">
      <c r="C1390"/>
      <c r="M1390"/>
    </row>
    <row r="1391" spans="3:13" ht="12.75" customHeight="1" x14ac:dyDescent="0.25">
      <c r="C1391"/>
      <c r="M1391"/>
    </row>
    <row r="1392" spans="3:13" ht="12.75" customHeight="1" x14ac:dyDescent="0.25">
      <c r="C1392"/>
      <c r="M1392"/>
    </row>
    <row r="1393" spans="3:13" ht="12.75" customHeight="1" x14ac:dyDescent="0.25">
      <c r="C1393"/>
      <c r="M1393"/>
    </row>
    <row r="1394" spans="3:13" ht="12.75" customHeight="1" x14ac:dyDescent="0.25">
      <c r="C1394"/>
      <c r="M1394"/>
    </row>
    <row r="1395" spans="3:13" ht="12.75" customHeight="1" x14ac:dyDescent="0.25">
      <c r="C1395"/>
      <c r="M1395"/>
    </row>
    <row r="1396" spans="3:13" ht="12.75" customHeight="1" x14ac:dyDescent="0.25">
      <c r="C1396"/>
      <c r="M1396"/>
    </row>
    <row r="1397" spans="3:13" ht="12.75" customHeight="1" x14ac:dyDescent="0.25">
      <c r="C1397"/>
      <c r="M1397"/>
    </row>
    <row r="1398" spans="3:13" ht="12.75" customHeight="1" x14ac:dyDescent="0.25">
      <c r="C1398"/>
      <c r="M1398"/>
    </row>
    <row r="1399" spans="3:13" ht="12.75" customHeight="1" x14ac:dyDescent="0.25">
      <c r="C1399"/>
      <c r="M1399"/>
    </row>
    <row r="1400" spans="3:13" ht="12.75" customHeight="1" x14ac:dyDescent="0.25">
      <c r="C1400"/>
      <c r="M1400"/>
    </row>
    <row r="1401" spans="3:13" ht="12.75" customHeight="1" x14ac:dyDescent="0.25">
      <c r="C1401"/>
      <c r="M1401"/>
    </row>
    <row r="1402" spans="3:13" ht="12.75" customHeight="1" x14ac:dyDescent="0.25">
      <c r="C1402"/>
      <c r="M1402"/>
    </row>
    <row r="1403" spans="3:13" ht="12.75" customHeight="1" x14ac:dyDescent="0.25">
      <c r="C1403"/>
      <c r="M1403"/>
    </row>
    <row r="1404" spans="3:13" ht="12.75" customHeight="1" x14ac:dyDescent="0.25">
      <c r="C1404"/>
      <c r="M1404"/>
    </row>
    <row r="1405" spans="3:13" ht="12.75" customHeight="1" x14ac:dyDescent="0.25">
      <c r="C1405"/>
      <c r="M1405"/>
    </row>
    <row r="1406" spans="3:13" ht="12.75" customHeight="1" x14ac:dyDescent="0.25">
      <c r="C1406"/>
      <c r="M1406"/>
    </row>
    <row r="1407" spans="3:13" ht="12.75" customHeight="1" x14ac:dyDescent="0.25">
      <c r="C1407"/>
      <c r="M1407"/>
    </row>
    <row r="1408" spans="3:13" ht="12.75" customHeight="1" x14ac:dyDescent="0.25">
      <c r="C1408"/>
      <c r="M1408"/>
    </row>
    <row r="1409" spans="3:13" ht="12.75" customHeight="1" x14ac:dyDescent="0.25">
      <c r="C1409"/>
      <c r="M1409"/>
    </row>
    <row r="1410" spans="3:13" ht="12.75" customHeight="1" x14ac:dyDescent="0.25">
      <c r="C1410"/>
      <c r="M1410"/>
    </row>
    <row r="1411" spans="3:13" ht="12.75" customHeight="1" x14ac:dyDescent="0.25">
      <c r="C1411"/>
      <c r="M1411"/>
    </row>
    <row r="1412" spans="3:13" ht="12.75" customHeight="1" x14ac:dyDescent="0.25">
      <c r="C1412"/>
      <c r="M1412"/>
    </row>
    <row r="1413" spans="3:13" ht="12.75" customHeight="1" x14ac:dyDescent="0.25">
      <c r="C1413"/>
      <c r="M1413"/>
    </row>
    <row r="1414" spans="3:13" ht="12.75" customHeight="1" x14ac:dyDescent="0.25">
      <c r="C1414"/>
      <c r="M1414"/>
    </row>
    <row r="1415" spans="3:13" ht="12.75" customHeight="1" x14ac:dyDescent="0.25">
      <c r="C1415"/>
      <c r="M1415"/>
    </row>
    <row r="1416" spans="3:13" ht="12.75" customHeight="1" x14ac:dyDescent="0.25">
      <c r="C1416"/>
      <c r="M1416"/>
    </row>
    <row r="1417" spans="3:13" ht="12.75" customHeight="1" x14ac:dyDescent="0.25">
      <c r="C1417"/>
      <c r="M1417"/>
    </row>
    <row r="1418" spans="3:13" ht="12.75" customHeight="1" x14ac:dyDescent="0.25">
      <c r="C1418"/>
      <c r="M1418"/>
    </row>
    <row r="1419" spans="3:13" ht="12.75" customHeight="1" x14ac:dyDescent="0.25">
      <c r="C1419"/>
      <c r="M1419"/>
    </row>
    <row r="1420" spans="3:13" ht="12.75" customHeight="1" x14ac:dyDescent="0.25">
      <c r="C1420"/>
      <c r="M1420"/>
    </row>
    <row r="1421" spans="3:13" ht="12.75" customHeight="1" x14ac:dyDescent="0.25">
      <c r="C1421"/>
      <c r="M1421"/>
    </row>
    <row r="1422" spans="3:13" ht="12.75" customHeight="1" x14ac:dyDescent="0.25">
      <c r="C1422"/>
      <c r="M1422"/>
    </row>
    <row r="1423" spans="3:13" ht="12.75" customHeight="1" x14ac:dyDescent="0.25">
      <c r="C1423"/>
      <c r="M1423"/>
    </row>
    <row r="1424" spans="3:13" ht="12.75" customHeight="1" x14ac:dyDescent="0.25">
      <c r="C1424"/>
      <c r="M1424"/>
    </row>
    <row r="1425" spans="3:13" ht="12.75" customHeight="1" x14ac:dyDescent="0.25">
      <c r="C1425"/>
      <c r="M1425"/>
    </row>
    <row r="1426" spans="3:13" ht="12.75" customHeight="1" x14ac:dyDescent="0.25">
      <c r="C1426"/>
      <c r="M1426"/>
    </row>
    <row r="1427" spans="3:13" ht="12.75" customHeight="1" x14ac:dyDescent="0.25">
      <c r="C1427"/>
      <c r="M1427"/>
    </row>
    <row r="1428" spans="3:13" ht="12.75" customHeight="1" x14ac:dyDescent="0.25">
      <c r="C1428"/>
      <c r="M1428"/>
    </row>
    <row r="1429" spans="3:13" ht="12.75" customHeight="1" x14ac:dyDescent="0.25">
      <c r="C1429"/>
      <c r="M1429"/>
    </row>
    <row r="1430" spans="3:13" ht="12.75" customHeight="1" x14ac:dyDescent="0.25">
      <c r="C1430"/>
      <c r="M1430"/>
    </row>
    <row r="1431" spans="3:13" ht="12.75" customHeight="1" x14ac:dyDescent="0.25">
      <c r="C1431"/>
      <c r="M1431"/>
    </row>
    <row r="1432" spans="3:13" ht="12.75" customHeight="1" x14ac:dyDescent="0.25">
      <c r="C1432"/>
      <c r="M1432"/>
    </row>
    <row r="1433" spans="3:13" ht="12.75" customHeight="1" x14ac:dyDescent="0.25">
      <c r="C1433"/>
      <c r="M1433"/>
    </row>
    <row r="1434" spans="3:13" ht="12.75" customHeight="1" x14ac:dyDescent="0.25">
      <c r="C1434"/>
      <c r="M1434"/>
    </row>
    <row r="1435" spans="3:13" ht="12.75" customHeight="1" x14ac:dyDescent="0.25">
      <c r="C1435"/>
      <c r="M1435"/>
    </row>
    <row r="1436" spans="3:13" ht="12.75" customHeight="1" x14ac:dyDescent="0.25">
      <c r="C1436"/>
      <c r="M1436"/>
    </row>
    <row r="1437" spans="3:13" ht="12.75" customHeight="1" x14ac:dyDescent="0.25">
      <c r="C1437"/>
      <c r="M1437"/>
    </row>
    <row r="1438" spans="3:13" ht="12.75" customHeight="1" x14ac:dyDescent="0.25">
      <c r="C1438"/>
      <c r="M1438"/>
    </row>
    <row r="1439" spans="3:13" ht="12.75" customHeight="1" x14ac:dyDescent="0.25">
      <c r="C1439"/>
      <c r="M1439"/>
    </row>
    <row r="1440" spans="3:13" ht="12.75" customHeight="1" x14ac:dyDescent="0.25">
      <c r="C1440"/>
      <c r="M1440"/>
    </row>
    <row r="1441" spans="3:13" ht="12.75" customHeight="1" x14ac:dyDescent="0.25">
      <c r="C1441"/>
      <c r="M1441"/>
    </row>
    <row r="1442" spans="3:13" ht="12.75" customHeight="1" x14ac:dyDescent="0.25">
      <c r="C1442"/>
      <c r="M1442"/>
    </row>
    <row r="1443" spans="3:13" ht="12.75" customHeight="1" x14ac:dyDescent="0.25">
      <c r="C1443"/>
      <c r="M1443"/>
    </row>
    <row r="1444" spans="3:13" ht="12.75" customHeight="1" x14ac:dyDescent="0.25">
      <c r="C1444"/>
      <c r="M1444"/>
    </row>
    <row r="1445" spans="3:13" ht="12.75" customHeight="1" x14ac:dyDescent="0.25">
      <c r="C1445"/>
      <c r="M1445"/>
    </row>
    <row r="1446" spans="3:13" ht="12.75" customHeight="1" x14ac:dyDescent="0.25">
      <c r="C1446"/>
      <c r="M1446"/>
    </row>
    <row r="1447" spans="3:13" ht="12.75" customHeight="1" x14ac:dyDescent="0.25">
      <c r="C1447"/>
      <c r="M1447"/>
    </row>
    <row r="1448" spans="3:13" ht="12.75" customHeight="1" x14ac:dyDescent="0.25">
      <c r="C1448"/>
      <c r="M1448"/>
    </row>
    <row r="1449" spans="3:13" ht="12.75" customHeight="1" x14ac:dyDescent="0.25">
      <c r="C1449"/>
      <c r="M1449"/>
    </row>
    <row r="1450" spans="3:13" ht="12.75" customHeight="1" x14ac:dyDescent="0.25">
      <c r="C1450"/>
      <c r="M1450"/>
    </row>
    <row r="1451" spans="3:13" ht="12.75" customHeight="1" x14ac:dyDescent="0.25">
      <c r="C1451"/>
      <c r="M1451"/>
    </row>
    <row r="1452" spans="3:13" ht="12.75" customHeight="1" x14ac:dyDescent="0.25">
      <c r="C1452"/>
      <c r="M1452"/>
    </row>
    <row r="1453" spans="3:13" ht="12.75" customHeight="1" x14ac:dyDescent="0.25">
      <c r="C1453"/>
      <c r="M1453"/>
    </row>
    <row r="1454" spans="3:13" ht="12.75" customHeight="1" x14ac:dyDescent="0.25">
      <c r="C1454"/>
      <c r="M1454"/>
    </row>
    <row r="1455" spans="3:13" ht="12.75" customHeight="1" x14ac:dyDescent="0.25">
      <c r="C1455"/>
      <c r="M1455"/>
    </row>
    <row r="1456" spans="3:13" ht="12.75" customHeight="1" x14ac:dyDescent="0.25">
      <c r="C1456"/>
      <c r="M1456"/>
    </row>
    <row r="1457" spans="3:13" ht="12.75" customHeight="1" x14ac:dyDescent="0.25">
      <c r="C1457"/>
      <c r="M1457"/>
    </row>
    <row r="1458" spans="3:13" ht="12.75" customHeight="1" x14ac:dyDescent="0.25">
      <c r="C1458"/>
      <c r="M1458"/>
    </row>
    <row r="1459" spans="3:13" ht="12.75" customHeight="1" x14ac:dyDescent="0.25">
      <c r="C1459"/>
      <c r="M1459"/>
    </row>
    <row r="1460" spans="3:13" ht="12.75" customHeight="1" x14ac:dyDescent="0.25">
      <c r="C1460"/>
      <c r="M1460"/>
    </row>
    <row r="1461" spans="3:13" ht="12.75" customHeight="1" x14ac:dyDescent="0.25">
      <c r="C1461"/>
      <c r="M1461"/>
    </row>
    <row r="1462" spans="3:13" ht="12.75" customHeight="1" x14ac:dyDescent="0.25">
      <c r="C1462"/>
      <c r="M1462"/>
    </row>
    <row r="1463" spans="3:13" ht="12.75" customHeight="1" x14ac:dyDescent="0.25">
      <c r="C1463"/>
      <c r="M1463"/>
    </row>
    <row r="1464" spans="3:13" ht="12.75" customHeight="1" x14ac:dyDescent="0.25">
      <c r="C1464"/>
      <c r="M1464"/>
    </row>
    <row r="1465" spans="3:13" ht="12.75" customHeight="1" x14ac:dyDescent="0.25">
      <c r="C1465"/>
      <c r="M1465"/>
    </row>
    <row r="1466" spans="3:13" ht="12.75" customHeight="1" x14ac:dyDescent="0.25">
      <c r="C1466"/>
      <c r="M1466"/>
    </row>
    <row r="1467" spans="3:13" ht="12.75" customHeight="1" x14ac:dyDescent="0.25">
      <c r="C1467"/>
      <c r="M1467"/>
    </row>
    <row r="1468" spans="3:13" ht="12.75" customHeight="1" x14ac:dyDescent="0.25">
      <c r="C1468"/>
      <c r="M1468"/>
    </row>
    <row r="1469" spans="3:13" ht="12.75" customHeight="1" x14ac:dyDescent="0.25">
      <c r="C1469"/>
      <c r="M1469"/>
    </row>
    <row r="1470" spans="3:13" ht="12.75" customHeight="1" x14ac:dyDescent="0.25">
      <c r="C1470"/>
      <c r="M1470"/>
    </row>
    <row r="1471" spans="3:13" ht="12.75" customHeight="1" x14ac:dyDescent="0.25">
      <c r="C1471"/>
      <c r="M1471"/>
    </row>
    <row r="1472" spans="3:13" ht="12.75" customHeight="1" x14ac:dyDescent="0.25">
      <c r="C1472"/>
      <c r="M1472"/>
    </row>
    <row r="1473" spans="3:13" ht="12.75" customHeight="1" x14ac:dyDescent="0.25">
      <c r="C1473"/>
      <c r="M1473"/>
    </row>
    <row r="1474" spans="3:13" ht="12.75" customHeight="1" x14ac:dyDescent="0.25">
      <c r="C1474"/>
      <c r="M1474"/>
    </row>
    <row r="1475" spans="3:13" ht="12.75" customHeight="1" x14ac:dyDescent="0.25">
      <c r="C1475"/>
      <c r="M1475"/>
    </row>
    <row r="1476" spans="3:13" ht="12.75" customHeight="1" x14ac:dyDescent="0.25">
      <c r="C1476"/>
      <c r="M1476"/>
    </row>
    <row r="1477" spans="3:13" ht="12.75" customHeight="1" x14ac:dyDescent="0.25">
      <c r="C1477"/>
      <c r="M1477"/>
    </row>
    <row r="1478" spans="3:13" ht="12.75" customHeight="1" x14ac:dyDescent="0.25">
      <c r="C1478"/>
      <c r="M1478"/>
    </row>
    <row r="1479" spans="3:13" ht="12.75" customHeight="1" x14ac:dyDescent="0.25">
      <c r="C1479"/>
      <c r="M1479"/>
    </row>
    <row r="1480" spans="3:13" ht="12.75" customHeight="1" x14ac:dyDescent="0.25">
      <c r="C1480"/>
      <c r="M1480"/>
    </row>
    <row r="1481" spans="3:13" ht="12.75" customHeight="1" x14ac:dyDescent="0.25">
      <c r="C1481"/>
      <c r="M1481"/>
    </row>
    <row r="1482" spans="3:13" ht="12.75" customHeight="1" x14ac:dyDescent="0.25">
      <c r="C1482"/>
      <c r="M1482"/>
    </row>
    <row r="1483" spans="3:13" ht="12.75" customHeight="1" x14ac:dyDescent="0.25">
      <c r="C1483"/>
      <c r="M1483"/>
    </row>
    <row r="1484" spans="3:13" ht="12.75" customHeight="1" x14ac:dyDescent="0.25">
      <c r="C1484"/>
      <c r="M1484"/>
    </row>
    <row r="1485" spans="3:13" ht="12.75" customHeight="1" x14ac:dyDescent="0.25">
      <c r="C1485"/>
      <c r="M1485"/>
    </row>
    <row r="1486" spans="3:13" ht="12.75" customHeight="1" x14ac:dyDescent="0.25">
      <c r="C1486"/>
      <c r="M1486"/>
    </row>
    <row r="1487" spans="3:13" ht="12.75" customHeight="1" x14ac:dyDescent="0.25">
      <c r="C1487"/>
      <c r="M1487"/>
    </row>
    <row r="1488" spans="3:13" ht="12.75" customHeight="1" x14ac:dyDescent="0.25">
      <c r="C1488"/>
      <c r="M1488"/>
    </row>
    <row r="1489" spans="3:13" ht="12.75" customHeight="1" x14ac:dyDescent="0.25">
      <c r="C1489"/>
      <c r="M1489"/>
    </row>
    <row r="1490" spans="3:13" ht="12.75" customHeight="1" x14ac:dyDescent="0.25">
      <c r="C1490"/>
      <c r="M1490"/>
    </row>
    <row r="1491" spans="3:13" ht="12.75" customHeight="1" x14ac:dyDescent="0.25">
      <c r="C1491"/>
      <c r="M1491"/>
    </row>
    <row r="1492" spans="3:13" ht="12.75" customHeight="1" x14ac:dyDescent="0.25">
      <c r="C1492"/>
      <c r="M1492"/>
    </row>
    <row r="1493" spans="3:13" ht="12.75" customHeight="1" x14ac:dyDescent="0.25">
      <c r="C1493"/>
      <c r="M1493"/>
    </row>
    <row r="1494" spans="3:13" ht="12.75" customHeight="1" x14ac:dyDescent="0.25">
      <c r="C1494"/>
      <c r="M1494"/>
    </row>
    <row r="1495" spans="3:13" ht="12.75" customHeight="1" x14ac:dyDescent="0.25">
      <c r="C1495"/>
      <c r="M1495"/>
    </row>
    <row r="1496" spans="3:13" ht="12.75" customHeight="1" x14ac:dyDescent="0.25">
      <c r="C1496"/>
      <c r="M1496"/>
    </row>
    <row r="1497" spans="3:13" ht="12.75" customHeight="1" x14ac:dyDescent="0.25">
      <c r="C1497"/>
      <c r="M1497"/>
    </row>
    <row r="1498" spans="3:13" ht="12.75" customHeight="1" x14ac:dyDescent="0.25">
      <c r="C1498"/>
      <c r="M1498"/>
    </row>
    <row r="1499" spans="3:13" ht="12.75" customHeight="1" x14ac:dyDescent="0.25">
      <c r="C1499"/>
      <c r="M1499"/>
    </row>
    <row r="1500" spans="3:13" ht="12.75" customHeight="1" x14ac:dyDescent="0.25">
      <c r="C1500"/>
      <c r="M1500"/>
    </row>
    <row r="1501" spans="3:13" ht="12.75" customHeight="1" x14ac:dyDescent="0.25">
      <c r="C1501"/>
      <c r="M1501"/>
    </row>
    <row r="1502" spans="3:13" ht="12.75" customHeight="1" x14ac:dyDescent="0.25">
      <c r="C1502"/>
      <c r="M1502"/>
    </row>
    <row r="1503" spans="3:13" ht="12.75" customHeight="1" x14ac:dyDescent="0.25">
      <c r="C1503"/>
      <c r="M1503"/>
    </row>
    <row r="1504" spans="3:13" ht="12.75" customHeight="1" x14ac:dyDescent="0.25">
      <c r="C1504"/>
      <c r="M1504"/>
    </row>
    <row r="1505" spans="3:13" ht="12.75" customHeight="1" x14ac:dyDescent="0.25">
      <c r="C1505"/>
      <c r="M1505"/>
    </row>
    <row r="1506" spans="3:13" ht="12.75" customHeight="1" x14ac:dyDescent="0.25">
      <c r="C1506"/>
      <c r="M1506"/>
    </row>
    <row r="1507" spans="3:13" ht="12.75" customHeight="1" x14ac:dyDescent="0.25">
      <c r="C1507"/>
      <c r="M1507"/>
    </row>
    <row r="1508" spans="3:13" ht="12.75" customHeight="1" x14ac:dyDescent="0.25">
      <c r="C1508"/>
      <c r="M1508"/>
    </row>
    <row r="1509" spans="3:13" ht="12.75" customHeight="1" x14ac:dyDescent="0.25">
      <c r="C1509"/>
      <c r="M1509"/>
    </row>
    <row r="1510" spans="3:13" ht="12.75" customHeight="1" x14ac:dyDescent="0.25">
      <c r="C1510"/>
      <c r="M1510"/>
    </row>
    <row r="1511" spans="3:13" ht="12.75" customHeight="1" x14ac:dyDescent="0.25">
      <c r="C1511"/>
      <c r="M1511"/>
    </row>
    <row r="1512" spans="3:13" ht="12.75" customHeight="1" x14ac:dyDescent="0.25">
      <c r="C1512"/>
      <c r="M1512"/>
    </row>
    <row r="1513" spans="3:13" ht="12.75" customHeight="1" x14ac:dyDescent="0.25">
      <c r="C1513"/>
      <c r="M1513"/>
    </row>
    <row r="1514" spans="3:13" ht="12.75" customHeight="1" x14ac:dyDescent="0.25">
      <c r="C1514"/>
      <c r="M1514"/>
    </row>
    <row r="1515" spans="3:13" ht="12.75" customHeight="1" x14ac:dyDescent="0.25">
      <c r="C1515"/>
      <c r="M1515"/>
    </row>
    <row r="1516" spans="3:13" ht="12.75" customHeight="1" x14ac:dyDescent="0.25">
      <c r="C1516"/>
      <c r="M1516"/>
    </row>
    <row r="1517" spans="3:13" ht="12.75" customHeight="1" x14ac:dyDescent="0.25">
      <c r="C1517"/>
      <c r="M1517"/>
    </row>
    <row r="1518" spans="3:13" ht="12.75" customHeight="1" x14ac:dyDescent="0.25">
      <c r="C1518"/>
      <c r="M1518"/>
    </row>
    <row r="1519" spans="3:13" ht="12.75" customHeight="1" x14ac:dyDescent="0.25">
      <c r="C1519"/>
      <c r="M1519"/>
    </row>
    <row r="1520" spans="3:13" ht="12.75" customHeight="1" x14ac:dyDescent="0.25">
      <c r="C1520"/>
      <c r="M1520"/>
    </row>
    <row r="1521" spans="3:13" ht="12.75" customHeight="1" x14ac:dyDescent="0.25">
      <c r="C1521"/>
      <c r="M1521"/>
    </row>
    <row r="1522" spans="3:13" ht="12.75" customHeight="1" x14ac:dyDescent="0.25">
      <c r="C1522"/>
      <c r="M1522"/>
    </row>
    <row r="1523" spans="3:13" ht="12.75" customHeight="1" x14ac:dyDescent="0.25">
      <c r="C1523"/>
      <c r="M1523"/>
    </row>
    <row r="1524" spans="3:13" ht="12.75" customHeight="1" x14ac:dyDescent="0.25">
      <c r="C1524"/>
      <c r="M1524"/>
    </row>
    <row r="1525" spans="3:13" ht="12.75" customHeight="1" x14ac:dyDescent="0.25">
      <c r="C1525"/>
      <c r="M1525"/>
    </row>
    <row r="1526" spans="3:13" ht="12.75" customHeight="1" x14ac:dyDescent="0.25">
      <c r="C1526"/>
      <c r="M1526"/>
    </row>
    <row r="1527" spans="3:13" ht="12.75" customHeight="1" x14ac:dyDescent="0.25">
      <c r="C1527"/>
      <c r="M1527"/>
    </row>
    <row r="1528" spans="3:13" ht="12.75" customHeight="1" x14ac:dyDescent="0.25">
      <c r="C1528"/>
      <c r="M1528"/>
    </row>
    <row r="1529" spans="3:13" ht="12.75" customHeight="1" x14ac:dyDescent="0.25">
      <c r="C1529"/>
      <c r="M1529"/>
    </row>
    <row r="1530" spans="3:13" ht="12.75" customHeight="1" x14ac:dyDescent="0.25">
      <c r="C1530"/>
      <c r="M1530"/>
    </row>
    <row r="1531" spans="3:13" ht="12.75" customHeight="1" x14ac:dyDescent="0.25">
      <c r="C1531"/>
      <c r="M1531"/>
    </row>
    <row r="1532" spans="3:13" ht="12.75" customHeight="1" x14ac:dyDescent="0.25">
      <c r="C1532"/>
      <c r="M1532"/>
    </row>
    <row r="1533" spans="3:13" ht="12.75" customHeight="1" x14ac:dyDescent="0.25">
      <c r="C1533"/>
      <c r="M1533"/>
    </row>
    <row r="1534" spans="3:13" ht="12.75" customHeight="1" x14ac:dyDescent="0.25">
      <c r="C1534"/>
      <c r="M1534"/>
    </row>
    <row r="1535" spans="3:13" ht="12.75" customHeight="1" x14ac:dyDescent="0.25">
      <c r="C1535"/>
      <c r="M1535"/>
    </row>
    <row r="1536" spans="3:13" ht="12.75" customHeight="1" x14ac:dyDescent="0.25">
      <c r="C1536"/>
      <c r="M1536"/>
    </row>
    <row r="1537" spans="3:13" ht="12.75" customHeight="1" x14ac:dyDescent="0.25">
      <c r="C1537"/>
      <c r="M1537"/>
    </row>
    <row r="1538" spans="3:13" ht="12.75" customHeight="1" x14ac:dyDescent="0.25">
      <c r="C1538"/>
      <c r="M1538"/>
    </row>
    <row r="1539" spans="3:13" ht="12.75" customHeight="1" x14ac:dyDescent="0.25">
      <c r="C1539"/>
      <c r="M1539"/>
    </row>
    <row r="1540" spans="3:13" ht="12.75" customHeight="1" x14ac:dyDescent="0.25">
      <c r="C1540"/>
      <c r="M1540"/>
    </row>
    <row r="1541" spans="3:13" ht="12.75" customHeight="1" x14ac:dyDescent="0.25">
      <c r="C1541"/>
      <c r="M1541"/>
    </row>
    <row r="1542" spans="3:13" ht="12.75" customHeight="1" x14ac:dyDescent="0.25">
      <c r="C1542"/>
      <c r="M1542"/>
    </row>
    <row r="1543" spans="3:13" ht="12.75" customHeight="1" x14ac:dyDescent="0.25">
      <c r="C1543"/>
      <c r="M1543"/>
    </row>
    <row r="1544" spans="3:13" ht="12.75" customHeight="1" x14ac:dyDescent="0.25">
      <c r="C1544"/>
      <c r="M1544"/>
    </row>
    <row r="1545" spans="3:13" ht="12.75" customHeight="1" x14ac:dyDescent="0.25">
      <c r="C1545"/>
      <c r="M1545"/>
    </row>
    <row r="1546" spans="3:13" ht="12.75" customHeight="1" x14ac:dyDescent="0.25">
      <c r="C1546"/>
      <c r="M1546"/>
    </row>
    <row r="1547" spans="3:13" ht="12.75" customHeight="1" x14ac:dyDescent="0.25">
      <c r="C1547"/>
      <c r="M1547"/>
    </row>
    <row r="1548" spans="3:13" ht="12.75" customHeight="1" x14ac:dyDescent="0.25">
      <c r="C1548"/>
      <c r="M1548"/>
    </row>
    <row r="1549" spans="3:13" ht="12.75" customHeight="1" x14ac:dyDescent="0.25">
      <c r="C1549"/>
      <c r="M1549"/>
    </row>
    <row r="1550" spans="3:13" ht="12.75" customHeight="1" x14ac:dyDescent="0.25">
      <c r="C1550"/>
      <c r="M1550"/>
    </row>
    <row r="1551" spans="3:13" ht="12.75" customHeight="1" x14ac:dyDescent="0.25">
      <c r="C1551"/>
      <c r="M1551"/>
    </row>
    <row r="1552" spans="3:13" ht="12.75" customHeight="1" x14ac:dyDescent="0.25">
      <c r="C1552"/>
      <c r="M1552"/>
    </row>
    <row r="1553" spans="3:13" ht="12.75" customHeight="1" x14ac:dyDescent="0.25">
      <c r="C1553"/>
      <c r="M1553"/>
    </row>
    <row r="1554" spans="3:13" ht="12.75" customHeight="1" x14ac:dyDescent="0.25">
      <c r="C1554"/>
      <c r="M1554"/>
    </row>
    <row r="1555" spans="3:13" ht="12.75" customHeight="1" x14ac:dyDescent="0.25">
      <c r="C1555"/>
      <c r="M1555"/>
    </row>
    <row r="1556" spans="3:13" ht="12.75" customHeight="1" x14ac:dyDescent="0.25">
      <c r="C1556"/>
      <c r="M1556"/>
    </row>
    <row r="1557" spans="3:13" ht="12.75" customHeight="1" x14ac:dyDescent="0.25">
      <c r="C1557"/>
      <c r="M1557"/>
    </row>
    <row r="1558" spans="3:13" ht="12.75" customHeight="1" x14ac:dyDescent="0.25">
      <c r="C1558"/>
      <c r="M1558"/>
    </row>
    <row r="1559" spans="3:13" ht="12.75" customHeight="1" x14ac:dyDescent="0.25">
      <c r="C1559"/>
      <c r="M1559"/>
    </row>
    <row r="1560" spans="3:13" ht="12.75" customHeight="1" x14ac:dyDescent="0.25">
      <c r="C1560"/>
      <c r="M1560"/>
    </row>
    <row r="1561" spans="3:13" ht="12.75" customHeight="1" x14ac:dyDescent="0.25">
      <c r="C1561"/>
      <c r="M1561"/>
    </row>
    <row r="1562" spans="3:13" ht="12.75" customHeight="1" x14ac:dyDescent="0.25">
      <c r="C1562"/>
      <c r="M1562"/>
    </row>
    <row r="1563" spans="3:13" ht="12.75" customHeight="1" x14ac:dyDescent="0.25">
      <c r="C1563"/>
      <c r="M1563"/>
    </row>
    <row r="1564" spans="3:13" ht="12.75" customHeight="1" x14ac:dyDescent="0.25">
      <c r="C1564"/>
      <c r="M1564"/>
    </row>
    <row r="1565" spans="3:13" ht="12.75" customHeight="1" x14ac:dyDescent="0.25">
      <c r="C1565"/>
      <c r="M1565"/>
    </row>
    <row r="1566" spans="3:13" ht="12.75" customHeight="1" x14ac:dyDescent="0.25">
      <c r="C1566"/>
      <c r="M1566"/>
    </row>
    <row r="1567" spans="3:13" ht="12.75" customHeight="1" x14ac:dyDescent="0.25">
      <c r="C1567"/>
      <c r="M1567"/>
    </row>
    <row r="1568" spans="3:13" ht="12.75" customHeight="1" x14ac:dyDescent="0.25">
      <c r="C1568"/>
      <c r="M1568"/>
    </row>
    <row r="1569" spans="3:13" ht="12.75" customHeight="1" x14ac:dyDescent="0.25">
      <c r="C1569"/>
      <c r="M1569"/>
    </row>
    <row r="1570" spans="3:13" ht="12.75" customHeight="1" x14ac:dyDescent="0.25">
      <c r="C1570"/>
      <c r="M1570"/>
    </row>
    <row r="1571" spans="3:13" ht="12.75" customHeight="1" x14ac:dyDescent="0.25">
      <c r="C1571"/>
      <c r="M1571"/>
    </row>
    <row r="1572" spans="3:13" ht="12.75" customHeight="1" x14ac:dyDescent="0.25">
      <c r="C1572"/>
      <c r="M1572"/>
    </row>
    <row r="1573" spans="3:13" ht="12.75" customHeight="1" x14ac:dyDescent="0.25">
      <c r="C1573"/>
      <c r="M1573"/>
    </row>
    <row r="1574" spans="3:13" ht="12.75" customHeight="1" x14ac:dyDescent="0.25">
      <c r="C1574"/>
      <c r="M1574"/>
    </row>
    <row r="1575" spans="3:13" ht="12.75" customHeight="1" x14ac:dyDescent="0.25">
      <c r="C1575"/>
      <c r="M1575"/>
    </row>
    <row r="1576" spans="3:13" ht="12.75" customHeight="1" x14ac:dyDescent="0.25">
      <c r="C1576"/>
      <c r="M1576"/>
    </row>
    <row r="1577" spans="3:13" ht="12.75" customHeight="1" x14ac:dyDescent="0.25">
      <c r="C1577"/>
      <c r="M1577"/>
    </row>
    <row r="1578" spans="3:13" ht="12.75" customHeight="1" x14ac:dyDescent="0.25">
      <c r="C1578"/>
      <c r="M1578"/>
    </row>
    <row r="1579" spans="3:13" ht="12.75" customHeight="1" x14ac:dyDescent="0.25">
      <c r="C1579"/>
      <c r="M1579"/>
    </row>
    <row r="1580" spans="3:13" ht="12.75" customHeight="1" x14ac:dyDescent="0.25">
      <c r="C1580"/>
      <c r="M1580"/>
    </row>
    <row r="1581" spans="3:13" ht="12.75" customHeight="1" x14ac:dyDescent="0.25">
      <c r="C1581"/>
      <c r="M1581"/>
    </row>
    <row r="1582" spans="3:13" ht="12.75" customHeight="1" x14ac:dyDescent="0.25">
      <c r="C1582"/>
      <c r="M1582"/>
    </row>
    <row r="1583" spans="3:13" ht="12.75" customHeight="1" x14ac:dyDescent="0.25">
      <c r="C1583"/>
      <c r="M1583"/>
    </row>
    <row r="1584" spans="3:13" ht="12.75" customHeight="1" x14ac:dyDescent="0.25">
      <c r="C1584"/>
      <c r="M1584"/>
    </row>
    <row r="1585" spans="3:13" ht="12.75" customHeight="1" x14ac:dyDescent="0.25">
      <c r="C1585"/>
      <c r="M1585"/>
    </row>
    <row r="1586" spans="3:13" ht="12.75" customHeight="1" x14ac:dyDescent="0.25">
      <c r="C1586"/>
      <c r="M1586"/>
    </row>
    <row r="1587" spans="3:13" ht="12.75" customHeight="1" x14ac:dyDescent="0.25">
      <c r="C1587"/>
      <c r="M1587"/>
    </row>
    <row r="1588" spans="3:13" ht="12.75" customHeight="1" x14ac:dyDescent="0.25">
      <c r="C1588"/>
      <c r="M1588"/>
    </row>
    <row r="1589" spans="3:13" ht="12.75" customHeight="1" x14ac:dyDescent="0.25">
      <c r="C1589"/>
      <c r="M1589"/>
    </row>
    <row r="1590" spans="3:13" ht="12.75" customHeight="1" x14ac:dyDescent="0.25">
      <c r="C1590"/>
      <c r="M1590"/>
    </row>
    <row r="1591" spans="3:13" ht="12.75" customHeight="1" x14ac:dyDescent="0.25">
      <c r="C1591"/>
      <c r="M1591"/>
    </row>
    <row r="1592" spans="3:13" ht="12.75" customHeight="1" x14ac:dyDescent="0.25">
      <c r="C1592"/>
      <c r="M1592"/>
    </row>
    <row r="1593" spans="3:13" ht="12.75" customHeight="1" x14ac:dyDescent="0.25">
      <c r="C1593"/>
      <c r="M1593"/>
    </row>
    <row r="1594" spans="3:13" ht="12.75" customHeight="1" x14ac:dyDescent="0.25">
      <c r="C1594"/>
      <c r="M1594"/>
    </row>
    <row r="1595" spans="3:13" ht="12.75" customHeight="1" x14ac:dyDescent="0.25">
      <c r="C1595"/>
      <c r="M1595"/>
    </row>
    <row r="1596" spans="3:13" ht="12.75" customHeight="1" x14ac:dyDescent="0.25">
      <c r="C1596"/>
      <c r="M1596"/>
    </row>
    <row r="1597" spans="3:13" ht="12.75" customHeight="1" x14ac:dyDescent="0.25">
      <c r="C1597"/>
      <c r="M1597"/>
    </row>
    <row r="1598" spans="3:13" ht="12.75" customHeight="1" x14ac:dyDescent="0.25">
      <c r="C1598"/>
      <c r="M1598"/>
    </row>
    <row r="1599" spans="3:13" ht="12.75" customHeight="1" x14ac:dyDescent="0.25">
      <c r="C1599"/>
      <c r="M1599"/>
    </row>
    <row r="1600" spans="3:13" ht="12.75" customHeight="1" x14ac:dyDescent="0.25">
      <c r="C1600"/>
      <c r="M1600"/>
    </row>
    <row r="1601" spans="3:13" ht="12.75" customHeight="1" x14ac:dyDescent="0.25">
      <c r="C1601"/>
      <c r="M1601"/>
    </row>
    <row r="1602" spans="3:13" ht="12.75" customHeight="1" x14ac:dyDescent="0.25">
      <c r="C1602"/>
      <c r="M1602"/>
    </row>
    <row r="1603" spans="3:13" ht="12.75" customHeight="1" x14ac:dyDescent="0.25">
      <c r="C1603"/>
      <c r="M1603"/>
    </row>
    <row r="1604" spans="3:13" ht="12.75" customHeight="1" x14ac:dyDescent="0.25">
      <c r="C1604"/>
      <c r="M1604"/>
    </row>
    <row r="1605" spans="3:13" ht="12.75" customHeight="1" x14ac:dyDescent="0.25">
      <c r="C1605"/>
      <c r="M1605"/>
    </row>
    <row r="1606" spans="3:13" ht="12.75" customHeight="1" x14ac:dyDescent="0.25">
      <c r="C1606"/>
      <c r="M1606"/>
    </row>
    <row r="1607" spans="3:13" ht="12.75" customHeight="1" x14ac:dyDescent="0.25">
      <c r="C1607"/>
      <c r="M1607"/>
    </row>
    <row r="1608" spans="3:13" ht="12.75" customHeight="1" x14ac:dyDescent="0.25">
      <c r="C1608"/>
      <c r="M1608"/>
    </row>
    <row r="1609" spans="3:13" ht="12.75" customHeight="1" x14ac:dyDescent="0.25">
      <c r="C1609"/>
      <c r="M1609"/>
    </row>
    <row r="1610" spans="3:13" ht="12.75" customHeight="1" x14ac:dyDescent="0.25">
      <c r="C1610"/>
      <c r="M1610"/>
    </row>
    <row r="1611" spans="3:13" ht="12.75" customHeight="1" x14ac:dyDescent="0.25">
      <c r="C1611"/>
      <c r="M1611"/>
    </row>
    <row r="1612" spans="3:13" ht="12.75" customHeight="1" x14ac:dyDescent="0.25">
      <c r="C1612"/>
      <c r="M1612"/>
    </row>
    <row r="1613" spans="3:13" ht="12.75" customHeight="1" x14ac:dyDescent="0.25">
      <c r="C1613"/>
      <c r="M1613"/>
    </row>
    <row r="1614" spans="3:13" ht="12.75" customHeight="1" x14ac:dyDescent="0.25">
      <c r="C1614"/>
      <c r="M1614"/>
    </row>
    <row r="1615" spans="3:13" ht="12.75" customHeight="1" x14ac:dyDescent="0.25">
      <c r="C1615"/>
      <c r="M1615"/>
    </row>
    <row r="1616" spans="3:13" ht="12.75" customHeight="1" x14ac:dyDescent="0.25">
      <c r="C1616"/>
      <c r="M1616"/>
    </row>
    <row r="1617" spans="3:13" ht="12.75" customHeight="1" x14ac:dyDescent="0.25">
      <c r="C1617"/>
      <c r="M1617"/>
    </row>
    <row r="1618" spans="3:13" ht="12.75" customHeight="1" x14ac:dyDescent="0.25">
      <c r="C1618"/>
      <c r="M1618"/>
    </row>
    <row r="1619" spans="3:13" ht="12.75" customHeight="1" x14ac:dyDescent="0.25">
      <c r="C1619"/>
      <c r="M1619"/>
    </row>
    <row r="1620" spans="3:13" ht="12.75" customHeight="1" x14ac:dyDescent="0.25">
      <c r="C1620"/>
      <c r="M1620"/>
    </row>
    <row r="1621" spans="3:13" ht="12.75" customHeight="1" x14ac:dyDescent="0.25">
      <c r="C1621"/>
      <c r="M1621"/>
    </row>
    <row r="1622" spans="3:13" ht="12.75" customHeight="1" x14ac:dyDescent="0.25">
      <c r="C1622"/>
      <c r="M1622"/>
    </row>
    <row r="1623" spans="3:13" ht="12.75" customHeight="1" x14ac:dyDescent="0.25">
      <c r="C1623"/>
      <c r="M1623"/>
    </row>
    <row r="1624" spans="3:13" ht="12.75" customHeight="1" x14ac:dyDescent="0.25">
      <c r="C1624"/>
      <c r="M1624"/>
    </row>
    <row r="1625" spans="3:13" ht="12.75" customHeight="1" x14ac:dyDescent="0.25">
      <c r="C1625"/>
      <c r="M1625"/>
    </row>
    <row r="1626" spans="3:13" ht="12.75" customHeight="1" x14ac:dyDescent="0.25">
      <c r="C1626"/>
      <c r="M1626"/>
    </row>
    <row r="1627" spans="3:13" ht="12.75" customHeight="1" x14ac:dyDescent="0.25">
      <c r="C1627"/>
      <c r="M1627"/>
    </row>
    <row r="1628" spans="3:13" ht="12.75" customHeight="1" x14ac:dyDescent="0.25">
      <c r="C1628"/>
      <c r="M1628"/>
    </row>
    <row r="1629" spans="3:13" ht="12.75" customHeight="1" x14ac:dyDescent="0.25">
      <c r="C1629"/>
      <c r="M1629"/>
    </row>
    <row r="1630" spans="3:13" ht="12.75" customHeight="1" x14ac:dyDescent="0.25">
      <c r="C1630"/>
      <c r="M1630"/>
    </row>
    <row r="1631" spans="3:13" ht="12.75" customHeight="1" x14ac:dyDescent="0.25">
      <c r="C1631"/>
      <c r="M1631"/>
    </row>
    <row r="1632" spans="3:13" ht="12.75" customHeight="1" x14ac:dyDescent="0.25">
      <c r="C1632"/>
      <c r="M1632"/>
    </row>
    <row r="1633" spans="3:13" ht="12.75" customHeight="1" x14ac:dyDescent="0.25">
      <c r="C1633"/>
      <c r="M1633"/>
    </row>
    <row r="1634" spans="3:13" ht="12.75" customHeight="1" x14ac:dyDescent="0.25">
      <c r="C1634"/>
      <c r="M1634"/>
    </row>
    <row r="1635" spans="3:13" ht="12.75" customHeight="1" x14ac:dyDescent="0.25">
      <c r="C1635"/>
      <c r="M1635"/>
    </row>
    <row r="1636" spans="3:13" ht="12.75" customHeight="1" x14ac:dyDescent="0.25">
      <c r="C1636"/>
      <c r="M1636"/>
    </row>
    <row r="1637" spans="3:13" ht="12.75" customHeight="1" x14ac:dyDescent="0.25">
      <c r="C1637"/>
      <c r="M1637"/>
    </row>
    <row r="1638" spans="3:13" ht="12.75" customHeight="1" x14ac:dyDescent="0.25">
      <c r="C1638"/>
      <c r="M1638"/>
    </row>
    <row r="1639" spans="3:13" ht="12.75" customHeight="1" x14ac:dyDescent="0.25">
      <c r="C1639"/>
      <c r="M1639"/>
    </row>
    <row r="1640" spans="3:13" ht="12.75" customHeight="1" x14ac:dyDescent="0.25">
      <c r="C1640"/>
      <c r="M1640"/>
    </row>
    <row r="1641" spans="3:13" ht="12.75" customHeight="1" x14ac:dyDescent="0.25">
      <c r="C1641"/>
      <c r="M1641"/>
    </row>
    <row r="1642" spans="3:13" ht="12.75" customHeight="1" x14ac:dyDescent="0.25">
      <c r="C1642"/>
      <c r="M1642"/>
    </row>
    <row r="1643" spans="3:13" ht="12.75" customHeight="1" x14ac:dyDescent="0.25">
      <c r="C1643"/>
      <c r="M1643"/>
    </row>
    <row r="1644" spans="3:13" ht="12.75" customHeight="1" x14ac:dyDescent="0.25">
      <c r="C1644"/>
      <c r="M1644"/>
    </row>
    <row r="1645" spans="3:13" ht="12.75" customHeight="1" x14ac:dyDescent="0.25">
      <c r="C1645"/>
      <c r="M1645"/>
    </row>
    <row r="1646" spans="3:13" ht="12.75" customHeight="1" x14ac:dyDescent="0.25">
      <c r="C1646"/>
      <c r="M1646"/>
    </row>
    <row r="1647" spans="3:13" ht="12.75" customHeight="1" x14ac:dyDescent="0.25">
      <c r="C1647"/>
      <c r="M1647"/>
    </row>
    <row r="1648" spans="3:13" ht="12.75" customHeight="1" x14ac:dyDescent="0.25">
      <c r="C1648"/>
      <c r="M1648"/>
    </row>
    <row r="1649" spans="3:13" ht="12.75" customHeight="1" x14ac:dyDescent="0.25">
      <c r="C1649"/>
      <c r="M1649"/>
    </row>
    <row r="1650" spans="3:13" ht="12.75" customHeight="1" x14ac:dyDescent="0.25">
      <c r="C1650"/>
      <c r="M1650"/>
    </row>
    <row r="1651" spans="3:13" ht="12.75" customHeight="1" x14ac:dyDescent="0.25">
      <c r="C1651"/>
      <c r="M1651"/>
    </row>
    <row r="1652" spans="3:13" ht="12.75" customHeight="1" x14ac:dyDescent="0.25">
      <c r="C1652"/>
      <c r="M1652"/>
    </row>
    <row r="1653" spans="3:13" ht="12.75" customHeight="1" x14ac:dyDescent="0.25">
      <c r="C1653"/>
      <c r="M1653"/>
    </row>
    <row r="1654" spans="3:13" ht="12.75" customHeight="1" x14ac:dyDescent="0.25">
      <c r="C1654"/>
      <c r="M1654"/>
    </row>
    <row r="1655" spans="3:13" ht="12.75" customHeight="1" x14ac:dyDescent="0.25">
      <c r="C1655"/>
      <c r="M1655"/>
    </row>
    <row r="1656" spans="3:13" ht="12.75" customHeight="1" x14ac:dyDescent="0.25">
      <c r="C1656"/>
      <c r="M1656"/>
    </row>
    <row r="1657" spans="3:13" ht="12.75" customHeight="1" x14ac:dyDescent="0.25">
      <c r="C1657"/>
      <c r="M1657"/>
    </row>
    <row r="1658" spans="3:13" ht="12.75" customHeight="1" x14ac:dyDescent="0.25">
      <c r="C1658"/>
      <c r="M1658"/>
    </row>
    <row r="1659" spans="3:13" ht="12.75" customHeight="1" x14ac:dyDescent="0.25">
      <c r="C1659"/>
      <c r="M1659"/>
    </row>
    <row r="1660" spans="3:13" ht="12.75" customHeight="1" x14ac:dyDescent="0.25">
      <c r="C1660"/>
      <c r="M1660"/>
    </row>
    <row r="1661" spans="3:13" ht="12.75" customHeight="1" x14ac:dyDescent="0.25">
      <c r="C1661"/>
      <c r="M1661"/>
    </row>
    <row r="1662" spans="3:13" ht="12.75" customHeight="1" x14ac:dyDescent="0.25">
      <c r="C1662"/>
      <c r="M1662"/>
    </row>
    <row r="1663" spans="3:13" ht="12.75" customHeight="1" x14ac:dyDescent="0.25">
      <c r="C1663"/>
      <c r="M1663"/>
    </row>
    <row r="1664" spans="3:13" ht="12.75" customHeight="1" x14ac:dyDescent="0.25">
      <c r="C1664"/>
      <c r="M1664"/>
    </row>
    <row r="1665" spans="3:13" ht="12.75" customHeight="1" x14ac:dyDescent="0.25">
      <c r="C1665"/>
      <c r="M1665"/>
    </row>
    <row r="1666" spans="3:13" ht="12.75" customHeight="1" x14ac:dyDescent="0.25">
      <c r="C1666"/>
      <c r="M1666"/>
    </row>
    <row r="1667" spans="3:13" ht="12.75" customHeight="1" x14ac:dyDescent="0.25">
      <c r="C1667"/>
      <c r="M1667"/>
    </row>
    <row r="1668" spans="3:13" ht="12.75" customHeight="1" x14ac:dyDescent="0.25">
      <c r="C1668"/>
      <c r="M1668"/>
    </row>
    <row r="1669" spans="3:13" ht="12.75" customHeight="1" x14ac:dyDescent="0.25">
      <c r="C1669"/>
      <c r="M1669"/>
    </row>
    <row r="1670" spans="3:13" ht="12.75" customHeight="1" x14ac:dyDescent="0.25">
      <c r="C1670"/>
      <c r="M1670"/>
    </row>
    <row r="1671" spans="3:13" ht="12.75" customHeight="1" x14ac:dyDescent="0.25">
      <c r="C1671"/>
      <c r="M1671"/>
    </row>
    <row r="1672" spans="3:13" ht="12.75" customHeight="1" x14ac:dyDescent="0.25">
      <c r="C1672"/>
      <c r="M1672"/>
    </row>
    <row r="1673" spans="3:13" ht="12.75" customHeight="1" x14ac:dyDescent="0.25">
      <c r="C1673"/>
      <c r="M1673"/>
    </row>
    <row r="1674" spans="3:13" ht="12.75" customHeight="1" x14ac:dyDescent="0.25">
      <c r="C1674"/>
      <c r="M1674"/>
    </row>
    <row r="1675" spans="3:13" ht="12.75" customHeight="1" x14ac:dyDescent="0.25">
      <c r="C1675"/>
      <c r="M1675"/>
    </row>
    <row r="1676" spans="3:13" ht="12.75" customHeight="1" x14ac:dyDescent="0.25">
      <c r="C1676"/>
      <c r="M1676"/>
    </row>
    <row r="1677" spans="3:13" ht="12.75" customHeight="1" x14ac:dyDescent="0.25">
      <c r="C1677"/>
      <c r="M1677"/>
    </row>
    <row r="1678" spans="3:13" ht="12.75" customHeight="1" x14ac:dyDescent="0.25">
      <c r="C1678"/>
      <c r="M1678"/>
    </row>
    <row r="1679" spans="3:13" ht="12.75" customHeight="1" x14ac:dyDescent="0.25">
      <c r="C1679"/>
      <c r="M1679"/>
    </row>
    <row r="1680" spans="3:13" ht="12.75" customHeight="1" x14ac:dyDescent="0.25">
      <c r="C1680"/>
      <c r="M1680"/>
    </row>
    <row r="1681" spans="3:13" ht="12.75" customHeight="1" x14ac:dyDescent="0.25">
      <c r="C1681"/>
      <c r="M1681"/>
    </row>
    <row r="1682" spans="3:13" ht="12.75" customHeight="1" x14ac:dyDescent="0.25">
      <c r="C1682"/>
      <c r="M1682"/>
    </row>
    <row r="1683" spans="3:13" ht="12.75" customHeight="1" x14ac:dyDescent="0.25">
      <c r="C1683"/>
      <c r="M1683"/>
    </row>
    <row r="1684" spans="3:13" ht="12.75" customHeight="1" x14ac:dyDescent="0.25">
      <c r="C1684"/>
      <c r="M1684"/>
    </row>
    <row r="1685" spans="3:13" ht="12.75" customHeight="1" x14ac:dyDescent="0.25">
      <c r="C1685"/>
      <c r="M1685"/>
    </row>
    <row r="1686" spans="3:13" ht="12.75" customHeight="1" x14ac:dyDescent="0.25">
      <c r="C1686"/>
      <c r="M1686"/>
    </row>
    <row r="1687" spans="3:13" ht="12.75" customHeight="1" x14ac:dyDescent="0.25">
      <c r="C1687"/>
      <c r="M1687"/>
    </row>
    <row r="1688" spans="3:13" ht="12.75" customHeight="1" x14ac:dyDescent="0.25">
      <c r="C1688"/>
      <c r="M1688"/>
    </row>
    <row r="1689" spans="3:13" ht="12.75" customHeight="1" x14ac:dyDescent="0.25">
      <c r="C1689"/>
      <c r="M1689"/>
    </row>
    <row r="1690" spans="3:13" ht="12.75" customHeight="1" x14ac:dyDescent="0.25">
      <c r="C1690"/>
      <c r="M1690"/>
    </row>
    <row r="1691" spans="3:13" ht="12.75" customHeight="1" x14ac:dyDescent="0.25">
      <c r="C1691"/>
      <c r="M1691"/>
    </row>
    <row r="1692" spans="3:13" ht="12.75" customHeight="1" x14ac:dyDescent="0.25">
      <c r="C1692"/>
      <c r="M1692"/>
    </row>
    <row r="1693" spans="3:13" ht="12.75" customHeight="1" x14ac:dyDescent="0.25">
      <c r="C1693"/>
      <c r="M1693"/>
    </row>
    <row r="1694" spans="3:13" ht="12.75" customHeight="1" x14ac:dyDescent="0.25">
      <c r="C1694"/>
      <c r="M1694"/>
    </row>
    <row r="1695" spans="3:13" ht="12.75" customHeight="1" x14ac:dyDescent="0.25">
      <c r="C1695"/>
      <c r="M1695"/>
    </row>
    <row r="1696" spans="3:13" ht="12.75" customHeight="1" x14ac:dyDescent="0.25">
      <c r="C1696"/>
      <c r="M1696"/>
    </row>
    <row r="1697" spans="3:13" ht="12.75" customHeight="1" x14ac:dyDescent="0.25">
      <c r="C1697"/>
      <c r="M1697"/>
    </row>
    <row r="1698" spans="3:13" ht="12.75" customHeight="1" x14ac:dyDescent="0.25">
      <c r="C1698"/>
      <c r="M1698"/>
    </row>
    <row r="1699" spans="3:13" ht="12.75" customHeight="1" x14ac:dyDescent="0.25">
      <c r="C1699"/>
      <c r="M1699"/>
    </row>
    <row r="1700" spans="3:13" ht="12.75" customHeight="1" x14ac:dyDescent="0.25">
      <c r="C1700"/>
      <c r="M1700"/>
    </row>
    <row r="1701" spans="3:13" ht="12.75" customHeight="1" x14ac:dyDescent="0.25">
      <c r="C1701"/>
      <c r="M1701"/>
    </row>
    <row r="1702" spans="3:13" ht="12.75" customHeight="1" x14ac:dyDescent="0.25">
      <c r="C1702"/>
      <c r="M1702"/>
    </row>
    <row r="1703" spans="3:13" ht="12.75" customHeight="1" x14ac:dyDescent="0.25">
      <c r="C1703"/>
      <c r="M1703"/>
    </row>
    <row r="1704" spans="3:13" ht="12.75" customHeight="1" x14ac:dyDescent="0.25">
      <c r="C1704"/>
      <c r="M1704"/>
    </row>
    <row r="1705" spans="3:13" ht="12.75" customHeight="1" x14ac:dyDescent="0.25">
      <c r="C1705"/>
      <c r="M1705"/>
    </row>
    <row r="1706" spans="3:13" ht="12.75" customHeight="1" x14ac:dyDescent="0.25">
      <c r="C1706"/>
      <c r="M1706"/>
    </row>
    <row r="1707" spans="3:13" ht="12.75" customHeight="1" x14ac:dyDescent="0.25">
      <c r="C1707"/>
      <c r="M1707"/>
    </row>
    <row r="1708" spans="3:13" ht="12.75" customHeight="1" x14ac:dyDescent="0.25">
      <c r="C1708"/>
      <c r="M1708"/>
    </row>
    <row r="1709" spans="3:13" ht="12.75" customHeight="1" x14ac:dyDescent="0.25">
      <c r="C1709"/>
      <c r="M1709"/>
    </row>
    <row r="1710" spans="3:13" ht="12.75" customHeight="1" x14ac:dyDescent="0.25">
      <c r="C1710"/>
      <c r="M1710"/>
    </row>
    <row r="1711" spans="3:13" ht="12.75" customHeight="1" x14ac:dyDescent="0.25">
      <c r="C1711"/>
      <c r="M1711"/>
    </row>
    <row r="1712" spans="3:13" ht="12.75" customHeight="1" x14ac:dyDescent="0.25">
      <c r="C1712"/>
      <c r="M1712"/>
    </row>
    <row r="1713" spans="3:13" ht="12.75" customHeight="1" x14ac:dyDescent="0.25">
      <c r="C1713"/>
      <c r="M1713"/>
    </row>
    <row r="1714" spans="3:13" ht="12.75" customHeight="1" x14ac:dyDescent="0.25">
      <c r="C1714"/>
      <c r="M1714"/>
    </row>
    <row r="1715" spans="3:13" ht="12.75" customHeight="1" x14ac:dyDescent="0.25">
      <c r="C1715"/>
      <c r="M1715"/>
    </row>
    <row r="1716" spans="3:13" ht="12.75" customHeight="1" x14ac:dyDescent="0.25">
      <c r="C1716"/>
      <c r="M1716"/>
    </row>
    <row r="1717" spans="3:13" ht="12.75" customHeight="1" x14ac:dyDescent="0.25">
      <c r="C1717"/>
      <c r="M1717"/>
    </row>
    <row r="1718" spans="3:13" ht="12.75" customHeight="1" x14ac:dyDescent="0.25">
      <c r="C1718"/>
      <c r="M1718"/>
    </row>
    <row r="1719" spans="3:13" ht="12.75" customHeight="1" x14ac:dyDescent="0.25">
      <c r="C1719"/>
      <c r="M1719"/>
    </row>
    <row r="1720" spans="3:13" ht="12.75" customHeight="1" x14ac:dyDescent="0.25">
      <c r="C1720"/>
      <c r="M1720"/>
    </row>
    <row r="1721" spans="3:13" ht="12.75" customHeight="1" x14ac:dyDescent="0.25">
      <c r="C1721"/>
      <c r="M1721"/>
    </row>
    <row r="1722" spans="3:13" ht="12.75" customHeight="1" x14ac:dyDescent="0.25">
      <c r="C1722"/>
      <c r="M1722"/>
    </row>
    <row r="1723" spans="3:13" ht="12.75" customHeight="1" x14ac:dyDescent="0.25">
      <c r="C1723"/>
      <c r="M1723"/>
    </row>
    <row r="1724" spans="3:13" ht="12.75" customHeight="1" x14ac:dyDescent="0.25">
      <c r="C1724"/>
      <c r="M1724"/>
    </row>
    <row r="1725" spans="3:13" ht="12.75" customHeight="1" x14ac:dyDescent="0.25">
      <c r="C1725"/>
      <c r="M1725"/>
    </row>
    <row r="1726" spans="3:13" ht="12.75" customHeight="1" x14ac:dyDescent="0.25">
      <c r="C1726"/>
      <c r="M1726"/>
    </row>
    <row r="1727" spans="3:13" ht="12.75" customHeight="1" x14ac:dyDescent="0.25">
      <c r="C1727"/>
      <c r="M1727"/>
    </row>
    <row r="1728" spans="3:13" ht="12.75" customHeight="1" x14ac:dyDescent="0.25">
      <c r="C1728"/>
      <c r="M1728"/>
    </row>
    <row r="1729" spans="3:13" ht="12.75" customHeight="1" x14ac:dyDescent="0.25">
      <c r="C1729"/>
      <c r="M1729"/>
    </row>
    <row r="1730" spans="3:13" ht="12.75" customHeight="1" x14ac:dyDescent="0.25">
      <c r="C1730"/>
      <c r="M1730"/>
    </row>
    <row r="1731" spans="3:13" ht="12.75" customHeight="1" x14ac:dyDescent="0.25">
      <c r="C1731"/>
      <c r="M1731"/>
    </row>
    <row r="1732" spans="3:13" ht="12.75" customHeight="1" x14ac:dyDescent="0.25">
      <c r="C1732"/>
      <c r="M1732"/>
    </row>
    <row r="1733" spans="3:13" ht="12.75" customHeight="1" x14ac:dyDescent="0.25">
      <c r="C1733"/>
      <c r="M1733"/>
    </row>
    <row r="1734" spans="3:13" ht="12.75" customHeight="1" x14ac:dyDescent="0.25">
      <c r="C1734"/>
      <c r="M1734"/>
    </row>
    <row r="1735" spans="3:13" ht="12.75" customHeight="1" x14ac:dyDescent="0.25">
      <c r="C1735"/>
      <c r="M1735"/>
    </row>
    <row r="1736" spans="3:13" ht="12.75" customHeight="1" x14ac:dyDescent="0.25">
      <c r="C1736"/>
      <c r="M1736"/>
    </row>
    <row r="1737" spans="3:13" ht="12.75" customHeight="1" x14ac:dyDescent="0.25">
      <c r="C1737"/>
      <c r="M1737"/>
    </row>
    <row r="1738" spans="3:13" ht="12.75" customHeight="1" x14ac:dyDescent="0.25">
      <c r="C1738"/>
      <c r="M1738"/>
    </row>
    <row r="1739" spans="3:13" ht="12.75" customHeight="1" x14ac:dyDescent="0.25">
      <c r="C1739"/>
      <c r="M1739"/>
    </row>
    <row r="1740" spans="3:13" ht="12.75" customHeight="1" x14ac:dyDescent="0.25">
      <c r="C1740"/>
      <c r="M1740"/>
    </row>
    <row r="1741" spans="3:13" ht="12.75" customHeight="1" x14ac:dyDescent="0.25">
      <c r="C1741"/>
      <c r="M1741"/>
    </row>
    <row r="1742" spans="3:13" ht="12.75" customHeight="1" x14ac:dyDescent="0.25">
      <c r="C1742"/>
      <c r="M1742"/>
    </row>
    <row r="1743" spans="3:13" ht="12.75" customHeight="1" x14ac:dyDescent="0.25">
      <c r="C1743"/>
      <c r="M1743"/>
    </row>
    <row r="1744" spans="3:13" ht="12.75" customHeight="1" x14ac:dyDescent="0.25">
      <c r="C1744"/>
      <c r="M1744"/>
    </row>
    <row r="1745" spans="3:13" ht="12.75" customHeight="1" x14ac:dyDescent="0.25">
      <c r="C1745"/>
      <c r="M1745"/>
    </row>
    <row r="1746" spans="3:13" ht="12.75" customHeight="1" x14ac:dyDescent="0.25">
      <c r="C1746"/>
      <c r="M1746"/>
    </row>
    <row r="1747" spans="3:13" ht="12.75" customHeight="1" x14ac:dyDescent="0.25">
      <c r="C1747"/>
      <c r="M1747"/>
    </row>
    <row r="1748" spans="3:13" ht="12.75" customHeight="1" x14ac:dyDescent="0.25">
      <c r="C1748"/>
      <c r="M1748"/>
    </row>
    <row r="1749" spans="3:13" ht="12.75" customHeight="1" x14ac:dyDescent="0.25">
      <c r="C1749"/>
      <c r="M1749"/>
    </row>
    <row r="1750" spans="3:13" ht="12.75" customHeight="1" x14ac:dyDescent="0.25">
      <c r="C1750"/>
      <c r="M1750"/>
    </row>
    <row r="1751" spans="3:13" ht="12.75" customHeight="1" x14ac:dyDescent="0.25">
      <c r="C1751"/>
      <c r="M1751"/>
    </row>
    <row r="1752" spans="3:13" ht="12.75" customHeight="1" x14ac:dyDescent="0.25">
      <c r="C1752"/>
      <c r="M1752"/>
    </row>
    <row r="1753" spans="3:13" ht="12.75" customHeight="1" x14ac:dyDescent="0.25">
      <c r="C1753"/>
      <c r="M1753"/>
    </row>
    <row r="1754" spans="3:13" ht="12.75" customHeight="1" x14ac:dyDescent="0.25">
      <c r="C1754"/>
      <c r="M1754"/>
    </row>
    <row r="1755" spans="3:13" ht="12.75" customHeight="1" x14ac:dyDescent="0.25">
      <c r="C1755"/>
      <c r="M1755"/>
    </row>
    <row r="1756" spans="3:13" ht="12.75" customHeight="1" x14ac:dyDescent="0.25">
      <c r="C1756"/>
      <c r="M1756"/>
    </row>
    <row r="1757" spans="3:13" ht="12.75" customHeight="1" x14ac:dyDescent="0.25">
      <c r="C1757"/>
      <c r="M1757"/>
    </row>
    <row r="1758" spans="3:13" ht="12.75" customHeight="1" x14ac:dyDescent="0.25">
      <c r="C1758"/>
      <c r="M1758"/>
    </row>
    <row r="1759" spans="3:13" ht="12.75" customHeight="1" x14ac:dyDescent="0.25">
      <c r="C1759"/>
      <c r="M1759"/>
    </row>
    <row r="1760" spans="3:13" ht="12.75" customHeight="1" x14ac:dyDescent="0.25">
      <c r="C1760"/>
      <c r="M1760"/>
    </row>
    <row r="1761" spans="3:13" ht="12.75" customHeight="1" x14ac:dyDescent="0.25">
      <c r="C1761"/>
      <c r="M1761"/>
    </row>
    <row r="1762" spans="3:13" ht="12.75" customHeight="1" x14ac:dyDescent="0.25">
      <c r="C1762"/>
      <c r="M1762"/>
    </row>
    <row r="1763" spans="3:13" ht="12.75" customHeight="1" x14ac:dyDescent="0.25">
      <c r="C1763"/>
      <c r="M1763"/>
    </row>
    <row r="1764" spans="3:13" ht="12.75" customHeight="1" x14ac:dyDescent="0.25">
      <c r="C1764"/>
      <c r="M1764"/>
    </row>
    <row r="1765" spans="3:13" ht="12.75" customHeight="1" x14ac:dyDescent="0.25">
      <c r="C1765"/>
      <c r="M1765"/>
    </row>
    <row r="1766" spans="3:13" ht="12.75" customHeight="1" x14ac:dyDescent="0.25">
      <c r="C1766"/>
      <c r="M1766"/>
    </row>
    <row r="1767" spans="3:13" ht="12.75" customHeight="1" x14ac:dyDescent="0.25">
      <c r="C1767"/>
      <c r="M1767"/>
    </row>
    <row r="1768" spans="3:13" ht="12.75" customHeight="1" x14ac:dyDescent="0.25">
      <c r="C1768"/>
      <c r="M1768"/>
    </row>
    <row r="1769" spans="3:13" ht="12.75" customHeight="1" x14ac:dyDescent="0.25">
      <c r="C1769"/>
      <c r="M1769"/>
    </row>
    <row r="1770" spans="3:13" ht="12.75" customHeight="1" x14ac:dyDescent="0.25">
      <c r="C1770"/>
      <c r="M1770"/>
    </row>
    <row r="1771" spans="3:13" ht="12.75" customHeight="1" x14ac:dyDescent="0.25">
      <c r="C1771"/>
      <c r="M1771"/>
    </row>
    <row r="1772" spans="3:13" ht="12.75" customHeight="1" x14ac:dyDescent="0.25">
      <c r="C1772"/>
      <c r="M1772"/>
    </row>
    <row r="1773" spans="3:13" ht="12.75" customHeight="1" x14ac:dyDescent="0.25">
      <c r="C1773"/>
      <c r="M1773"/>
    </row>
    <row r="1774" spans="3:13" ht="12.75" customHeight="1" x14ac:dyDescent="0.25">
      <c r="C1774"/>
      <c r="M1774"/>
    </row>
    <row r="1775" spans="3:13" ht="12.75" customHeight="1" x14ac:dyDescent="0.25">
      <c r="C1775"/>
      <c r="M1775"/>
    </row>
    <row r="1776" spans="3:13" ht="12.75" customHeight="1" x14ac:dyDescent="0.25">
      <c r="C1776"/>
      <c r="M1776"/>
    </row>
    <row r="1777" spans="3:13" ht="12.75" customHeight="1" x14ac:dyDescent="0.25">
      <c r="C1777"/>
      <c r="M1777"/>
    </row>
    <row r="1778" spans="3:13" ht="12.75" customHeight="1" x14ac:dyDescent="0.25">
      <c r="C1778"/>
      <c r="M1778"/>
    </row>
    <row r="1779" spans="3:13" ht="12.75" customHeight="1" x14ac:dyDescent="0.25">
      <c r="C1779"/>
      <c r="M1779"/>
    </row>
    <row r="1780" spans="3:13" ht="12.75" customHeight="1" x14ac:dyDescent="0.25">
      <c r="C1780"/>
      <c r="M1780"/>
    </row>
    <row r="1781" spans="3:13" ht="12.75" customHeight="1" x14ac:dyDescent="0.25">
      <c r="C1781"/>
      <c r="M1781"/>
    </row>
    <row r="1782" spans="3:13" ht="12.75" customHeight="1" x14ac:dyDescent="0.25">
      <c r="C1782"/>
      <c r="M1782"/>
    </row>
    <row r="1783" spans="3:13" ht="12.75" customHeight="1" x14ac:dyDescent="0.25">
      <c r="C1783"/>
      <c r="M1783"/>
    </row>
    <row r="1784" spans="3:13" ht="12.75" customHeight="1" x14ac:dyDescent="0.25">
      <c r="C1784"/>
      <c r="M1784"/>
    </row>
    <row r="1785" spans="3:13" ht="12.75" customHeight="1" x14ac:dyDescent="0.25">
      <c r="C1785"/>
      <c r="M1785"/>
    </row>
    <row r="1786" spans="3:13" ht="12.75" customHeight="1" x14ac:dyDescent="0.25">
      <c r="C1786"/>
      <c r="M1786"/>
    </row>
    <row r="1787" spans="3:13" ht="12.75" customHeight="1" x14ac:dyDescent="0.25">
      <c r="C1787"/>
      <c r="M1787"/>
    </row>
    <row r="1788" spans="3:13" ht="12.75" customHeight="1" x14ac:dyDescent="0.25">
      <c r="C1788"/>
      <c r="M1788"/>
    </row>
    <row r="1789" spans="3:13" ht="12.75" customHeight="1" x14ac:dyDescent="0.25">
      <c r="C1789"/>
      <c r="M1789"/>
    </row>
    <row r="1790" spans="3:13" ht="12.75" customHeight="1" x14ac:dyDescent="0.25">
      <c r="C1790"/>
      <c r="M1790"/>
    </row>
    <row r="1791" spans="3:13" ht="12.75" customHeight="1" x14ac:dyDescent="0.25">
      <c r="C1791"/>
      <c r="M1791"/>
    </row>
    <row r="1792" spans="3:13" ht="12.75" customHeight="1" x14ac:dyDescent="0.25">
      <c r="C1792"/>
      <c r="M1792"/>
    </row>
    <row r="1793" spans="3:13" ht="12.75" customHeight="1" x14ac:dyDescent="0.25">
      <c r="C1793"/>
      <c r="M1793"/>
    </row>
    <row r="1794" spans="3:13" ht="12.75" customHeight="1" x14ac:dyDescent="0.25">
      <c r="C1794"/>
      <c r="M1794"/>
    </row>
    <row r="1795" spans="3:13" ht="12.75" customHeight="1" x14ac:dyDescent="0.25">
      <c r="C1795"/>
      <c r="M1795"/>
    </row>
    <row r="1796" spans="3:13" ht="12.75" customHeight="1" x14ac:dyDescent="0.25">
      <c r="C1796"/>
      <c r="M1796"/>
    </row>
    <row r="1797" spans="3:13" ht="12.75" customHeight="1" x14ac:dyDescent="0.25">
      <c r="C1797"/>
      <c r="M1797"/>
    </row>
    <row r="1798" spans="3:13" ht="12.75" customHeight="1" x14ac:dyDescent="0.25">
      <c r="C1798"/>
      <c r="M1798"/>
    </row>
    <row r="1799" spans="3:13" ht="12.75" customHeight="1" x14ac:dyDescent="0.25">
      <c r="C1799"/>
      <c r="M1799"/>
    </row>
    <row r="1800" spans="3:13" ht="12.75" customHeight="1" x14ac:dyDescent="0.25">
      <c r="C1800"/>
      <c r="M1800"/>
    </row>
    <row r="1801" spans="3:13" ht="12.75" customHeight="1" x14ac:dyDescent="0.25">
      <c r="C1801"/>
      <c r="M1801"/>
    </row>
    <row r="1802" spans="3:13" ht="12.75" customHeight="1" x14ac:dyDescent="0.25">
      <c r="C1802"/>
      <c r="M1802"/>
    </row>
    <row r="1803" spans="3:13" ht="12.75" customHeight="1" x14ac:dyDescent="0.25">
      <c r="C1803"/>
      <c r="M1803"/>
    </row>
    <row r="1804" spans="3:13" ht="12.75" customHeight="1" x14ac:dyDescent="0.25">
      <c r="C1804"/>
      <c r="M1804"/>
    </row>
    <row r="1805" spans="3:13" ht="12.75" customHeight="1" x14ac:dyDescent="0.25">
      <c r="C1805"/>
      <c r="M1805"/>
    </row>
    <row r="1806" spans="3:13" ht="12.75" customHeight="1" x14ac:dyDescent="0.25">
      <c r="C1806"/>
      <c r="M1806"/>
    </row>
    <row r="1807" spans="3:13" ht="12.75" customHeight="1" x14ac:dyDescent="0.25">
      <c r="C1807"/>
      <c r="M1807"/>
    </row>
    <row r="1808" spans="3:13" ht="12.75" customHeight="1" x14ac:dyDescent="0.25">
      <c r="C1808"/>
      <c r="M1808"/>
    </row>
    <row r="1809" spans="3:13" ht="12.75" customHeight="1" x14ac:dyDescent="0.25">
      <c r="C1809"/>
      <c r="M1809"/>
    </row>
    <row r="1810" spans="3:13" ht="12.75" customHeight="1" x14ac:dyDescent="0.25">
      <c r="C1810"/>
      <c r="M1810"/>
    </row>
    <row r="1811" spans="3:13" ht="12.75" customHeight="1" x14ac:dyDescent="0.25">
      <c r="C1811"/>
      <c r="M1811"/>
    </row>
    <row r="1812" spans="3:13" ht="12.75" customHeight="1" x14ac:dyDescent="0.25">
      <c r="C1812"/>
      <c r="M1812"/>
    </row>
    <row r="1813" spans="3:13" ht="12.75" customHeight="1" x14ac:dyDescent="0.25">
      <c r="C1813"/>
      <c r="M1813"/>
    </row>
    <row r="1814" spans="3:13" ht="12.75" customHeight="1" x14ac:dyDescent="0.25">
      <c r="C1814"/>
      <c r="M1814"/>
    </row>
    <row r="1815" spans="3:13" ht="12.75" customHeight="1" x14ac:dyDescent="0.25">
      <c r="C1815"/>
      <c r="M1815"/>
    </row>
    <row r="1816" spans="3:13" ht="12.75" customHeight="1" x14ac:dyDescent="0.25">
      <c r="C1816"/>
      <c r="M1816"/>
    </row>
    <row r="1817" spans="3:13" ht="12.75" customHeight="1" x14ac:dyDescent="0.25">
      <c r="C1817"/>
      <c r="M1817"/>
    </row>
    <row r="1818" spans="3:13" ht="12.75" customHeight="1" x14ac:dyDescent="0.25">
      <c r="C1818"/>
      <c r="M1818"/>
    </row>
    <row r="1819" spans="3:13" ht="12.75" customHeight="1" x14ac:dyDescent="0.25">
      <c r="C1819"/>
      <c r="M1819"/>
    </row>
    <row r="1820" spans="3:13" ht="12.75" customHeight="1" x14ac:dyDescent="0.25">
      <c r="C1820"/>
      <c r="M1820"/>
    </row>
    <row r="1821" spans="3:13" ht="12.75" customHeight="1" x14ac:dyDescent="0.25">
      <c r="C1821"/>
      <c r="M1821"/>
    </row>
    <row r="1822" spans="3:13" ht="12.75" customHeight="1" x14ac:dyDescent="0.25">
      <c r="C1822"/>
      <c r="M1822"/>
    </row>
    <row r="1823" spans="3:13" ht="12.75" customHeight="1" x14ac:dyDescent="0.25">
      <c r="C1823"/>
      <c r="M1823"/>
    </row>
    <row r="1824" spans="3:13" ht="12.75" customHeight="1" x14ac:dyDescent="0.25">
      <c r="C1824"/>
      <c r="M1824"/>
    </row>
    <row r="1825" spans="3:13" ht="12.75" customHeight="1" x14ac:dyDescent="0.25">
      <c r="C1825"/>
      <c r="M1825"/>
    </row>
    <row r="1826" spans="3:13" ht="12.75" customHeight="1" x14ac:dyDescent="0.25">
      <c r="C1826"/>
      <c r="M1826"/>
    </row>
    <row r="1827" spans="3:13" ht="12.75" customHeight="1" x14ac:dyDescent="0.25">
      <c r="C1827"/>
      <c r="M1827"/>
    </row>
    <row r="1828" spans="3:13" ht="12.75" customHeight="1" x14ac:dyDescent="0.25">
      <c r="C1828"/>
      <c r="M1828"/>
    </row>
    <row r="1829" spans="3:13" ht="12.75" customHeight="1" x14ac:dyDescent="0.25">
      <c r="C1829"/>
      <c r="M1829"/>
    </row>
    <row r="1830" spans="3:13" ht="12.75" customHeight="1" x14ac:dyDescent="0.25">
      <c r="C1830"/>
      <c r="M1830"/>
    </row>
    <row r="1831" spans="3:13" ht="12.75" customHeight="1" x14ac:dyDescent="0.25">
      <c r="C1831"/>
      <c r="M1831"/>
    </row>
    <row r="1832" spans="3:13" ht="12.75" customHeight="1" x14ac:dyDescent="0.25">
      <c r="C1832"/>
      <c r="M1832"/>
    </row>
    <row r="1833" spans="3:13" ht="12.75" customHeight="1" x14ac:dyDescent="0.25">
      <c r="C1833"/>
      <c r="M1833"/>
    </row>
    <row r="1834" spans="3:13" ht="12.75" customHeight="1" x14ac:dyDescent="0.25">
      <c r="C1834"/>
      <c r="M1834"/>
    </row>
    <row r="1835" spans="3:13" ht="12.75" customHeight="1" x14ac:dyDescent="0.25">
      <c r="C1835"/>
      <c r="M1835"/>
    </row>
    <row r="1836" spans="3:13" ht="12.75" customHeight="1" x14ac:dyDescent="0.25">
      <c r="C1836"/>
      <c r="M1836"/>
    </row>
    <row r="1837" spans="3:13" ht="12.75" customHeight="1" x14ac:dyDescent="0.25">
      <c r="C1837"/>
      <c r="M1837"/>
    </row>
    <row r="1838" spans="3:13" ht="12.75" customHeight="1" x14ac:dyDescent="0.25">
      <c r="C1838"/>
      <c r="M1838"/>
    </row>
    <row r="1839" spans="3:13" ht="12.75" customHeight="1" x14ac:dyDescent="0.25">
      <c r="C1839"/>
      <c r="M1839"/>
    </row>
    <row r="1840" spans="3:13" ht="12.75" customHeight="1" x14ac:dyDescent="0.25">
      <c r="C1840"/>
      <c r="M1840"/>
    </row>
    <row r="1841" spans="3:13" ht="12.75" customHeight="1" x14ac:dyDescent="0.25">
      <c r="C1841"/>
      <c r="M1841"/>
    </row>
    <row r="1842" spans="3:13" ht="12.75" customHeight="1" x14ac:dyDescent="0.25">
      <c r="C1842"/>
      <c r="M1842"/>
    </row>
    <row r="1843" spans="3:13" ht="12.75" customHeight="1" x14ac:dyDescent="0.25">
      <c r="C1843"/>
      <c r="M1843"/>
    </row>
    <row r="1844" spans="3:13" ht="12.75" customHeight="1" x14ac:dyDescent="0.25">
      <c r="C1844"/>
      <c r="M1844"/>
    </row>
    <row r="1845" spans="3:13" ht="12.75" customHeight="1" x14ac:dyDescent="0.25">
      <c r="C1845"/>
      <c r="M1845"/>
    </row>
    <row r="1846" spans="3:13" ht="12.75" customHeight="1" x14ac:dyDescent="0.25">
      <c r="C1846"/>
      <c r="M1846"/>
    </row>
    <row r="1847" spans="3:13" ht="12.75" customHeight="1" x14ac:dyDescent="0.25">
      <c r="C1847"/>
      <c r="M1847"/>
    </row>
    <row r="1848" spans="3:13" ht="12.75" customHeight="1" x14ac:dyDescent="0.25">
      <c r="C1848"/>
      <c r="M1848"/>
    </row>
    <row r="1849" spans="3:13" ht="12.75" customHeight="1" x14ac:dyDescent="0.25">
      <c r="C1849"/>
      <c r="M1849"/>
    </row>
    <row r="1850" spans="3:13" ht="12.75" customHeight="1" x14ac:dyDescent="0.25">
      <c r="C1850"/>
      <c r="M1850"/>
    </row>
    <row r="1851" spans="3:13" ht="12.75" customHeight="1" x14ac:dyDescent="0.25">
      <c r="C1851"/>
      <c r="M1851"/>
    </row>
    <row r="1852" spans="3:13" ht="12.75" customHeight="1" x14ac:dyDescent="0.25">
      <c r="C1852"/>
      <c r="M1852"/>
    </row>
    <row r="1853" spans="3:13" ht="12.75" customHeight="1" x14ac:dyDescent="0.25">
      <c r="C1853"/>
      <c r="M1853"/>
    </row>
    <row r="1854" spans="3:13" ht="12.75" customHeight="1" x14ac:dyDescent="0.25">
      <c r="C1854"/>
      <c r="M1854"/>
    </row>
    <row r="1855" spans="3:13" ht="12.75" customHeight="1" x14ac:dyDescent="0.25">
      <c r="C1855"/>
      <c r="M1855"/>
    </row>
    <row r="1856" spans="3:13" ht="12.75" customHeight="1" x14ac:dyDescent="0.25">
      <c r="C1856"/>
      <c r="M1856"/>
    </row>
    <row r="1857" spans="3:13" ht="12.75" customHeight="1" x14ac:dyDescent="0.25">
      <c r="C1857"/>
      <c r="M1857"/>
    </row>
    <row r="1858" spans="3:13" ht="12.75" customHeight="1" x14ac:dyDescent="0.25">
      <c r="C1858"/>
      <c r="M1858"/>
    </row>
    <row r="1859" spans="3:13" ht="12.75" customHeight="1" x14ac:dyDescent="0.25">
      <c r="C1859"/>
      <c r="M1859"/>
    </row>
    <row r="1860" spans="3:13" ht="12.75" customHeight="1" x14ac:dyDescent="0.25">
      <c r="C1860"/>
      <c r="M1860"/>
    </row>
    <row r="1861" spans="3:13" ht="12.75" customHeight="1" x14ac:dyDescent="0.25">
      <c r="C1861"/>
      <c r="M1861"/>
    </row>
    <row r="1862" spans="3:13" ht="12.75" customHeight="1" x14ac:dyDescent="0.25">
      <c r="C1862"/>
      <c r="M1862"/>
    </row>
    <row r="1863" spans="3:13" ht="12.75" customHeight="1" x14ac:dyDescent="0.25">
      <c r="C1863"/>
      <c r="M1863"/>
    </row>
    <row r="1864" spans="3:13" ht="12.75" customHeight="1" x14ac:dyDescent="0.25">
      <c r="C1864"/>
      <c r="M1864"/>
    </row>
    <row r="1865" spans="3:13" ht="12.75" customHeight="1" x14ac:dyDescent="0.25">
      <c r="C1865"/>
      <c r="M1865"/>
    </row>
    <row r="1866" spans="3:13" ht="12.75" customHeight="1" x14ac:dyDescent="0.25">
      <c r="C1866"/>
      <c r="M1866"/>
    </row>
    <row r="1867" spans="3:13" ht="12.75" customHeight="1" x14ac:dyDescent="0.25">
      <c r="C1867"/>
      <c r="M1867"/>
    </row>
    <row r="1868" spans="3:13" ht="12.75" customHeight="1" x14ac:dyDescent="0.25">
      <c r="C1868"/>
      <c r="M1868"/>
    </row>
    <row r="1869" spans="3:13" ht="12.75" customHeight="1" x14ac:dyDescent="0.25">
      <c r="C1869"/>
      <c r="M1869"/>
    </row>
    <row r="1870" spans="3:13" ht="12.75" customHeight="1" x14ac:dyDescent="0.25">
      <c r="C1870"/>
      <c r="M1870"/>
    </row>
    <row r="1871" spans="3:13" ht="12.75" customHeight="1" x14ac:dyDescent="0.25">
      <c r="C1871"/>
      <c r="M1871"/>
    </row>
    <row r="1872" spans="3:13" ht="12.75" customHeight="1" x14ac:dyDescent="0.25">
      <c r="C1872"/>
      <c r="M1872"/>
    </row>
    <row r="1873" spans="3:13" ht="12.75" customHeight="1" x14ac:dyDescent="0.25">
      <c r="C1873"/>
      <c r="M1873"/>
    </row>
    <row r="1874" spans="3:13" ht="12.75" customHeight="1" x14ac:dyDescent="0.25">
      <c r="C1874"/>
      <c r="M1874"/>
    </row>
    <row r="1875" spans="3:13" ht="12.75" customHeight="1" x14ac:dyDescent="0.25">
      <c r="C1875"/>
      <c r="M1875"/>
    </row>
    <row r="1876" spans="3:13" ht="12.75" customHeight="1" x14ac:dyDescent="0.25">
      <c r="C1876"/>
      <c r="M1876"/>
    </row>
    <row r="1877" spans="3:13" ht="12.75" customHeight="1" x14ac:dyDescent="0.25">
      <c r="C1877"/>
      <c r="M1877"/>
    </row>
    <row r="1878" spans="3:13" ht="12.75" customHeight="1" x14ac:dyDescent="0.25">
      <c r="C1878"/>
      <c r="M1878"/>
    </row>
    <row r="1879" spans="3:13" ht="12.75" customHeight="1" x14ac:dyDescent="0.25">
      <c r="C1879"/>
      <c r="M1879"/>
    </row>
    <row r="1880" spans="3:13" ht="12.75" customHeight="1" x14ac:dyDescent="0.25">
      <c r="C1880"/>
      <c r="M1880"/>
    </row>
    <row r="1881" spans="3:13" ht="12.75" customHeight="1" x14ac:dyDescent="0.25">
      <c r="C1881"/>
      <c r="M1881"/>
    </row>
    <row r="1882" spans="3:13" ht="12.75" customHeight="1" x14ac:dyDescent="0.25">
      <c r="C1882"/>
      <c r="M1882"/>
    </row>
    <row r="1883" spans="3:13" ht="12.75" customHeight="1" x14ac:dyDescent="0.25">
      <c r="C1883"/>
      <c r="M1883"/>
    </row>
    <row r="1884" spans="3:13" ht="12.75" customHeight="1" x14ac:dyDescent="0.25">
      <c r="C1884"/>
      <c r="M1884"/>
    </row>
    <row r="1885" spans="3:13" ht="12.75" customHeight="1" x14ac:dyDescent="0.25">
      <c r="C1885"/>
      <c r="M1885"/>
    </row>
    <row r="1886" spans="3:13" ht="12.75" customHeight="1" x14ac:dyDescent="0.25">
      <c r="C1886"/>
      <c r="M1886"/>
    </row>
    <row r="1887" spans="3:13" ht="12.75" customHeight="1" x14ac:dyDescent="0.25">
      <c r="C1887"/>
      <c r="M1887"/>
    </row>
    <row r="1888" spans="3:13" ht="12.75" customHeight="1" x14ac:dyDescent="0.25">
      <c r="C1888"/>
      <c r="M1888"/>
    </row>
    <row r="1889" spans="3:13" ht="12.75" customHeight="1" x14ac:dyDescent="0.25">
      <c r="C1889"/>
      <c r="M1889"/>
    </row>
    <row r="1890" spans="3:13" ht="12.75" customHeight="1" x14ac:dyDescent="0.25">
      <c r="C1890"/>
      <c r="M1890"/>
    </row>
    <row r="1891" spans="3:13" ht="12.75" customHeight="1" x14ac:dyDescent="0.25">
      <c r="C1891"/>
      <c r="M1891"/>
    </row>
    <row r="1892" spans="3:13" ht="12.75" customHeight="1" x14ac:dyDescent="0.25">
      <c r="C1892"/>
      <c r="M1892"/>
    </row>
    <row r="1893" spans="3:13" ht="12.75" customHeight="1" x14ac:dyDescent="0.25">
      <c r="C1893"/>
      <c r="M1893"/>
    </row>
    <row r="1894" spans="3:13" ht="12.75" customHeight="1" x14ac:dyDescent="0.25">
      <c r="C1894"/>
      <c r="M1894"/>
    </row>
    <row r="1895" spans="3:13" ht="12.75" customHeight="1" x14ac:dyDescent="0.25">
      <c r="C1895"/>
      <c r="M1895"/>
    </row>
    <row r="1896" spans="3:13" ht="12.75" customHeight="1" x14ac:dyDescent="0.25">
      <c r="C1896"/>
      <c r="M1896"/>
    </row>
    <row r="1897" spans="3:13" ht="12.75" customHeight="1" x14ac:dyDescent="0.25">
      <c r="C1897"/>
      <c r="M1897"/>
    </row>
    <row r="1898" spans="3:13" ht="12.75" customHeight="1" x14ac:dyDescent="0.25">
      <c r="C1898"/>
      <c r="M1898"/>
    </row>
    <row r="1899" spans="3:13" ht="12.75" customHeight="1" x14ac:dyDescent="0.25">
      <c r="C1899"/>
      <c r="M1899"/>
    </row>
    <row r="1900" spans="3:13" ht="12.75" customHeight="1" x14ac:dyDescent="0.25">
      <c r="C1900"/>
      <c r="M1900"/>
    </row>
    <row r="1901" spans="3:13" ht="12.75" customHeight="1" x14ac:dyDescent="0.25">
      <c r="C1901"/>
      <c r="M1901"/>
    </row>
    <row r="1902" spans="3:13" ht="12.75" customHeight="1" x14ac:dyDescent="0.25">
      <c r="C1902"/>
      <c r="M1902"/>
    </row>
    <row r="1903" spans="3:13" ht="12.75" customHeight="1" x14ac:dyDescent="0.25">
      <c r="C1903"/>
      <c r="M1903"/>
    </row>
    <row r="1904" spans="3:13" ht="12.75" customHeight="1" x14ac:dyDescent="0.25">
      <c r="C1904"/>
      <c r="M1904"/>
    </row>
    <row r="1905" spans="3:13" ht="12.75" customHeight="1" x14ac:dyDescent="0.25">
      <c r="C1905"/>
      <c r="M1905"/>
    </row>
    <row r="1906" spans="3:13" ht="12.75" customHeight="1" x14ac:dyDescent="0.25">
      <c r="C1906"/>
      <c r="M1906"/>
    </row>
    <row r="1907" spans="3:13" ht="12.75" customHeight="1" x14ac:dyDescent="0.25">
      <c r="C1907"/>
      <c r="M1907"/>
    </row>
    <row r="1908" spans="3:13" ht="12.75" customHeight="1" x14ac:dyDescent="0.25">
      <c r="C1908"/>
      <c r="M1908"/>
    </row>
    <row r="1909" spans="3:13" ht="12.75" customHeight="1" x14ac:dyDescent="0.25">
      <c r="C1909"/>
      <c r="M1909"/>
    </row>
    <row r="1910" spans="3:13" ht="12.75" customHeight="1" x14ac:dyDescent="0.25">
      <c r="C1910"/>
      <c r="M1910"/>
    </row>
    <row r="1911" spans="3:13" ht="12.75" customHeight="1" x14ac:dyDescent="0.25">
      <c r="C1911"/>
      <c r="M1911"/>
    </row>
    <row r="1912" spans="3:13" ht="12.75" customHeight="1" x14ac:dyDescent="0.25">
      <c r="C1912"/>
      <c r="M1912"/>
    </row>
    <row r="1913" spans="3:13" ht="12.75" customHeight="1" x14ac:dyDescent="0.25">
      <c r="C1913"/>
      <c r="M1913"/>
    </row>
    <row r="1914" spans="3:13" ht="12.75" customHeight="1" x14ac:dyDescent="0.25">
      <c r="C1914"/>
      <c r="M1914"/>
    </row>
    <row r="1915" spans="3:13" ht="12.75" customHeight="1" x14ac:dyDescent="0.25">
      <c r="C1915"/>
      <c r="M1915"/>
    </row>
    <row r="1916" spans="3:13" ht="12.75" customHeight="1" x14ac:dyDescent="0.25">
      <c r="C1916"/>
      <c r="M1916"/>
    </row>
    <row r="1917" spans="3:13" ht="12.75" customHeight="1" x14ac:dyDescent="0.25">
      <c r="C1917"/>
      <c r="M1917"/>
    </row>
    <row r="1918" spans="3:13" ht="12.75" customHeight="1" x14ac:dyDescent="0.25">
      <c r="C1918"/>
      <c r="M1918"/>
    </row>
    <row r="1919" spans="3:13" ht="12.75" customHeight="1" x14ac:dyDescent="0.25">
      <c r="C1919"/>
      <c r="M1919"/>
    </row>
    <row r="1920" spans="3:13" ht="12.75" customHeight="1" x14ac:dyDescent="0.25">
      <c r="C1920"/>
      <c r="M1920"/>
    </row>
    <row r="1921" spans="3:13" ht="12.75" customHeight="1" x14ac:dyDescent="0.25">
      <c r="C1921"/>
      <c r="M1921"/>
    </row>
    <row r="1922" spans="3:13" ht="12.75" customHeight="1" x14ac:dyDescent="0.25">
      <c r="C1922"/>
      <c r="M1922"/>
    </row>
    <row r="1923" spans="3:13" ht="12.75" customHeight="1" x14ac:dyDescent="0.25">
      <c r="C1923"/>
      <c r="M1923"/>
    </row>
    <row r="1924" spans="3:13" ht="12.75" customHeight="1" x14ac:dyDescent="0.25">
      <c r="C1924"/>
      <c r="M1924"/>
    </row>
    <row r="1925" spans="3:13" ht="12.75" customHeight="1" x14ac:dyDescent="0.25">
      <c r="C1925"/>
      <c r="M1925"/>
    </row>
    <row r="1926" spans="3:13" ht="12.75" customHeight="1" x14ac:dyDescent="0.25">
      <c r="C1926"/>
      <c r="M1926"/>
    </row>
    <row r="1927" spans="3:13" ht="12.75" customHeight="1" x14ac:dyDescent="0.25">
      <c r="C1927"/>
      <c r="M1927"/>
    </row>
    <row r="1928" spans="3:13" ht="12.75" customHeight="1" x14ac:dyDescent="0.25">
      <c r="C1928"/>
      <c r="M1928"/>
    </row>
    <row r="1929" spans="3:13" ht="12.75" customHeight="1" x14ac:dyDescent="0.25">
      <c r="C1929"/>
      <c r="M1929"/>
    </row>
    <row r="1930" spans="3:13" ht="12.75" customHeight="1" x14ac:dyDescent="0.25">
      <c r="C1930"/>
      <c r="M1930"/>
    </row>
    <row r="1931" spans="3:13" ht="12.75" customHeight="1" x14ac:dyDescent="0.25">
      <c r="C1931"/>
      <c r="M1931"/>
    </row>
    <row r="1932" spans="3:13" ht="12.75" customHeight="1" x14ac:dyDescent="0.25">
      <c r="C1932"/>
      <c r="M1932"/>
    </row>
    <row r="1933" spans="3:13" ht="12.75" customHeight="1" x14ac:dyDescent="0.25">
      <c r="C1933"/>
      <c r="M1933"/>
    </row>
    <row r="1934" spans="3:13" ht="12.75" customHeight="1" x14ac:dyDescent="0.25">
      <c r="C1934"/>
      <c r="M1934"/>
    </row>
    <row r="1935" spans="3:13" ht="12.75" customHeight="1" x14ac:dyDescent="0.25">
      <c r="C1935"/>
      <c r="M1935"/>
    </row>
    <row r="1936" spans="3:13" ht="12.75" customHeight="1" x14ac:dyDescent="0.25">
      <c r="C1936"/>
      <c r="M1936"/>
    </row>
    <row r="1937" spans="3:13" ht="12.75" customHeight="1" x14ac:dyDescent="0.25">
      <c r="C1937"/>
      <c r="M1937"/>
    </row>
    <row r="1938" spans="3:13" ht="12.75" customHeight="1" x14ac:dyDescent="0.25">
      <c r="C1938"/>
      <c r="M1938"/>
    </row>
    <row r="1939" spans="3:13" ht="12.75" customHeight="1" x14ac:dyDescent="0.25">
      <c r="C1939"/>
      <c r="M1939"/>
    </row>
    <row r="1940" spans="3:13" ht="12.75" customHeight="1" x14ac:dyDescent="0.25">
      <c r="C1940"/>
      <c r="M1940"/>
    </row>
    <row r="1941" spans="3:13" ht="12.75" customHeight="1" x14ac:dyDescent="0.25">
      <c r="C1941"/>
      <c r="M1941"/>
    </row>
    <row r="1942" spans="3:13" ht="12.75" customHeight="1" x14ac:dyDescent="0.25">
      <c r="C1942"/>
      <c r="M1942"/>
    </row>
    <row r="1943" spans="3:13" ht="12.75" customHeight="1" x14ac:dyDescent="0.25">
      <c r="C1943"/>
      <c r="M1943"/>
    </row>
    <row r="1944" spans="3:13" ht="12.75" customHeight="1" x14ac:dyDescent="0.25">
      <c r="C1944"/>
      <c r="M1944"/>
    </row>
    <row r="1945" spans="3:13" ht="12.75" customHeight="1" x14ac:dyDescent="0.25">
      <c r="C1945"/>
      <c r="M1945"/>
    </row>
    <row r="1946" spans="3:13" ht="12.75" customHeight="1" x14ac:dyDescent="0.25">
      <c r="C1946"/>
      <c r="M1946"/>
    </row>
    <row r="1947" spans="3:13" ht="12.75" customHeight="1" x14ac:dyDescent="0.25">
      <c r="C1947"/>
      <c r="M1947"/>
    </row>
    <row r="1948" spans="3:13" ht="12.75" customHeight="1" x14ac:dyDescent="0.25">
      <c r="C1948"/>
      <c r="M1948"/>
    </row>
    <row r="1949" spans="3:13" ht="12.75" customHeight="1" x14ac:dyDescent="0.25">
      <c r="C1949"/>
      <c r="M1949"/>
    </row>
    <row r="1950" spans="3:13" ht="12.75" customHeight="1" x14ac:dyDescent="0.25">
      <c r="C1950"/>
      <c r="M1950"/>
    </row>
    <row r="1951" spans="3:13" ht="12.75" customHeight="1" x14ac:dyDescent="0.25">
      <c r="C1951"/>
      <c r="M1951"/>
    </row>
    <row r="1952" spans="3:13" ht="12.75" customHeight="1" x14ac:dyDescent="0.25">
      <c r="C1952"/>
      <c r="M1952"/>
    </row>
    <row r="1953" spans="3:13" ht="12.75" customHeight="1" x14ac:dyDescent="0.25">
      <c r="C1953"/>
      <c r="M1953"/>
    </row>
    <row r="1954" spans="3:13" ht="12.75" customHeight="1" x14ac:dyDescent="0.25">
      <c r="C1954"/>
      <c r="M1954"/>
    </row>
    <row r="1955" spans="3:13" ht="12.75" customHeight="1" x14ac:dyDescent="0.25">
      <c r="C1955"/>
      <c r="M1955"/>
    </row>
    <row r="1956" spans="3:13" ht="12.75" customHeight="1" x14ac:dyDescent="0.25">
      <c r="C1956"/>
      <c r="M1956"/>
    </row>
    <row r="1957" spans="3:13" ht="12.75" customHeight="1" x14ac:dyDescent="0.25">
      <c r="C1957"/>
      <c r="M1957"/>
    </row>
    <row r="1958" spans="3:13" ht="12.75" customHeight="1" x14ac:dyDescent="0.25">
      <c r="C1958"/>
      <c r="M1958"/>
    </row>
    <row r="1959" spans="3:13" ht="12.75" customHeight="1" x14ac:dyDescent="0.25">
      <c r="C1959"/>
      <c r="M1959"/>
    </row>
    <row r="1960" spans="3:13" ht="12.75" customHeight="1" x14ac:dyDescent="0.25">
      <c r="C1960"/>
      <c r="M1960"/>
    </row>
    <row r="1961" spans="3:13" ht="12.75" customHeight="1" x14ac:dyDescent="0.25">
      <c r="C1961"/>
      <c r="M1961"/>
    </row>
    <row r="1962" spans="3:13" ht="12.75" customHeight="1" x14ac:dyDescent="0.25">
      <c r="C1962"/>
      <c r="M1962"/>
    </row>
    <row r="1963" spans="3:13" ht="12.75" customHeight="1" x14ac:dyDescent="0.25">
      <c r="C1963"/>
      <c r="M1963"/>
    </row>
    <row r="1964" spans="3:13" ht="12.75" customHeight="1" x14ac:dyDescent="0.25">
      <c r="C1964"/>
      <c r="M1964"/>
    </row>
    <row r="1965" spans="3:13" ht="12.75" customHeight="1" x14ac:dyDescent="0.25">
      <c r="C1965"/>
      <c r="M1965"/>
    </row>
    <row r="1966" spans="3:13" ht="12.75" customHeight="1" x14ac:dyDescent="0.25">
      <c r="C1966"/>
      <c r="M1966"/>
    </row>
    <row r="1967" spans="3:13" ht="12.75" customHeight="1" x14ac:dyDescent="0.25">
      <c r="C1967"/>
      <c r="M1967"/>
    </row>
    <row r="1968" spans="3:13" ht="12.75" customHeight="1" x14ac:dyDescent="0.25">
      <c r="C1968"/>
      <c r="M1968"/>
    </row>
    <row r="1969" spans="3:13" ht="12.75" customHeight="1" x14ac:dyDescent="0.25">
      <c r="C1969"/>
      <c r="M1969"/>
    </row>
    <row r="1970" spans="3:13" ht="12.75" customHeight="1" x14ac:dyDescent="0.25">
      <c r="C1970"/>
      <c r="M1970"/>
    </row>
    <row r="1971" spans="3:13" ht="12.75" customHeight="1" x14ac:dyDescent="0.25">
      <c r="C1971"/>
      <c r="M1971"/>
    </row>
    <row r="1972" spans="3:13" ht="12.75" customHeight="1" x14ac:dyDescent="0.25">
      <c r="C1972"/>
      <c r="M1972"/>
    </row>
    <row r="1973" spans="3:13" ht="12.75" customHeight="1" x14ac:dyDescent="0.25">
      <c r="C1973"/>
      <c r="M1973"/>
    </row>
    <row r="1974" spans="3:13" ht="12.75" customHeight="1" x14ac:dyDescent="0.25">
      <c r="C1974"/>
      <c r="M1974"/>
    </row>
    <row r="1975" spans="3:13" ht="12.75" customHeight="1" x14ac:dyDescent="0.25">
      <c r="C1975"/>
      <c r="M1975"/>
    </row>
    <row r="1976" spans="3:13" ht="12.75" customHeight="1" x14ac:dyDescent="0.25">
      <c r="C1976"/>
      <c r="M1976"/>
    </row>
    <row r="1977" spans="3:13" ht="12.75" customHeight="1" x14ac:dyDescent="0.25">
      <c r="C1977"/>
      <c r="M1977"/>
    </row>
    <row r="1978" spans="3:13" ht="12.75" customHeight="1" x14ac:dyDescent="0.25">
      <c r="C1978"/>
      <c r="M1978"/>
    </row>
    <row r="1979" spans="3:13" ht="12.75" customHeight="1" x14ac:dyDescent="0.25">
      <c r="C1979"/>
      <c r="M1979"/>
    </row>
    <row r="1980" spans="3:13" ht="12.75" customHeight="1" x14ac:dyDescent="0.25">
      <c r="C1980"/>
      <c r="M1980"/>
    </row>
    <row r="1981" spans="3:13" ht="12.75" customHeight="1" x14ac:dyDescent="0.25">
      <c r="C1981"/>
      <c r="M1981"/>
    </row>
    <row r="1982" spans="3:13" ht="12.75" customHeight="1" x14ac:dyDescent="0.25">
      <c r="C1982"/>
      <c r="M1982"/>
    </row>
    <row r="1983" spans="3:13" ht="12.75" customHeight="1" x14ac:dyDescent="0.25">
      <c r="C1983"/>
      <c r="M1983"/>
    </row>
    <row r="1984" spans="3:13" ht="12.75" customHeight="1" x14ac:dyDescent="0.25">
      <c r="C1984"/>
      <c r="M1984"/>
    </row>
    <row r="1985" spans="3:13" ht="12.75" customHeight="1" x14ac:dyDescent="0.25">
      <c r="C1985"/>
      <c r="M1985"/>
    </row>
    <row r="1986" spans="3:13" ht="12.75" customHeight="1" x14ac:dyDescent="0.25">
      <c r="C1986"/>
      <c r="M1986"/>
    </row>
    <row r="1987" spans="3:13" ht="12.75" customHeight="1" x14ac:dyDescent="0.25">
      <c r="C1987"/>
      <c r="M1987"/>
    </row>
    <row r="1988" spans="3:13" ht="12.75" customHeight="1" x14ac:dyDescent="0.25">
      <c r="C1988"/>
      <c r="M1988"/>
    </row>
    <row r="1989" spans="3:13" ht="12.75" customHeight="1" x14ac:dyDescent="0.25">
      <c r="C1989"/>
      <c r="M1989"/>
    </row>
    <row r="1990" spans="3:13" ht="12.75" customHeight="1" x14ac:dyDescent="0.25">
      <c r="C1990"/>
      <c r="M1990"/>
    </row>
    <row r="1991" spans="3:13" ht="12.75" customHeight="1" x14ac:dyDescent="0.25">
      <c r="C1991"/>
      <c r="M1991"/>
    </row>
    <row r="1992" spans="3:13" ht="12.75" customHeight="1" x14ac:dyDescent="0.25">
      <c r="C1992"/>
      <c r="M1992"/>
    </row>
    <row r="1993" spans="3:13" ht="12.75" customHeight="1" x14ac:dyDescent="0.25">
      <c r="C1993"/>
      <c r="M1993"/>
    </row>
    <row r="1994" spans="3:13" ht="12.75" customHeight="1" x14ac:dyDescent="0.25">
      <c r="C1994"/>
      <c r="M1994"/>
    </row>
    <row r="1995" spans="3:13" ht="12.75" customHeight="1" x14ac:dyDescent="0.25">
      <c r="C1995"/>
      <c r="M1995"/>
    </row>
    <row r="1996" spans="3:13" ht="12.75" customHeight="1" x14ac:dyDescent="0.25">
      <c r="C1996"/>
      <c r="M1996"/>
    </row>
    <row r="1997" spans="3:13" ht="12.75" customHeight="1" x14ac:dyDescent="0.25">
      <c r="C1997"/>
      <c r="M1997"/>
    </row>
    <row r="1998" spans="3:13" ht="12.75" customHeight="1" x14ac:dyDescent="0.25">
      <c r="C1998"/>
      <c r="M1998"/>
    </row>
    <row r="1999" spans="3:13" ht="12.75" customHeight="1" x14ac:dyDescent="0.25">
      <c r="C1999"/>
      <c r="M1999"/>
    </row>
    <row r="2000" spans="3:13" ht="12.75" customHeight="1" x14ac:dyDescent="0.25">
      <c r="C2000"/>
      <c r="M2000"/>
    </row>
    <row r="2001" spans="3:13" ht="12.75" customHeight="1" x14ac:dyDescent="0.25">
      <c r="C2001"/>
      <c r="M2001"/>
    </row>
    <row r="2002" spans="3:13" ht="12.75" customHeight="1" x14ac:dyDescent="0.25">
      <c r="C2002"/>
      <c r="M2002"/>
    </row>
    <row r="2003" spans="3:13" ht="12.75" customHeight="1" x14ac:dyDescent="0.25">
      <c r="C2003"/>
      <c r="M2003"/>
    </row>
    <row r="2004" spans="3:13" ht="12.75" customHeight="1" x14ac:dyDescent="0.25">
      <c r="C2004"/>
      <c r="M2004"/>
    </row>
    <row r="2005" spans="3:13" ht="12.75" customHeight="1" x14ac:dyDescent="0.25">
      <c r="C2005"/>
      <c r="M2005"/>
    </row>
    <row r="2006" spans="3:13" ht="12.75" customHeight="1" x14ac:dyDescent="0.25">
      <c r="C2006"/>
      <c r="M2006"/>
    </row>
    <row r="2007" spans="3:13" ht="12.75" customHeight="1" x14ac:dyDescent="0.25">
      <c r="C2007"/>
      <c r="M2007"/>
    </row>
    <row r="2008" spans="3:13" ht="12.75" customHeight="1" x14ac:dyDescent="0.25">
      <c r="C2008"/>
      <c r="M2008"/>
    </row>
    <row r="2009" spans="3:13" ht="12.75" customHeight="1" x14ac:dyDescent="0.25">
      <c r="C2009"/>
      <c r="M2009"/>
    </row>
    <row r="2010" spans="3:13" ht="12.75" customHeight="1" x14ac:dyDescent="0.25">
      <c r="C2010"/>
      <c r="M2010"/>
    </row>
    <row r="2011" spans="3:13" ht="12.75" customHeight="1" x14ac:dyDescent="0.25">
      <c r="C2011"/>
      <c r="M2011"/>
    </row>
    <row r="2012" spans="3:13" ht="12.75" customHeight="1" x14ac:dyDescent="0.25">
      <c r="C2012"/>
      <c r="M2012"/>
    </row>
    <row r="2013" spans="3:13" ht="12.75" customHeight="1" x14ac:dyDescent="0.25">
      <c r="C2013"/>
      <c r="M2013"/>
    </row>
    <row r="2014" spans="3:13" ht="12.75" customHeight="1" x14ac:dyDescent="0.25">
      <c r="C2014"/>
      <c r="M2014"/>
    </row>
    <row r="2015" spans="3:13" ht="12.75" customHeight="1" x14ac:dyDescent="0.25">
      <c r="C2015"/>
      <c r="M2015"/>
    </row>
    <row r="2016" spans="3:13" ht="12.75" customHeight="1" x14ac:dyDescent="0.25">
      <c r="C2016"/>
      <c r="M2016"/>
    </row>
    <row r="2017" spans="3:13" ht="12.75" customHeight="1" x14ac:dyDescent="0.25">
      <c r="C2017"/>
      <c r="M2017"/>
    </row>
    <row r="2018" spans="3:13" ht="12.75" customHeight="1" x14ac:dyDescent="0.25">
      <c r="C2018"/>
      <c r="M2018"/>
    </row>
    <row r="2019" spans="3:13" ht="12.75" customHeight="1" x14ac:dyDescent="0.25">
      <c r="C2019"/>
      <c r="M2019"/>
    </row>
    <row r="2020" spans="3:13" ht="12.75" customHeight="1" x14ac:dyDescent="0.25">
      <c r="C2020"/>
      <c r="M2020"/>
    </row>
    <row r="2021" spans="3:13" ht="12.75" customHeight="1" x14ac:dyDescent="0.25">
      <c r="C2021"/>
      <c r="M2021"/>
    </row>
    <row r="2022" spans="3:13" ht="12.75" customHeight="1" x14ac:dyDescent="0.25">
      <c r="C2022"/>
      <c r="M2022"/>
    </row>
    <row r="2023" spans="3:13" ht="12.75" customHeight="1" x14ac:dyDescent="0.25">
      <c r="C2023"/>
      <c r="M2023"/>
    </row>
    <row r="2024" spans="3:13" ht="12.75" customHeight="1" x14ac:dyDescent="0.25">
      <c r="C2024"/>
      <c r="M2024"/>
    </row>
    <row r="2025" spans="3:13" ht="12.75" customHeight="1" x14ac:dyDescent="0.25">
      <c r="C2025"/>
      <c r="M2025"/>
    </row>
    <row r="2026" spans="3:13" ht="12.75" customHeight="1" x14ac:dyDescent="0.25">
      <c r="C2026"/>
      <c r="M2026"/>
    </row>
    <row r="2027" spans="3:13" ht="12.75" customHeight="1" x14ac:dyDescent="0.25">
      <c r="C2027"/>
      <c r="M2027"/>
    </row>
    <row r="2028" spans="3:13" ht="12.75" customHeight="1" x14ac:dyDescent="0.25">
      <c r="C2028"/>
      <c r="M2028"/>
    </row>
    <row r="2029" spans="3:13" ht="12.75" customHeight="1" x14ac:dyDescent="0.25">
      <c r="C2029"/>
      <c r="M2029"/>
    </row>
    <row r="2030" spans="3:13" ht="12.75" customHeight="1" x14ac:dyDescent="0.25">
      <c r="C2030"/>
      <c r="M2030"/>
    </row>
    <row r="2031" spans="3:13" ht="12.75" customHeight="1" x14ac:dyDescent="0.25">
      <c r="C2031"/>
      <c r="M2031"/>
    </row>
    <row r="2032" spans="3:13" ht="12.75" customHeight="1" x14ac:dyDescent="0.25">
      <c r="C2032"/>
      <c r="M2032"/>
    </row>
    <row r="2033" spans="3:13" ht="12.75" customHeight="1" x14ac:dyDescent="0.25">
      <c r="C2033"/>
      <c r="M2033"/>
    </row>
    <row r="2034" spans="3:13" ht="12.75" customHeight="1" x14ac:dyDescent="0.25">
      <c r="C2034"/>
      <c r="M2034"/>
    </row>
    <row r="2035" spans="3:13" ht="12.75" customHeight="1" x14ac:dyDescent="0.25">
      <c r="C2035"/>
      <c r="M2035"/>
    </row>
    <row r="2036" spans="3:13" ht="12.75" customHeight="1" x14ac:dyDescent="0.25">
      <c r="C2036"/>
      <c r="M2036"/>
    </row>
    <row r="2037" spans="3:13" ht="12.75" customHeight="1" x14ac:dyDescent="0.25">
      <c r="C2037"/>
      <c r="M2037"/>
    </row>
    <row r="2038" spans="3:13" ht="12.75" customHeight="1" x14ac:dyDescent="0.25">
      <c r="C2038"/>
      <c r="M2038"/>
    </row>
    <row r="2039" spans="3:13" ht="12.75" customHeight="1" x14ac:dyDescent="0.25">
      <c r="C2039"/>
      <c r="M2039"/>
    </row>
    <row r="2040" spans="3:13" ht="12.75" customHeight="1" x14ac:dyDescent="0.25">
      <c r="C2040"/>
      <c r="M2040"/>
    </row>
    <row r="2041" spans="3:13" ht="12.75" customHeight="1" x14ac:dyDescent="0.25">
      <c r="C2041"/>
      <c r="M2041"/>
    </row>
    <row r="2042" spans="3:13" ht="12.75" customHeight="1" x14ac:dyDescent="0.25">
      <c r="C2042"/>
      <c r="M2042"/>
    </row>
    <row r="2043" spans="3:13" ht="12.75" customHeight="1" x14ac:dyDescent="0.25">
      <c r="C2043"/>
      <c r="M2043"/>
    </row>
    <row r="2044" spans="3:13" ht="12.75" customHeight="1" x14ac:dyDescent="0.25">
      <c r="C2044"/>
      <c r="M2044"/>
    </row>
    <row r="2045" spans="3:13" ht="12.75" customHeight="1" x14ac:dyDescent="0.25">
      <c r="C2045"/>
      <c r="M2045"/>
    </row>
    <row r="2046" spans="3:13" ht="12.75" customHeight="1" x14ac:dyDescent="0.25">
      <c r="C2046"/>
      <c r="M2046"/>
    </row>
    <row r="2047" spans="3:13" ht="12.75" customHeight="1" x14ac:dyDescent="0.25">
      <c r="C2047"/>
      <c r="M2047"/>
    </row>
    <row r="2048" spans="3:13" ht="12.75" customHeight="1" x14ac:dyDescent="0.25">
      <c r="C2048"/>
      <c r="M2048"/>
    </row>
    <row r="2049" spans="3:13" ht="12.75" customHeight="1" x14ac:dyDescent="0.25">
      <c r="C2049"/>
      <c r="M2049"/>
    </row>
    <row r="2050" spans="3:13" ht="12.75" customHeight="1" x14ac:dyDescent="0.25">
      <c r="C2050"/>
      <c r="M2050"/>
    </row>
    <row r="2051" spans="3:13" ht="12.75" customHeight="1" x14ac:dyDescent="0.25">
      <c r="C2051"/>
      <c r="M2051"/>
    </row>
    <row r="2052" spans="3:13" ht="12.75" customHeight="1" x14ac:dyDescent="0.25">
      <c r="C2052"/>
      <c r="M2052"/>
    </row>
    <row r="2053" spans="3:13" ht="12.75" customHeight="1" x14ac:dyDescent="0.25">
      <c r="C2053"/>
      <c r="M2053"/>
    </row>
    <row r="2054" spans="3:13" ht="12.75" customHeight="1" x14ac:dyDescent="0.25">
      <c r="C2054"/>
      <c r="M2054"/>
    </row>
    <row r="2055" spans="3:13" ht="12.75" customHeight="1" x14ac:dyDescent="0.25">
      <c r="C2055"/>
      <c r="M2055"/>
    </row>
    <row r="2056" spans="3:13" ht="12.75" customHeight="1" x14ac:dyDescent="0.25">
      <c r="C2056"/>
      <c r="M2056"/>
    </row>
    <row r="2057" spans="3:13" ht="12.75" customHeight="1" x14ac:dyDescent="0.25">
      <c r="C2057"/>
      <c r="M2057"/>
    </row>
    <row r="2058" spans="3:13" ht="12.75" customHeight="1" x14ac:dyDescent="0.25">
      <c r="C2058"/>
      <c r="M2058"/>
    </row>
    <row r="2059" spans="3:13" ht="12.75" customHeight="1" x14ac:dyDescent="0.25">
      <c r="C2059"/>
      <c r="M2059"/>
    </row>
    <row r="2060" spans="3:13" ht="12.75" customHeight="1" x14ac:dyDescent="0.25">
      <c r="C2060"/>
      <c r="M2060"/>
    </row>
    <row r="2061" spans="3:13" ht="12.75" customHeight="1" x14ac:dyDescent="0.25">
      <c r="C2061"/>
      <c r="M2061"/>
    </row>
    <row r="2062" spans="3:13" ht="12.75" customHeight="1" x14ac:dyDescent="0.25">
      <c r="C2062"/>
      <c r="M2062"/>
    </row>
    <row r="2063" spans="3:13" ht="12.75" customHeight="1" x14ac:dyDescent="0.25">
      <c r="C2063"/>
      <c r="M2063"/>
    </row>
    <row r="2064" spans="3:13" ht="12.75" customHeight="1" x14ac:dyDescent="0.25">
      <c r="C2064"/>
      <c r="M2064"/>
    </row>
    <row r="2065" spans="3:13" ht="12.75" customHeight="1" x14ac:dyDescent="0.25">
      <c r="C2065"/>
      <c r="M2065"/>
    </row>
    <row r="2066" spans="3:13" ht="12.75" customHeight="1" x14ac:dyDescent="0.25">
      <c r="C2066"/>
      <c r="M2066"/>
    </row>
    <row r="2067" spans="3:13" ht="12.75" customHeight="1" x14ac:dyDescent="0.25">
      <c r="C2067"/>
      <c r="M2067"/>
    </row>
    <row r="2068" spans="3:13" ht="12.75" customHeight="1" x14ac:dyDescent="0.25">
      <c r="C2068"/>
      <c r="M2068"/>
    </row>
    <row r="2069" spans="3:13" ht="12.75" customHeight="1" x14ac:dyDescent="0.25">
      <c r="C2069"/>
      <c r="M2069"/>
    </row>
    <row r="2070" spans="3:13" ht="12.75" customHeight="1" x14ac:dyDescent="0.25">
      <c r="C2070"/>
      <c r="M2070"/>
    </row>
    <row r="2071" spans="3:13" ht="12.75" customHeight="1" x14ac:dyDescent="0.25">
      <c r="C2071"/>
      <c r="M2071"/>
    </row>
    <row r="2072" spans="3:13" ht="12.75" customHeight="1" x14ac:dyDescent="0.25">
      <c r="C2072"/>
      <c r="M2072"/>
    </row>
    <row r="2073" spans="3:13" ht="12.75" customHeight="1" x14ac:dyDescent="0.25">
      <c r="C2073"/>
      <c r="M2073"/>
    </row>
    <row r="2074" spans="3:13" ht="12.75" customHeight="1" x14ac:dyDescent="0.25">
      <c r="C2074"/>
      <c r="M2074"/>
    </row>
    <row r="2075" spans="3:13" ht="12.75" customHeight="1" x14ac:dyDescent="0.25">
      <c r="C2075"/>
      <c r="M2075"/>
    </row>
    <row r="2076" spans="3:13" ht="12.75" customHeight="1" x14ac:dyDescent="0.25">
      <c r="C2076"/>
      <c r="M2076"/>
    </row>
    <row r="2077" spans="3:13" ht="12.75" customHeight="1" x14ac:dyDescent="0.25">
      <c r="C2077"/>
      <c r="M2077"/>
    </row>
    <row r="2078" spans="3:13" ht="12.75" customHeight="1" x14ac:dyDescent="0.25">
      <c r="C2078"/>
      <c r="M2078"/>
    </row>
    <row r="2079" spans="3:13" ht="12.75" customHeight="1" x14ac:dyDescent="0.25">
      <c r="C2079"/>
      <c r="M2079"/>
    </row>
    <row r="2080" spans="3:13" ht="12.75" customHeight="1" x14ac:dyDescent="0.25">
      <c r="C2080"/>
      <c r="M2080"/>
    </row>
    <row r="2081" spans="3:13" ht="12.75" customHeight="1" x14ac:dyDescent="0.25">
      <c r="C2081"/>
      <c r="M2081"/>
    </row>
    <row r="2082" spans="3:13" ht="12.75" customHeight="1" x14ac:dyDescent="0.25">
      <c r="C2082"/>
      <c r="M2082"/>
    </row>
    <row r="2083" spans="3:13" ht="12.75" customHeight="1" x14ac:dyDescent="0.25">
      <c r="C2083"/>
      <c r="M2083"/>
    </row>
    <row r="2084" spans="3:13" ht="12.75" customHeight="1" x14ac:dyDescent="0.25">
      <c r="C2084"/>
      <c r="M2084"/>
    </row>
    <row r="2085" spans="3:13" ht="12.75" customHeight="1" x14ac:dyDescent="0.25">
      <c r="C2085"/>
      <c r="M2085"/>
    </row>
    <row r="2086" spans="3:13" ht="12.75" customHeight="1" x14ac:dyDescent="0.25">
      <c r="C2086"/>
      <c r="M2086"/>
    </row>
    <row r="2087" spans="3:13" ht="12.75" customHeight="1" x14ac:dyDescent="0.25">
      <c r="C2087"/>
      <c r="M2087"/>
    </row>
    <row r="2088" spans="3:13" ht="12.75" customHeight="1" x14ac:dyDescent="0.25">
      <c r="C2088"/>
      <c r="M2088"/>
    </row>
    <row r="2089" spans="3:13" ht="12.75" customHeight="1" x14ac:dyDescent="0.25">
      <c r="C2089"/>
      <c r="M2089"/>
    </row>
    <row r="2090" spans="3:13" ht="12.75" customHeight="1" x14ac:dyDescent="0.25">
      <c r="C2090"/>
      <c r="M2090"/>
    </row>
    <row r="2091" spans="3:13" ht="12.75" customHeight="1" x14ac:dyDescent="0.25">
      <c r="C2091"/>
      <c r="M2091"/>
    </row>
    <row r="2092" spans="3:13" ht="12.75" customHeight="1" x14ac:dyDescent="0.25">
      <c r="C2092"/>
      <c r="M2092"/>
    </row>
    <row r="2093" spans="3:13" ht="12.75" customHeight="1" x14ac:dyDescent="0.25">
      <c r="C2093"/>
      <c r="M2093"/>
    </row>
    <row r="2094" spans="3:13" ht="12.75" customHeight="1" x14ac:dyDescent="0.25">
      <c r="C2094"/>
      <c r="M2094"/>
    </row>
    <row r="2095" spans="3:13" ht="12.75" customHeight="1" x14ac:dyDescent="0.25">
      <c r="C2095"/>
      <c r="M2095"/>
    </row>
    <row r="2096" spans="3:13" ht="12.75" customHeight="1" x14ac:dyDescent="0.25">
      <c r="C2096"/>
      <c r="M2096"/>
    </row>
    <row r="2097" spans="3:13" ht="12.75" customHeight="1" x14ac:dyDescent="0.25">
      <c r="C2097"/>
      <c r="M2097"/>
    </row>
    <row r="2098" spans="3:13" ht="12.75" customHeight="1" x14ac:dyDescent="0.25">
      <c r="C2098"/>
      <c r="M2098"/>
    </row>
    <row r="2099" spans="3:13" ht="12.75" customHeight="1" x14ac:dyDescent="0.25">
      <c r="C2099"/>
      <c r="M2099"/>
    </row>
    <row r="2100" spans="3:13" ht="12.75" customHeight="1" x14ac:dyDescent="0.25">
      <c r="C2100"/>
      <c r="M2100"/>
    </row>
    <row r="2101" spans="3:13" ht="12.75" customHeight="1" x14ac:dyDescent="0.25">
      <c r="C2101"/>
      <c r="M2101"/>
    </row>
    <row r="2102" spans="3:13" ht="12.75" customHeight="1" x14ac:dyDescent="0.25">
      <c r="C2102"/>
      <c r="M2102"/>
    </row>
    <row r="2103" spans="3:13" ht="12.75" customHeight="1" x14ac:dyDescent="0.25">
      <c r="C2103"/>
      <c r="M2103"/>
    </row>
    <row r="2104" spans="3:13" ht="12.75" customHeight="1" x14ac:dyDescent="0.25">
      <c r="C2104"/>
      <c r="M2104"/>
    </row>
    <row r="2105" spans="3:13" ht="12.75" customHeight="1" x14ac:dyDescent="0.25">
      <c r="C2105"/>
      <c r="M2105"/>
    </row>
    <row r="2106" spans="3:13" ht="12.75" customHeight="1" x14ac:dyDescent="0.25">
      <c r="C2106"/>
      <c r="M2106"/>
    </row>
    <row r="2107" spans="3:13" ht="12.75" customHeight="1" x14ac:dyDescent="0.25">
      <c r="C2107"/>
      <c r="M2107"/>
    </row>
    <row r="2108" spans="3:13" ht="12.75" customHeight="1" x14ac:dyDescent="0.25">
      <c r="C2108"/>
      <c r="M2108"/>
    </row>
    <row r="2109" spans="3:13" ht="12.75" customHeight="1" x14ac:dyDescent="0.25">
      <c r="C2109"/>
      <c r="M2109"/>
    </row>
    <row r="2110" spans="3:13" ht="12.75" customHeight="1" x14ac:dyDescent="0.25">
      <c r="C2110"/>
      <c r="M2110"/>
    </row>
    <row r="2111" spans="3:13" ht="12.75" customHeight="1" x14ac:dyDescent="0.25">
      <c r="C2111"/>
      <c r="M2111"/>
    </row>
    <row r="2112" spans="3:13" ht="12.75" customHeight="1" x14ac:dyDescent="0.25">
      <c r="C2112"/>
      <c r="M2112"/>
    </row>
    <row r="2113" spans="3:13" ht="12.75" customHeight="1" x14ac:dyDescent="0.25">
      <c r="C2113"/>
      <c r="M2113"/>
    </row>
    <row r="2114" spans="3:13" ht="12.75" customHeight="1" x14ac:dyDescent="0.25">
      <c r="C2114"/>
      <c r="M2114"/>
    </row>
    <row r="2115" spans="3:13" ht="12.75" customHeight="1" x14ac:dyDescent="0.25">
      <c r="C2115"/>
      <c r="M2115"/>
    </row>
    <row r="2116" spans="3:13" ht="12.75" customHeight="1" x14ac:dyDescent="0.25">
      <c r="C2116"/>
      <c r="M2116"/>
    </row>
    <row r="2117" spans="3:13" ht="12.75" customHeight="1" x14ac:dyDescent="0.25">
      <c r="C2117"/>
      <c r="M2117"/>
    </row>
    <row r="2118" spans="3:13" ht="12.75" customHeight="1" x14ac:dyDescent="0.25">
      <c r="C2118"/>
      <c r="M2118"/>
    </row>
    <row r="2119" spans="3:13" ht="12.75" customHeight="1" x14ac:dyDescent="0.25">
      <c r="C2119"/>
      <c r="M2119"/>
    </row>
    <row r="2120" spans="3:13" ht="12.75" customHeight="1" x14ac:dyDescent="0.25">
      <c r="C2120"/>
      <c r="M2120"/>
    </row>
    <row r="2121" spans="3:13" ht="12.75" customHeight="1" x14ac:dyDescent="0.25">
      <c r="C2121"/>
      <c r="M2121"/>
    </row>
    <row r="2122" spans="3:13" ht="12.75" customHeight="1" x14ac:dyDescent="0.25">
      <c r="C2122"/>
      <c r="M2122"/>
    </row>
    <row r="2123" spans="3:13" ht="12.75" customHeight="1" x14ac:dyDescent="0.25">
      <c r="C2123"/>
      <c r="M2123"/>
    </row>
    <row r="2124" spans="3:13" ht="12.75" customHeight="1" x14ac:dyDescent="0.25">
      <c r="C2124"/>
      <c r="M2124"/>
    </row>
    <row r="2125" spans="3:13" ht="12.75" customHeight="1" x14ac:dyDescent="0.25">
      <c r="C2125"/>
      <c r="M2125"/>
    </row>
    <row r="2126" spans="3:13" ht="12.75" customHeight="1" x14ac:dyDescent="0.25">
      <c r="C2126"/>
      <c r="M2126"/>
    </row>
    <row r="2127" spans="3:13" ht="12.75" customHeight="1" x14ac:dyDescent="0.25">
      <c r="C2127"/>
      <c r="M2127"/>
    </row>
    <row r="2128" spans="3:13" ht="12.75" customHeight="1" x14ac:dyDescent="0.25">
      <c r="C2128"/>
      <c r="M2128"/>
    </row>
    <row r="2129" spans="3:13" ht="12.75" customHeight="1" x14ac:dyDescent="0.25">
      <c r="C2129"/>
      <c r="M2129"/>
    </row>
    <row r="2130" spans="3:13" ht="12.75" customHeight="1" x14ac:dyDescent="0.25">
      <c r="C2130"/>
      <c r="M2130"/>
    </row>
    <row r="2131" spans="3:13" ht="12.75" customHeight="1" x14ac:dyDescent="0.25">
      <c r="C2131"/>
      <c r="M2131"/>
    </row>
    <row r="2132" spans="3:13" ht="12.75" customHeight="1" x14ac:dyDescent="0.25">
      <c r="C2132"/>
      <c r="M2132"/>
    </row>
    <row r="2133" spans="3:13" ht="12.75" customHeight="1" x14ac:dyDescent="0.25">
      <c r="C2133"/>
      <c r="M2133"/>
    </row>
    <row r="2134" spans="3:13" ht="12.75" customHeight="1" x14ac:dyDescent="0.25">
      <c r="C2134"/>
      <c r="M2134"/>
    </row>
    <row r="2135" spans="3:13" ht="12.75" customHeight="1" x14ac:dyDescent="0.25">
      <c r="C2135"/>
      <c r="M2135"/>
    </row>
    <row r="2136" spans="3:13" ht="12.75" customHeight="1" x14ac:dyDescent="0.25">
      <c r="C2136"/>
      <c r="M2136"/>
    </row>
    <row r="2137" spans="3:13" ht="12.75" customHeight="1" x14ac:dyDescent="0.25">
      <c r="C2137"/>
      <c r="M2137"/>
    </row>
    <row r="2138" spans="3:13" ht="12.75" customHeight="1" x14ac:dyDescent="0.25">
      <c r="C2138"/>
      <c r="M2138"/>
    </row>
    <row r="2139" spans="3:13" ht="12.75" customHeight="1" x14ac:dyDescent="0.25">
      <c r="C2139"/>
      <c r="M2139"/>
    </row>
    <row r="2140" spans="3:13" ht="12.75" customHeight="1" x14ac:dyDescent="0.25">
      <c r="C2140"/>
      <c r="M2140"/>
    </row>
    <row r="2141" spans="3:13" ht="12.75" customHeight="1" x14ac:dyDescent="0.25">
      <c r="C2141"/>
      <c r="M2141"/>
    </row>
    <row r="2142" spans="3:13" ht="12.75" customHeight="1" x14ac:dyDescent="0.25">
      <c r="C2142"/>
      <c r="M2142"/>
    </row>
    <row r="2143" spans="3:13" ht="12.75" customHeight="1" x14ac:dyDescent="0.25">
      <c r="C2143"/>
      <c r="M2143"/>
    </row>
    <row r="2144" spans="3:13" ht="12.75" customHeight="1" x14ac:dyDescent="0.25">
      <c r="C2144"/>
      <c r="M2144"/>
    </row>
    <row r="2145" spans="3:13" ht="12.75" customHeight="1" x14ac:dyDescent="0.25">
      <c r="C2145"/>
      <c r="M2145"/>
    </row>
    <row r="2146" spans="3:13" ht="12.75" customHeight="1" x14ac:dyDescent="0.25">
      <c r="C2146"/>
      <c r="M2146"/>
    </row>
    <row r="2147" spans="3:13" ht="12.75" customHeight="1" x14ac:dyDescent="0.25">
      <c r="C2147"/>
      <c r="M2147"/>
    </row>
    <row r="2148" spans="3:13" ht="12.75" customHeight="1" x14ac:dyDescent="0.25">
      <c r="C2148"/>
      <c r="M2148"/>
    </row>
    <row r="2149" spans="3:13" ht="12.75" customHeight="1" x14ac:dyDescent="0.25">
      <c r="C2149"/>
      <c r="M2149"/>
    </row>
    <row r="2150" spans="3:13" ht="12.75" customHeight="1" x14ac:dyDescent="0.25">
      <c r="C2150"/>
      <c r="M2150"/>
    </row>
    <row r="2151" spans="3:13" ht="12.75" customHeight="1" x14ac:dyDescent="0.25">
      <c r="C2151"/>
      <c r="M2151"/>
    </row>
    <row r="2152" spans="3:13" ht="12.75" customHeight="1" x14ac:dyDescent="0.25">
      <c r="C2152"/>
      <c r="M2152"/>
    </row>
    <row r="2153" spans="3:13" ht="12.75" customHeight="1" x14ac:dyDescent="0.25">
      <c r="C2153"/>
      <c r="M2153"/>
    </row>
    <row r="2154" spans="3:13" ht="12.75" customHeight="1" x14ac:dyDescent="0.25">
      <c r="C2154"/>
      <c r="M2154"/>
    </row>
    <row r="2155" spans="3:13" ht="12.75" customHeight="1" x14ac:dyDescent="0.25">
      <c r="C2155"/>
      <c r="M2155"/>
    </row>
    <row r="2156" spans="3:13" ht="12.75" customHeight="1" x14ac:dyDescent="0.25">
      <c r="C2156"/>
      <c r="M2156"/>
    </row>
    <row r="2157" spans="3:13" ht="12.75" customHeight="1" x14ac:dyDescent="0.25">
      <c r="C2157"/>
      <c r="M2157"/>
    </row>
    <row r="2158" spans="3:13" ht="12.75" customHeight="1" x14ac:dyDescent="0.25">
      <c r="C2158"/>
      <c r="M2158"/>
    </row>
    <row r="2159" spans="3:13" ht="12.75" customHeight="1" x14ac:dyDescent="0.25">
      <c r="C2159"/>
      <c r="M2159"/>
    </row>
    <row r="2160" spans="3:13" ht="12.75" customHeight="1" x14ac:dyDescent="0.25">
      <c r="C2160"/>
      <c r="M2160"/>
    </row>
    <row r="2161" spans="3:13" ht="12.75" customHeight="1" x14ac:dyDescent="0.25">
      <c r="C2161"/>
      <c r="M2161"/>
    </row>
    <row r="2162" spans="3:13" ht="12.75" customHeight="1" x14ac:dyDescent="0.25">
      <c r="C2162"/>
      <c r="M2162"/>
    </row>
    <row r="2163" spans="3:13" ht="12.75" customHeight="1" x14ac:dyDescent="0.25">
      <c r="C2163"/>
      <c r="M2163"/>
    </row>
    <row r="2164" spans="3:13" ht="12.75" customHeight="1" x14ac:dyDescent="0.25">
      <c r="C2164"/>
      <c r="M2164"/>
    </row>
    <row r="2165" spans="3:13" ht="12.75" customHeight="1" x14ac:dyDescent="0.25">
      <c r="C2165"/>
      <c r="M2165"/>
    </row>
    <row r="2166" spans="3:13" ht="12.75" customHeight="1" x14ac:dyDescent="0.25">
      <c r="C2166"/>
      <c r="M2166"/>
    </row>
    <row r="2167" spans="3:13" ht="12.75" customHeight="1" x14ac:dyDescent="0.25">
      <c r="C2167"/>
      <c r="M2167"/>
    </row>
    <row r="2168" spans="3:13" ht="12.75" customHeight="1" x14ac:dyDescent="0.25">
      <c r="C2168"/>
      <c r="M2168"/>
    </row>
    <row r="2169" spans="3:13" ht="12.75" customHeight="1" x14ac:dyDescent="0.25">
      <c r="C2169"/>
      <c r="M2169"/>
    </row>
    <row r="2170" spans="3:13" ht="12.75" customHeight="1" x14ac:dyDescent="0.25">
      <c r="C2170"/>
      <c r="M2170"/>
    </row>
    <row r="2171" spans="3:13" ht="12.75" customHeight="1" x14ac:dyDescent="0.25">
      <c r="C2171"/>
      <c r="M2171"/>
    </row>
    <row r="2172" spans="3:13" ht="12.75" customHeight="1" x14ac:dyDescent="0.25">
      <c r="C2172"/>
      <c r="M2172"/>
    </row>
    <row r="2173" spans="3:13" ht="12.75" customHeight="1" x14ac:dyDescent="0.25">
      <c r="C2173"/>
      <c r="M2173"/>
    </row>
    <row r="2174" spans="3:13" ht="12.75" customHeight="1" x14ac:dyDescent="0.25">
      <c r="C2174"/>
      <c r="M2174"/>
    </row>
    <row r="2175" spans="3:13" ht="12.75" customHeight="1" x14ac:dyDescent="0.25">
      <c r="C2175"/>
      <c r="M2175"/>
    </row>
    <row r="2176" spans="3:13" ht="12.75" customHeight="1" x14ac:dyDescent="0.25">
      <c r="C2176"/>
      <c r="M2176"/>
    </row>
    <row r="2177" spans="3:13" ht="12.75" customHeight="1" x14ac:dyDescent="0.25">
      <c r="C2177"/>
      <c r="M2177"/>
    </row>
    <row r="2178" spans="3:13" ht="12.75" customHeight="1" x14ac:dyDescent="0.25">
      <c r="C2178"/>
      <c r="M2178"/>
    </row>
    <row r="2179" spans="3:13" ht="12.75" customHeight="1" x14ac:dyDescent="0.25">
      <c r="C2179"/>
      <c r="M2179"/>
    </row>
    <row r="2180" spans="3:13" ht="12.75" customHeight="1" x14ac:dyDescent="0.25">
      <c r="C2180"/>
      <c r="M2180"/>
    </row>
    <row r="2181" spans="3:13" ht="12.75" customHeight="1" x14ac:dyDescent="0.25">
      <c r="C2181"/>
      <c r="M2181"/>
    </row>
    <row r="2182" spans="3:13" ht="12.75" customHeight="1" x14ac:dyDescent="0.25">
      <c r="C2182"/>
      <c r="M2182"/>
    </row>
    <row r="2183" spans="3:13" ht="12.75" customHeight="1" x14ac:dyDescent="0.25">
      <c r="C2183"/>
      <c r="M2183"/>
    </row>
    <row r="2184" spans="3:13" ht="12.75" customHeight="1" x14ac:dyDescent="0.25">
      <c r="C2184"/>
      <c r="M2184"/>
    </row>
    <row r="2185" spans="3:13" ht="12.75" customHeight="1" x14ac:dyDescent="0.25">
      <c r="C2185"/>
      <c r="M2185"/>
    </row>
    <row r="2186" spans="3:13" ht="12.75" customHeight="1" x14ac:dyDescent="0.25">
      <c r="C2186"/>
      <c r="M2186"/>
    </row>
    <row r="2187" spans="3:13" ht="12.75" customHeight="1" x14ac:dyDescent="0.25">
      <c r="C2187"/>
      <c r="M2187"/>
    </row>
    <row r="2188" spans="3:13" ht="12.75" customHeight="1" x14ac:dyDescent="0.25">
      <c r="C2188"/>
      <c r="M2188"/>
    </row>
    <row r="2189" spans="3:13" ht="12.75" customHeight="1" x14ac:dyDescent="0.25">
      <c r="C2189"/>
      <c r="M2189"/>
    </row>
    <row r="2190" spans="3:13" ht="12.75" customHeight="1" x14ac:dyDescent="0.25">
      <c r="C2190"/>
      <c r="M2190"/>
    </row>
    <row r="2191" spans="3:13" ht="12.75" customHeight="1" x14ac:dyDescent="0.25">
      <c r="C2191"/>
      <c r="M2191"/>
    </row>
    <row r="2192" spans="3:13" ht="12.75" customHeight="1" x14ac:dyDescent="0.25">
      <c r="C2192"/>
      <c r="M2192"/>
    </row>
    <row r="2193" spans="3:13" ht="12.75" customHeight="1" x14ac:dyDescent="0.25">
      <c r="C2193"/>
      <c r="M2193"/>
    </row>
    <row r="2194" spans="3:13" ht="12.75" customHeight="1" x14ac:dyDescent="0.25">
      <c r="C2194"/>
      <c r="M2194"/>
    </row>
    <row r="2195" spans="3:13" ht="12.75" customHeight="1" x14ac:dyDescent="0.25">
      <c r="C2195"/>
      <c r="M2195"/>
    </row>
    <row r="2196" spans="3:13" ht="12.75" customHeight="1" x14ac:dyDescent="0.25">
      <c r="C2196"/>
      <c r="M2196"/>
    </row>
    <row r="2197" spans="3:13" ht="12.75" customHeight="1" x14ac:dyDescent="0.25">
      <c r="C2197"/>
      <c r="M2197"/>
    </row>
    <row r="2198" spans="3:13" ht="12.75" customHeight="1" x14ac:dyDescent="0.25">
      <c r="C2198"/>
      <c r="M2198"/>
    </row>
    <row r="2199" spans="3:13" ht="12.75" customHeight="1" x14ac:dyDescent="0.25">
      <c r="C2199"/>
      <c r="M2199"/>
    </row>
    <row r="2200" spans="3:13" ht="12.75" customHeight="1" x14ac:dyDescent="0.25">
      <c r="C2200"/>
      <c r="M2200"/>
    </row>
    <row r="2201" spans="3:13" ht="12.75" customHeight="1" x14ac:dyDescent="0.25">
      <c r="C2201"/>
      <c r="M2201"/>
    </row>
    <row r="2202" spans="3:13" ht="12.75" customHeight="1" x14ac:dyDescent="0.25">
      <c r="C2202"/>
      <c r="M2202"/>
    </row>
    <row r="2203" spans="3:13" ht="12.75" customHeight="1" x14ac:dyDescent="0.25">
      <c r="C2203"/>
      <c r="M2203"/>
    </row>
    <row r="2204" spans="3:13" ht="12.75" customHeight="1" x14ac:dyDescent="0.25">
      <c r="C2204"/>
      <c r="M2204"/>
    </row>
    <row r="2205" spans="3:13" ht="12.75" customHeight="1" x14ac:dyDescent="0.25">
      <c r="C2205"/>
      <c r="M2205"/>
    </row>
    <row r="2206" spans="3:13" ht="12.75" customHeight="1" x14ac:dyDescent="0.25">
      <c r="C2206"/>
      <c r="M2206"/>
    </row>
    <row r="2207" spans="3:13" ht="12.75" customHeight="1" x14ac:dyDescent="0.25">
      <c r="C2207"/>
      <c r="M2207"/>
    </row>
    <row r="2208" spans="3:13" ht="12.75" customHeight="1" x14ac:dyDescent="0.25">
      <c r="C2208"/>
      <c r="M2208"/>
    </row>
    <row r="2209" spans="3:13" ht="12.75" customHeight="1" x14ac:dyDescent="0.25">
      <c r="C2209"/>
      <c r="M2209"/>
    </row>
    <row r="2210" spans="3:13" ht="12.75" customHeight="1" x14ac:dyDescent="0.25">
      <c r="C2210"/>
      <c r="M2210"/>
    </row>
    <row r="2211" spans="3:13" ht="12.75" customHeight="1" x14ac:dyDescent="0.25">
      <c r="C2211"/>
      <c r="M2211"/>
    </row>
    <row r="2212" spans="3:13" ht="12.75" customHeight="1" x14ac:dyDescent="0.25">
      <c r="C2212"/>
      <c r="M2212"/>
    </row>
    <row r="2213" spans="3:13" ht="12.75" customHeight="1" x14ac:dyDescent="0.25">
      <c r="C2213"/>
      <c r="M2213"/>
    </row>
    <row r="2214" spans="3:13" ht="12.75" customHeight="1" x14ac:dyDescent="0.25">
      <c r="C2214"/>
      <c r="M2214"/>
    </row>
    <row r="2215" spans="3:13" ht="12.75" customHeight="1" x14ac:dyDescent="0.25">
      <c r="C2215"/>
      <c r="M2215"/>
    </row>
    <row r="2216" spans="3:13" ht="12.75" customHeight="1" x14ac:dyDescent="0.25">
      <c r="C2216"/>
      <c r="M2216"/>
    </row>
    <row r="2217" spans="3:13" ht="12.75" customHeight="1" x14ac:dyDescent="0.25">
      <c r="C2217"/>
      <c r="M2217"/>
    </row>
    <row r="2218" spans="3:13" ht="12.75" customHeight="1" x14ac:dyDescent="0.25">
      <c r="C2218"/>
      <c r="M2218"/>
    </row>
    <row r="2219" spans="3:13" ht="12.75" customHeight="1" x14ac:dyDescent="0.25">
      <c r="C2219"/>
      <c r="M2219"/>
    </row>
    <row r="2220" spans="3:13" ht="12.75" customHeight="1" x14ac:dyDescent="0.25">
      <c r="C2220"/>
      <c r="M2220"/>
    </row>
    <row r="2221" spans="3:13" ht="12.75" customHeight="1" x14ac:dyDescent="0.25">
      <c r="C2221"/>
      <c r="M2221"/>
    </row>
    <row r="2222" spans="3:13" ht="12.75" customHeight="1" x14ac:dyDescent="0.25">
      <c r="C2222"/>
      <c r="M2222"/>
    </row>
    <row r="2223" spans="3:13" ht="12.75" customHeight="1" x14ac:dyDescent="0.25">
      <c r="C2223"/>
      <c r="M2223"/>
    </row>
    <row r="2224" spans="3:13" ht="12.75" customHeight="1" x14ac:dyDescent="0.25">
      <c r="C2224"/>
      <c r="M2224"/>
    </row>
    <row r="2225" spans="3:13" ht="12.75" customHeight="1" x14ac:dyDescent="0.25">
      <c r="C2225"/>
      <c r="M2225"/>
    </row>
    <row r="2226" spans="3:13" ht="12.75" customHeight="1" x14ac:dyDescent="0.25">
      <c r="C2226"/>
      <c r="M2226"/>
    </row>
    <row r="2227" spans="3:13" ht="12.75" customHeight="1" x14ac:dyDescent="0.25">
      <c r="C2227"/>
      <c r="M2227"/>
    </row>
    <row r="2228" spans="3:13" ht="12.75" customHeight="1" x14ac:dyDescent="0.25">
      <c r="C2228"/>
      <c r="M2228"/>
    </row>
    <row r="2229" spans="3:13" ht="12.75" customHeight="1" x14ac:dyDescent="0.25">
      <c r="C2229"/>
      <c r="M2229"/>
    </row>
    <row r="2230" spans="3:13" ht="12.75" customHeight="1" x14ac:dyDescent="0.25">
      <c r="C2230"/>
      <c r="M2230"/>
    </row>
    <row r="2231" spans="3:13" ht="12.75" customHeight="1" x14ac:dyDescent="0.25">
      <c r="C2231"/>
      <c r="M2231"/>
    </row>
    <row r="2232" spans="3:13" ht="12.75" customHeight="1" x14ac:dyDescent="0.25">
      <c r="C2232"/>
      <c r="M2232"/>
    </row>
    <row r="2233" spans="3:13" ht="12.75" customHeight="1" x14ac:dyDescent="0.25">
      <c r="C2233"/>
      <c r="M2233"/>
    </row>
    <row r="2234" spans="3:13" ht="12.75" customHeight="1" x14ac:dyDescent="0.25">
      <c r="C2234"/>
      <c r="M2234"/>
    </row>
    <row r="2235" spans="3:13" ht="12.75" customHeight="1" x14ac:dyDescent="0.25">
      <c r="C2235"/>
      <c r="M2235"/>
    </row>
    <row r="2236" spans="3:13" ht="12.75" customHeight="1" x14ac:dyDescent="0.25">
      <c r="C2236"/>
      <c r="M2236"/>
    </row>
    <row r="2237" spans="3:13" ht="12.75" customHeight="1" x14ac:dyDescent="0.25">
      <c r="C2237"/>
      <c r="M2237"/>
    </row>
    <row r="2238" spans="3:13" ht="12.75" customHeight="1" x14ac:dyDescent="0.25">
      <c r="C2238"/>
      <c r="M2238"/>
    </row>
    <row r="2239" spans="3:13" ht="12.75" customHeight="1" x14ac:dyDescent="0.25">
      <c r="C2239"/>
      <c r="M2239"/>
    </row>
    <row r="2240" spans="3:13" ht="12.75" customHeight="1" x14ac:dyDescent="0.25">
      <c r="C2240"/>
      <c r="M2240"/>
    </row>
    <row r="2241" spans="3:13" ht="12.75" customHeight="1" x14ac:dyDescent="0.25">
      <c r="C2241"/>
      <c r="M2241"/>
    </row>
    <row r="2242" spans="3:13" ht="12.75" customHeight="1" x14ac:dyDescent="0.25">
      <c r="C2242"/>
      <c r="M2242"/>
    </row>
    <row r="2243" spans="3:13" ht="12.75" customHeight="1" x14ac:dyDescent="0.25">
      <c r="C2243"/>
      <c r="M2243"/>
    </row>
    <row r="2244" spans="3:13" ht="12.75" customHeight="1" x14ac:dyDescent="0.25">
      <c r="C2244"/>
      <c r="M2244"/>
    </row>
    <row r="2245" spans="3:13" ht="12.75" customHeight="1" x14ac:dyDescent="0.25">
      <c r="C2245"/>
      <c r="M2245"/>
    </row>
    <row r="2246" spans="3:13" ht="12.75" customHeight="1" x14ac:dyDescent="0.25">
      <c r="C2246"/>
      <c r="M2246"/>
    </row>
    <row r="2247" spans="3:13" ht="12.75" customHeight="1" x14ac:dyDescent="0.25">
      <c r="C2247"/>
      <c r="M2247"/>
    </row>
    <row r="2248" spans="3:13" ht="12.75" customHeight="1" x14ac:dyDescent="0.25">
      <c r="C2248"/>
      <c r="M2248"/>
    </row>
    <row r="2249" spans="3:13" ht="12.75" customHeight="1" x14ac:dyDescent="0.25">
      <c r="C2249"/>
      <c r="M2249"/>
    </row>
    <row r="2250" spans="3:13" ht="12.75" customHeight="1" x14ac:dyDescent="0.25">
      <c r="C2250"/>
      <c r="M2250"/>
    </row>
    <row r="2251" spans="3:13" ht="12.75" customHeight="1" x14ac:dyDescent="0.25">
      <c r="C2251"/>
      <c r="M2251"/>
    </row>
    <row r="2252" spans="3:13" ht="12.75" customHeight="1" x14ac:dyDescent="0.25">
      <c r="C2252"/>
      <c r="M2252"/>
    </row>
    <row r="2253" spans="3:13" ht="12.75" customHeight="1" x14ac:dyDescent="0.25">
      <c r="C2253"/>
      <c r="M2253"/>
    </row>
    <row r="2254" spans="3:13" ht="12.75" customHeight="1" x14ac:dyDescent="0.25">
      <c r="C2254"/>
      <c r="M2254"/>
    </row>
    <row r="2255" spans="3:13" ht="12.75" customHeight="1" x14ac:dyDescent="0.25">
      <c r="C2255"/>
      <c r="M2255"/>
    </row>
    <row r="2256" spans="3:13" ht="12.75" customHeight="1" x14ac:dyDescent="0.25">
      <c r="C2256"/>
      <c r="M2256"/>
    </row>
    <row r="2257" spans="3:13" ht="12.75" customHeight="1" x14ac:dyDescent="0.25">
      <c r="C2257"/>
      <c r="M2257"/>
    </row>
    <row r="2258" spans="3:13" ht="12.75" customHeight="1" x14ac:dyDescent="0.25">
      <c r="C2258"/>
      <c r="M2258"/>
    </row>
    <row r="2259" spans="3:13" ht="12.75" customHeight="1" x14ac:dyDescent="0.25">
      <c r="C2259"/>
      <c r="M2259"/>
    </row>
    <row r="2260" spans="3:13" ht="12.75" customHeight="1" x14ac:dyDescent="0.25">
      <c r="C2260"/>
      <c r="M2260"/>
    </row>
    <row r="2261" spans="3:13" ht="12.75" customHeight="1" x14ac:dyDescent="0.25">
      <c r="C2261"/>
      <c r="M2261"/>
    </row>
    <row r="2262" spans="3:13" ht="12.75" customHeight="1" x14ac:dyDescent="0.25">
      <c r="C2262"/>
      <c r="M2262"/>
    </row>
    <row r="2263" spans="3:13" ht="12.75" customHeight="1" x14ac:dyDescent="0.25">
      <c r="C2263"/>
      <c r="M2263"/>
    </row>
    <row r="2264" spans="3:13" ht="12.75" customHeight="1" x14ac:dyDescent="0.25">
      <c r="C2264"/>
      <c r="M2264"/>
    </row>
    <row r="2265" spans="3:13" ht="12.75" customHeight="1" x14ac:dyDescent="0.25">
      <c r="C2265"/>
      <c r="M2265"/>
    </row>
    <row r="2266" spans="3:13" ht="12.75" customHeight="1" x14ac:dyDescent="0.25">
      <c r="C2266"/>
      <c r="M2266"/>
    </row>
    <row r="2267" spans="3:13" ht="12.75" customHeight="1" x14ac:dyDescent="0.25">
      <c r="C2267"/>
      <c r="M2267"/>
    </row>
    <row r="2268" spans="3:13" ht="12.75" customHeight="1" x14ac:dyDescent="0.25">
      <c r="C2268"/>
      <c r="M2268"/>
    </row>
    <row r="2269" spans="3:13" ht="12.75" customHeight="1" x14ac:dyDescent="0.25">
      <c r="C2269"/>
      <c r="M2269"/>
    </row>
    <row r="2270" spans="3:13" ht="12.75" customHeight="1" x14ac:dyDescent="0.25">
      <c r="C2270"/>
      <c r="M2270"/>
    </row>
    <row r="2271" spans="3:13" ht="12.75" customHeight="1" x14ac:dyDescent="0.25">
      <c r="C2271"/>
      <c r="M2271"/>
    </row>
    <row r="2272" spans="3:13" ht="12.75" customHeight="1" x14ac:dyDescent="0.25">
      <c r="C2272"/>
      <c r="M2272"/>
    </row>
    <row r="2273" spans="3:13" ht="12.75" customHeight="1" x14ac:dyDescent="0.25">
      <c r="C2273"/>
      <c r="M2273"/>
    </row>
    <row r="2274" spans="3:13" ht="12.75" customHeight="1" x14ac:dyDescent="0.25">
      <c r="C2274"/>
      <c r="M2274"/>
    </row>
    <row r="2275" spans="3:13" ht="12.75" customHeight="1" x14ac:dyDescent="0.25">
      <c r="C2275"/>
      <c r="M2275"/>
    </row>
    <row r="2276" spans="3:13" ht="12.75" customHeight="1" x14ac:dyDescent="0.25">
      <c r="C2276"/>
      <c r="M2276"/>
    </row>
    <row r="2277" spans="3:13" ht="12.75" customHeight="1" x14ac:dyDescent="0.25">
      <c r="C2277"/>
      <c r="M2277"/>
    </row>
    <row r="2278" spans="3:13" ht="12.75" customHeight="1" x14ac:dyDescent="0.25">
      <c r="C2278"/>
      <c r="M2278"/>
    </row>
    <row r="2279" spans="3:13" ht="12.75" customHeight="1" x14ac:dyDescent="0.25">
      <c r="C2279"/>
      <c r="M2279"/>
    </row>
    <row r="2280" spans="3:13" ht="12.75" customHeight="1" x14ac:dyDescent="0.25">
      <c r="C2280"/>
      <c r="M2280"/>
    </row>
    <row r="2281" spans="3:13" ht="12.75" customHeight="1" x14ac:dyDescent="0.25">
      <c r="C2281"/>
      <c r="M2281"/>
    </row>
    <row r="2282" spans="3:13" ht="12.75" customHeight="1" x14ac:dyDescent="0.25">
      <c r="C2282"/>
      <c r="M2282"/>
    </row>
    <row r="2283" spans="3:13" ht="12.75" customHeight="1" x14ac:dyDescent="0.25">
      <c r="C2283"/>
      <c r="M2283"/>
    </row>
    <row r="2284" spans="3:13" ht="12.75" customHeight="1" x14ac:dyDescent="0.25">
      <c r="C2284"/>
      <c r="M2284"/>
    </row>
    <row r="2285" spans="3:13" ht="12.75" customHeight="1" x14ac:dyDescent="0.25">
      <c r="C2285"/>
      <c r="M2285"/>
    </row>
    <row r="2286" spans="3:13" ht="12.75" customHeight="1" x14ac:dyDescent="0.25">
      <c r="C2286"/>
      <c r="M2286"/>
    </row>
    <row r="2287" spans="3:13" ht="12.75" customHeight="1" x14ac:dyDescent="0.25">
      <c r="C2287"/>
      <c r="M2287"/>
    </row>
    <row r="2288" spans="3:13" ht="12.75" customHeight="1" x14ac:dyDescent="0.25">
      <c r="C2288"/>
      <c r="M2288"/>
    </row>
    <row r="2289" spans="3:13" ht="12.75" customHeight="1" x14ac:dyDescent="0.25">
      <c r="C2289"/>
      <c r="M2289"/>
    </row>
    <row r="2290" spans="3:13" ht="12.75" customHeight="1" x14ac:dyDescent="0.25">
      <c r="C2290"/>
      <c r="M2290"/>
    </row>
    <row r="2291" spans="3:13" ht="12.75" customHeight="1" x14ac:dyDescent="0.25">
      <c r="C2291"/>
      <c r="M2291"/>
    </row>
    <row r="2292" spans="3:13" ht="12.75" customHeight="1" x14ac:dyDescent="0.25">
      <c r="C2292"/>
      <c r="M2292"/>
    </row>
    <row r="2293" spans="3:13" ht="12.75" customHeight="1" x14ac:dyDescent="0.25">
      <c r="C2293"/>
      <c r="M2293"/>
    </row>
    <row r="2294" spans="3:13" ht="12.75" customHeight="1" x14ac:dyDescent="0.25">
      <c r="C2294"/>
      <c r="M2294"/>
    </row>
    <row r="2295" spans="3:13" ht="12.75" customHeight="1" x14ac:dyDescent="0.25">
      <c r="C2295"/>
      <c r="M2295"/>
    </row>
    <row r="2296" spans="3:13" ht="12.75" customHeight="1" x14ac:dyDescent="0.25">
      <c r="C2296"/>
      <c r="M2296"/>
    </row>
    <row r="2297" spans="3:13" ht="12.75" customHeight="1" x14ac:dyDescent="0.25">
      <c r="C2297"/>
      <c r="M2297"/>
    </row>
    <row r="2298" spans="3:13" ht="12.75" customHeight="1" x14ac:dyDescent="0.25">
      <c r="C2298"/>
      <c r="M2298"/>
    </row>
    <row r="2299" spans="3:13" ht="12.75" customHeight="1" x14ac:dyDescent="0.25">
      <c r="C2299"/>
      <c r="M2299"/>
    </row>
    <row r="2300" spans="3:13" ht="12.75" customHeight="1" x14ac:dyDescent="0.25">
      <c r="C2300"/>
      <c r="M2300"/>
    </row>
    <row r="2301" spans="3:13" ht="12.75" customHeight="1" x14ac:dyDescent="0.25">
      <c r="C2301"/>
      <c r="M2301"/>
    </row>
    <row r="2302" spans="3:13" ht="12.75" customHeight="1" x14ac:dyDescent="0.25">
      <c r="C2302"/>
      <c r="M2302"/>
    </row>
    <row r="2303" spans="3:13" ht="12.75" customHeight="1" x14ac:dyDescent="0.25">
      <c r="C2303"/>
      <c r="M2303"/>
    </row>
    <row r="2304" spans="3:13" ht="12.75" customHeight="1" x14ac:dyDescent="0.25">
      <c r="C2304"/>
      <c r="M2304"/>
    </row>
    <row r="2305" spans="3:13" ht="12.75" customHeight="1" x14ac:dyDescent="0.25">
      <c r="C2305"/>
      <c r="M2305"/>
    </row>
    <row r="2306" spans="3:13" ht="12.75" customHeight="1" x14ac:dyDescent="0.25">
      <c r="C2306"/>
      <c r="M2306"/>
    </row>
    <row r="2307" spans="3:13" ht="12.75" customHeight="1" x14ac:dyDescent="0.25">
      <c r="C2307"/>
      <c r="M2307"/>
    </row>
    <row r="2308" spans="3:13" ht="12.75" customHeight="1" x14ac:dyDescent="0.25">
      <c r="C2308"/>
      <c r="M2308"/>
    </row>
    <row r="2309" spans="3:13" ht="12.75" customHeight="1" x14ac:dyDescent="0.25">
      <c r="C2309"/>
      <c r="M2309"/>
    </row>
    <row r="2310" spans="3:13" ht="12.75" customHeight="1" x14ac:dyDescent="0.25">
      <c r="C2310"/>
      <c r="M2310"/>
    </row>
    <row r="2311" spans="3:13" ht="12.75" customHeight="1" x14ac:dyDescent="0.25">
      <c r="C2311"/>
      <c r="M2311"/>
    </row>
    <row r="2312" spans="3:13" ht="12.75" customHeight="1" x14ac:dyDescent="0.25">
      <c r="C2312"/>
      <c r="M2312"/>
    </row>
    <row r="2313" spans="3:13" ht="12.75" customHeight="1" x14ac:dyDescent="0.25">
      <c r="C2313"/>
      <c r="M2313"/>
    </row>
    <row r="2314" spans="3:13" ht="12.75" customHeight="1" x14ac:dyDescent="0.25">
      <c r="C2314"/>
      <c r="M2314"/>
    </row>
    <row r="2315" spans="3:13" ht="12.75" customHeight="1" x14ac:dyDescent="0.25">
      <c r="C2315"/>
      <c r="M2315"/>
    </row>
    <row r="2316" spans="3:13" ht="12.75" customHeight="1" x14ac:dyDescent="0.25">
      <c r="C2316"/>
      <c r="M2316"/>
    </row>
    <row r="2317" spans="3:13" ht="12.75" customHeight="1" x14ac:dyDescent="0.25">
      <c r="C2317"/>
      <c r="M2317"/>
    </row>
    <row r="2318" spans="3:13" ht="12.75" customHeight="1" x14ac:dyDescent="0.25">
      <c r="C2318"/>
      <c r="M2318"/>
    </row>
    <row r="2319" spans="3:13" ht="12.75" customHeight="1" x14ac:dyDescent="0.25">
      <c r="C2319"/>
      <c r="M2319"/>
    </row>
    <row r="2320" spans="3:13" ht="12.75" customHeight="1" x14ac:dyDescent="0.25">
      <c r="C2320"/>
      <c r="M2320"/>
    </row>
    <row r="2321" spans="3:13" ht="12.75" customHeight="1" x14ac:dyDescent="0.25">
      <c r="C2321"/>
      <c r="M2321"/>
    </row>
    <row r="2322" spans="3:13" ht="12.75" customHeight="1" x14ac:dyDescent="0.25">
      <c r="C2322"/>
      <c r="M2322"/>
    </row>
    <row r="2323" spans="3:13" ht="12.75" customHeight="1" x14ac:dyDescent="0.25">
      <c r="C2323"/>
      <c r="M2323"/>
    </row>
    <row r="2324" spans="3:13" ht="12.75" customHeight="1" x14ac:dyDescent="0.25">
      <c r="C2324"/>
      <c r="M2324"/>
    </row>
    <row r="2325" spans="3:13" ht="12.75" customHeight="1" x14ac:dyDescent="0.25">
      <c r="C2325"/>
      <c r="M2325"/>
    </row>
    <row r="2326" spans="3:13" ht="12.75" customHeight="1" x14ac:dyDescent="0.25">
      <c r="C2326"/>
      <c r="M2326"/>
    </row>
    <row r="2327" spans="3:13" ht="12.75" customHeight="1" x14ac:dyDescent="0.25">
      <c r="C2327"/>
      <c r="M2327"/>
    </row>
    <row r="2328" spans="3:13" ht="12.75" customHeight="1" x14ac:dyDescent="0.25">
      <c r="C2328"/>
      <c r="M2328"/>
    </row>
    <row r="2329" spans="3:13" ht="12.75" customHeight="1" x14ac:dyDescent="0.25">
      <c r="C2329"/>
      <c r="M2329"/>
    </row>
    <row r="2330" spans="3:13" ht="12.75" customHeight="1" x14ac:dyDescent="0.25">
      <c r="C2330"/>
      <c r="M2330"/>
    </row>
    <row r="2331" spans="3:13" ht="12.75" customHeight="1" x14ac:dyDescent="0.25">
      <c r="C2331"/>
      <c r="M2331"/>
    </row>
    <row r="2332" spans="3:13" ht="12.75" customHeight="1" x14ac:dyDescent="0.25">
      <c r="C2332"/>
      <c r="M2332"/>
    </row>
    <row r="2333" spans="3:13" ht="12.75" customHeight="1" x14ac:dyDescent="0.25">
      <c r="C2333"/>
      <c r="M2333"/>
    </row>
    <row r="2334" spans="3:13" ht="12.75" customHeight="1" x14ac:dyDescent="0.25">
      <c r="C2334"/>
      <c r="M2334"/>
    </row>
    <row r="2335" spans="3:13" ht="12.75" customHeight="1" x14ac:dyDescent="0.25">
      <c r="C2335"/>
      <c r="M2335"/>
    </row>
    <row r="2336" spans="3:13" ht="12.75" customHeight="1" x14ac:dyDescent="0.25">
      <c r="C2336"/>
      <c r="M2336"/>
    </row>
    <row r="2337" spans="3:13" ht="12.75" customHeight="1" x14ac:dyDescent="0.25">
      <c r="C2337"/>
      <c r="M2337"/>
    </row>
    <row r="2338" spans="3:13" ht="12.75" customHeight="1" x14ac:dyDescent="0.25">
      <c r="C2338"/>
      <c r="M2338"/>
    </row>
    <row r="2339" spans="3:13" ht="12.75" customHeight="1" x14ac:dyDescent="0.25">
      <c r="C2339"/>
      <c r="M2339"/>
    </row>
    <row r="2340" spans="3:13" ht="12.75" customHeight="1" x14ac:dyDescent="0.25">
      <c r="C2340"/>
      <c r="M2340"/>
    </row>
    <row r="2341" spans="3:13" ht="12.75" customHeight="1" x14ac:dyDescent="0.25">
      <c r="C2341"/>
      <c r="M2341"/>
    </row>
    <row r="2342" spans="3:13" ht="12.75" customHeight="1" x14ac:dyDescent="0.25">
      <c r="C2342"/>
      <c r="M2342"/>
    </row>
    <row r="2343" spans="3:13" ht="12.75" customHeight="1" x14ac:dyDescent="0.25">
      <c r="C2343"/>
      <c r="M2343"/>
    </row>
    <row r="2344" spans="3:13" ht="12.75" customHeight="1" x14ac:dyDescent="0.25">
      <c r="C2344"/>
      <c r="M2344"/>
    </row>
    <row r="2345" spans="3:13" ht="12.75" customHeight="1" x14ac:dyDescent="0.25">
      <c r="C2345"/>
      <c r="M2345"/>
    </row>
    <row r="2346" spans="3:13" ht="12.75" customHeight="1" x14ac:dyDescent="0.25">
      <c r="C2346"/>
      <c r="M2346"/>
    </row>
    <row r="2347" spans="3:13" ht="12.75" customHeight="1" x14ac:dyDescent="0.25">
      <c r="C2347"/>
      <c r="M2347"/>
    </row>
    <row r="2348" spans="3:13" ht="12.75" customHeight="1" x14ac:dyDescent="0.25">
      <c r="C2348"/>
      <c r="M2348"/>
    </row>
    <row r="2349" spans="3:13" ht="12.75" customHeight="1" x14ac:dyDescent="0.25">
      <c r="C2349"/>
      <c r="M2349"/>
    </row>
    <row r="2350" spans="3:13" ht="12.75" customHeight="1" x14ac:dyDescent="0.25">
      <c r="C2350"/>
      <c r="M2350"/>
    </row>
    <row r="2351" spans="3:13" ht="12.75" customHeight="1" x14ac:dyDescent="0.25">
      <c r="C2351"/>
      <c r="M2351"/>
    </row>
    <row r="2352" spans="3:13" ht="12.75" customHeight="1" x14ac:dyDescent="0.25">
      <c r="C2352"/>
      <c r="M2352"/>
    </row>
    <row r="2353" spans="3:13" ht="12.75" customHeight="1" x14ac:dyDescent="0.25">
      <c r="C2353"/>
      <c r="M2353"/>
    </row>
    <row r="2354" spans="3:13" ht="12.75" customHeight="1" x14ac:dyDescent="0.25">
      <c r="C2354"/>
      <c r="M2354"/>
    </row>
    <row r="2355" spans="3:13" ht="12.75" customHeight="1" x14ac:dyDescent="0.25">
      <c r="C2355"/>
      <c r="M2355"/>
    </row>
    <row r="2356" spans="3:13" ht="12.75" customHeight="1" x14ac:dyDescent="0.25">
      <c r="C2356"/>
      <c r="M2356"/>
    </row>
    <row r="2357" spans="3:13" ht="12.75" customHeight="1" x14ac:dyDescent="0.25">
      <c r="C2357"/>
      <c r="M2357"/>
    </row>
    <row r="2358" spans="3:13" ht="12.75" customHeight="1" x14ac:dyDescent="0.25">
      <c r="C2358"/>
      <c r="M2358"/>
    </row>
    <row r="2359" spans="3:13" ht="12.75" customHeight="1" x14ac:dyDescent="0.25">
      <c r="C2359"/>
      <c r="M2359"/>
    </row>
    <row r="2360" spans="3:13" ht="12.75" customHeight="1" x14ac:dyDescent="0.25">
      <c r="C2360"/>
      <c r="M2360"/>
    </row>
    <row r="2361" spans="3:13" ht="12.75" customHeight="1" x14ac:dyDescent="0.25">
      <c r="C2361"/>
      <c r="M2361"/>
    </row>
    <row r="2362" spans="3:13" ht="12.75" customHeight="1" x14ac:dyDescent="0.25">
      <c r="C2362"/>
      <c r="M2362"/>
    </row>
    <row r="2363" spans="3:13" ht="12.75" customHeight="1" x14ac:dyDescent="0.25">
      <c r="C2363"/>
      <c r="M2363"/>
    </row>
    <row r="2364" spans="3:13" ht="12.75" customHeight="1" x14ac:dyDescent="0.25">
      <c r="C2364"/>
      <c r="M2364"/>
    </row>
    <row r="2365" spans="3:13" ht="12.75" customHeight="1" x14ac:dyDescent="0.25">
      <c r="C2365"/>
      <c r="M2365"/>
    </row>
    <row r="2366" spans="3:13" ht="12.75" customHeight="1" x14ac:dyDescent="0.25">
      <c r="C2366"/>
      <c r="M2366"/>
    </row>
    <row r="2367" spans="3:13" ht="12.75" customHeight="1" x14ac:dyDescent="0.25">
      <c r="C2367"/>
      <c r="M2367"/>
    </row>
    <row r="2368" spans="3:13" ht="12.75" customHeight="1" x14ac:dyDescent="0.25">
      <c r="C2368"/>
      <c r="M2368"/>
    </row>
    <row r="2369" spans="3:13" ht="12.75" customHeight="1" x14ac:dyDescent="0.25">
      <c r="C2369"/>
      <c r="M2369"/>
    </row>
    <row r="2370" spans="3:13" ht="12.75" customHeight="1" x14ac:dyDescent="0.25">
      <c r="C2370"/>
      <c r="M2370"/>
    </row>
    <row r="2371" spans="3:13" ht="12.75" customHeight="1" x14ac:dyDescent="0.25">
      <c r="C2371"/>
      <c r="M2371"/>
    </row>
    <row r="2372" spans="3:13" ht="12.75" customHeight="1" x14ac:dyDescent="0.25">
      <c r="C2372"/>
      <c r="M2372"/>
    </row>
    <row r="2373" spans="3:13" ht="12.75" customHeight="1" x14ac:dyDescent="0.25">
      <c r="C2373"/>
      <c r="M2373"/>
    </row>
    <row r="2374" spans="3:13" ht="12.75" customHeight="1" x14ac:dyDescent="0.25">
      <c r="C2374"/>
      <c r="M2374"/>
    </row>
    <row r="2375" spans="3:13" ht="12.75" customHeight="1" x14ac:dyDescent="0.25">
      <c r="C2375"/>
      <c r="M2375"/>
    </row>
    <row r="2376" spans="3:13" ht="12.75" customHeight="1" x14ac:dyDescent="0.25">
      <c r="C2376"/>
      <c r="M2376"/>
    </row>
    <row r="2377" spans="3:13" ht="12.75" customHeight="1" x14ac:dyDescent="0.25">
      <c r="C2377"/>
      <c r="M2377"/>
    </row>
    <row r="2378" spans="3:13" ht="12.75" customHeight="1" x14ac:dyDescent="0.25">
      <c r="C2378"/>
      <c r="M2378"/>
    </row>
    <row r="2379" spans="3:13" ht="12.75" customHeight="1" x14ac:dyDescent="0.25">
      <c r="C2379"/>
      <c r="M2379"/>
    </row>
    <row r="2380" spans="3:13" ht="12.75" customHeight="1" x14ac:dyDescent="0.25">
      <c r="C2380"/>
      <c r="M2380"/>
    </row>
    <row r="2381" spans="3:13" ht="12.75" customHeight="1" x14ac:dyDescent="0.25">
      <c r="C2381"/>
      <c r="M2381"/>
    </row>
    <row r="2382" spans="3:13" ht="12.75" customHeight="1" x14ac:dyDescent="0.25">
      <c r="C2382"/>
      <c r="M2382"/>
    </row>
    <row r="2383" spans="3:13" ht="12.75" customHeight="1" x14ac:dyDescent="0.25">
      <c r="C2383"/>
      <c r="M2383"/>
    </row>
    <row r="2384" spans="3:13" ht="12.75" customHeight="1" x14ac:dyDescent="0.25">
      <c r="C2384"/>
      <c r="M2384"/>
    </row>
    <row r="2385" spans="3:13" ht="12.75" customHeight="1" x14ac:dyDescent="0.25">
      <c r="C2385"/>
      <c r="M2385"/>
    </row>
    <row r="2386" spans="3:13" ht="12.75" customHeight="1" x14ac:dyDescent="0.25">
      <c r="C2386"/>
      <c r="M2386"/>
    </row>
    <row r="2387" spans="3:13" ht="12.75" customHeight="1" x14ac:dyDescent="0.25">
      <c r="C2387"/>
      <c r="M2387"/>
    </row>
    <row r="2388" spans="3:13" ht="12.75" customHeight="1" x14ac:dyDescent="0.25">
      <c r="C2388"/>
      <c r="M2388"/>
    </row>
    <row r="2389" spans="3:13" ht="12.75" customHeight="1" x14ac:dyDescent="0.25">
      <c r="C2389"/>
      <c r="M2389"/>
    </row>
    <row r="2390" spans="3:13" ht="12.75" customHeight="1" x14ac:dyDescent="0.25">
      <c r="C2390"/>
      <c r="M2390"/>
    </row>
    <row r="2391" spans="3:13" ht="12.75" customHeight="1" x14ac:dyDescent="0.25">
      <c r="C2391"/>
      <c r="M2391"/>
    </row>
    <row r="2392" spans="3:13" ht="12.75" customHeight="1" x14ac:dyDescent="0.25">
      <c r="C2392"/>
      <c r="M2392"/>
    </row>
    <row r="2393" spans="3:13" ht="12.75" customHeight="1" x14ac:dyDescent="0.25">
      <c r="C2393"/>
      <c r="M2393"/>
    </row>
    <row r="2394" spans="3:13" ht="12.75" customHeight="1" x14ac:dyDescent="0.25">
      <c r="C2394"/>
      <c r="M2394"/>
    </row>
    <row r="2395" spans="3:13" ht="12.75" customHeight="1" x14ac:dyDescent="0.25">
      <c r="C2395"/>
      <c r="M2395"/>
    </row>
    <row r="2396" spans="3:13" ht="12.75" customHeight="1" x14ac:dyDescent="0.25">
      <c r="C2396"/>
      <c r="M2396"/>
    </row>
    <row r="2397" spans="3:13" ht="12.75" customHeight="1" x14ac:dyDescent="0.25">
      <c r="C2397"/>
      <c r="M2397"/>
    </row>
    <row r="2398" spans="3:13" ht="12.75" customHeight="1" x14ac:dyDescent="0.25">
      <c r="C2398"/>
      <c r="M2398"/>
    </row>
    <row r="2399" spans="3:13" ht="12.75" customHeight="1" x14ac:dyDescent="0.25">
      <c r="C2399"/>
      <c r="M2399"/>
    </row>
    <row r="2400" spans="3:13" ht="12.75" customHeight="1" x14ac:dyDescent="0.25">
      <c r="C2400"/>
      <c r="M2400"/>
    </row>
    <row r="2401" spans="3:13" ht="12.75" customHeight="1" x14ac:dyDescent="0.25">
      <c r="C2401"/>
      <c r="M2401"/>
    </row>
    <row r="2402" spans="3:13" ht="12.75" customHeight="1" x14ac:dyDescent="0.25">
      <c r="C2402"/>
      <c r="M2402"/>
    </row>
    <row r="2403" spans="3:13" ht="12.75" customHeight="1" x14ac:dyDescent="0.25">
      <c r="C2403"/>
      <c r="M2403"/>
    </row>
    <row r="2404" spans="3:13" ht="12.75" customHeight="1" x14ac:dyDescent="0.25">
      <c r="C2404"/>
      <c r="M2404"/>
    </row>
    <row r="2405" spans="3:13" ht="12.75" customHeight="1" x14ac:dyDescent="0.25">
      <c r="C2405"/>
      <c r="M2405"/>
    </row>
    <row r="2406" spans="3:13" ht="12.75" customHeight="1" x14ac:dyDescent="0.25">
      <c r="C2406"/>
      <c r="M2406"/>
    </row>
    <row r="2407" spans="3:13" ht="12.75" customHeight="1" x14ac:dyDescent="0.25">
      <c r="C2407"/>
      <c r="M2407"/>
    </row>
    <row r="2408" spans="3:13" ht="12.75" customHeight="1" x14ac:dyDescent="0.25">
      <c r="C2408"/>
      <c r="M2408"/>
    </row>
    <row r="2409" spans="3:13" ht="12.75" customHeight="1" x14ac:dyDescent="0.25">
      <c r="C2409"/>
      <c r="M2409"/>
    </row>
    <row r="2410" spans="3:13" ht="12.75" customHeight="1" x14ac:dyDescent="0.25">
      <c r="C2410"/>
      <c r="M2410"/>
    </row>
    <row r="2411" spans="3:13" ht="12.75" customHeight="1" x14ac:dyDescent="0.25">
      <c r="C2411"/>
      <c r="M2411"/>
    </row>
    <row r="2412" spans="3:13" ht="12.75" customHeight="1" x14ac:dyDescent="0.25">
      <c r="C2412"/>
      <c r="M2412"/>
    </row>
    <row r="2413" spans="3:13" ht="12.75" customHeight="1" x14ac:dyDescent="0.25">
      <c r="C2413"/>
      <c r="M2413"/>
    </row>
    <row r="2414" spans="3:13" ht="12.75" customHeight="1" x14ac:dyDescent="0.25">
      <c r="C2414"/>
      <c r="M2414"/>
    </row>
    <row r="2415" spans="3:13" ht="12.75" customHeight="1" x14ac:dyDescent="0.25">
      <c r="C2415"/>
      <c r="M2415"/>
    </row>
    <row r="2416" spans="3:13" ht="12.75" customHeight="1" x14ac:dyDescent="0.25">
      <c r="C2416"/>
      <c r="M2416"/>
    </row>
    <row r="2417" spans="3:13" ht="12.75" customHeight="1" x14ac:dyDescent="0.25">
      <c r="C2417"/>
      <c r="M2417"/>
    </row>
    <row r="2418" spans="3:13" ht="12.75" customHeight="1" x14ac:dyDescent="0.25">
      <c r="C2418"/>
      <c r="M2418"/>
    </row>
    <row r="2419" spans="3:13" ht="12.75" customHeight="1" x14ac:dyDescent="0.25">
      <c r="C2419"/>
      <c r="M2419"/>
    </row>
    <row r="2420" spans="3:13" ht="12.75" customHeight="1" x14ac:dyDescent="0.25">
      <c r="C2420"/>
      <c r="M2420"/>
    </row>
    <row r="2421" spans="3:13" ht="12.75" customHeight="1" x14ac:dyDescent="0.25">
      <c r="C2421"/>
      <c r="M2421"/>
    </row>
    <row r="2422" spans="3:13" ht="12.75" customHeight="1" x14ac:dyDescent="0.25">
      <c r="C2422"/>
      <c r="M2422"/>
    </row>
    <row r="2423" spans="3:13" ht="12.75" customHeight="1" x14ac:dyDescent="0.25">
      <c r="C2423"/>
      <c r="M2423"/>
    </row>
    <row r="2424" spans="3:13" ht="12.75" customHeight="1" x14ac:dyDescent="0.25">
      <c r="C2424"/>
      <c r="M2424"/>
    </row>
    <row r="2425" spans="3:13" ht="12.75" customHeight="1" x14ac:dyDescent="0.25">
      <c r="C2425"/>
      <c r="M2425"/>
    </row>
    <row r="2426" spans="3:13" ht="12.75" customHeight="1" x14ac:dyDescent="0.25">
      <c r="C2426"/>
      <c r="M2426"/>
    </row>
    <row r="2427" spans="3:13" ht="12.75" customHeight="1" x14ac:dyDescent="0.25">
      <c r="C2427"/>
      <c r="M2427"/>
    </row>
    <row r="2428" spans="3:13" ht="12.75" customHeight="1" x14ac:dyDescent="0.25">
      <c r="C2428"/>
      <c r="M2428"/>
    </row>
    <row r="2429" spans="3:13" ht="12.75" customHeight="1" x14ac:dyDescent="0.25">
      <c r="C2429"/>
      <c r="M2429"/>
    </row>
    <row r="2430" spans="3:13" ht="12.75" customHeight="1" x14ac:dyDescent="0.25">
      <c r="C2430"/>
      <c r="M2430"/>
    </row>
    <row r="2431" spans="3:13" ht="12.75" customHeight="1" x14ac:dyDescent="0.25">
      <c r="C2431"/>
      <c r="M2431"/>
    </row>
    <row r="2432" spans="3:13" ht="12.75" customHeight="1" x14ac:dyDescent="0.25">
      <c r="C2432"/>
      <c r="M2432"/>
    </row>
    <row r="2433" spans="3:13" ht="12.75" customHeight="1" x14ac:dyDescent="0.25">
      <c r="C2433"/>
      <c r="M2433"/>
    </row>
    <row r="2434" spans="3:13" ht="12.75" customHeight="1" x14ac:dyDescent="0.25">
      <c r="C2434"/>
      <c r="M2434"/>
    </row>
    <row r="2435" spans="3:13" ht="12.75" customHeight="1" x14ac:dyDescent="0.25">
      <c r="C2435"/>
      <c r="M2435"/>
    </row>
    <row r="2436" spans="3:13" ht="12.75" customHeight="1" x14ac:dyDescent="0.25">
      <c r="C2436"/>
      <c r="M2436"/>
    </row>
    <row r="2437" spans="3:13" ht="12.75" customHeight="1" x14ac:dyDescent="0.25">
      <c r="C2437"/>
      <c r="M2437"/>
    </row>
    <row r="2438" spans="3:13" ht="12.75" customHeight="1" x14ac:dyDescent="0.25">
      <c r="C2438"/>
      <c r="M2438"/>
    </row>
    <row r="2439" spans="3:13" ht="12.75" customHeight="1" x14ac:dyDescent="0.25">
      <c r="C2439"/>
      <c r="M2439"/>
    </row>
    <row r="2440" spans="3:13" ht="12.75" customHeight="1" x14ac:dyDescent="0.25">
      <c r="C2440"/>
      <c r="M2440"/>
    </row>
    <row r="2441" spans="3:13" ht="12.75" customHeight="1" x14ac:dyDescent="0.25">
      <c r="C2441"/>
      <c r="M2441"/>
    </row>
    <row r="2442" spans="3:13" ht="12.75" customHeight="1" x14ac:dyDescent="0.25">
      <c r="C2442"/>
      <c r="M2442"/>
    </row>
    <row r="2443" spans="3:13" ht="12.75" customHeight="1" x14ac:dyDescent="0.25">
      <c r="C2443"/>
      <c r="M2443"/>
    </row>
    <row r="2444" spans="3:13" ht="12.75" customHeight="1" x14ac:dyDescent="0.25">
      <c r="C2444"/>
      <c r="M2444"/>
    </row>
    <row r="2445" spans="3:13" ht="12.75" customHeight="1" x14ac:dyDescent="0.25">
      <c r="C2445"/>
      <c r="M2445"/>
    </row>
    <row r="2446" spans="3:13" ht="12.75" customHeight="1" x14ac:dyDescent="0.25">
      <c r="C2446"/>
      <c r="M2446"/>
    </row>
    <row r="2447" spans="3:13" ht="12.75" customHeight="1" x14ac:dyDescent="0.25">
      <c r="C2447"/>
      <c r="M2447"/>
    </row>
    <row r="2448" spans="3:13" ht="12.75" customHeight="1" x14ac:dyDescent="0.25">
      <c r="C2448"/>
      <c r="M2448"/>
    </row>
    <row r="2449" spans="3:13" ht="12.75" customHeight="1" x14ac:dyDescent="0.25">
      <c r="C2449"/>
      <c r="M2449"/>
    </row>
    <row r="2450" spans="3:13" ht="12.75" customHeight="1" x14ac:dyDescent="0.25">
      <c r="C2450"/>
      <c r="M2450"/>
    </row>
    <row r="2451" spans="3:13" ht="12.75" customHeight="1" x14ac:dyDescent="0.25">
      <c r="C2451"/>
      <c r="M2451"/>
    </row>
    <row r="2452" spans="3:13" ht="12.75" customHeight="1" x14ac:dyDescent="0.25">
      <c r="C2452"/>
      <c r="M2452"/>
    </row>
    <row r="2453" spans="3:13" ht="12.75" customHeight="1" x14ac:dyDescent="0.25">
      <c r="C2453"/>
      <c r="M2453"/>
    </row>
    <row r="2454" spans="3:13" ht="12.75" customHeight="1" x14ac:dyDescent="0.25">
      <c r="C2454"/>
      <c r="M2454"/>
    </row>
    <row r="2455" spans="3:13" ht="12.75" customHeight="1" x14ac:dyDescent="0.25">
      <c r="C2455"/>
      <c r="M2455"/>
    </row>
    <row r="2456" spans="3:13" ht="12.75" customHeight="1" x14ac:dyDescent="0.25">
      <c r="C2456"/>
      <c r="M2456"/>
    </row>
    <row r="2457" spans="3:13" ht="12.75" customHeight="1" x14ac:dyDescent="0.25">
      <c r="C2457"/>
      <c r="M2457"/>
    </row>
    <row r="2458" spans="3:13" ht="12.75" customHeight="1" x14ac:dyDescent="0.25">
      <c r="C2458"/>
      <c r="M2458"/>
    </row>
    <row r="2459" spans="3:13" ht="12.75" customHeight="1" x14ac:dyDescent="0.25">
      <c r="C2459"/>
      <c r="M2459"/>
    </row>
    <row r="2460" spans="3:13" ht="12.75" customHeight="1" x14ac:dyDescent="0.25">
      <c r="C2460"/>
      <c r="M2460"/>
    </row>
    <row r="2461" spans="3:13" ht="12.75" customHeight="1" x14ac:dyDescent="0.25">
      <c r="C2461"/>
      <c r="M2461"/>
    </row>
    <row r="2462" spans="3:13" ht="12.75" customHeight="1" x14ac:dyDescent="0.25">
      <c r="C2462"/>
      <c r="M2462"/>
    </row>
    <row r="2463" spans="3:13" ht="12.75" customHeight="1" x14ac:dyDescent="0.25">
      <c r="C2463"/>
      <c r="M2463"/>
    </row>
    <row r="2464" spans="3:13" ht="12.75" customHeight="1" x14ac:dyDescent="0.25">
      <c r="C2464"/>
      <c r="M2464"/>
    </row>
    <row r="2465" spans="3:13" ht="12.75" customHeight="1" x14ac:dyDescent="0.25">
      <c r="C2465"/>
      <c r="M2465"/>
    </row>
    <row r="2466" spans="3:13" ht="12.75" customHeight="1" x14ac:dyDescent="0.25">
      <c r="C2466"/>
      <c r="M2466"/>
    </row>
    <row r="2467" spans="3:13" ht="12.75" customHeight="1" x14ac:dyDescent="0.25">
      <c r="C2467"/>
      <c r="M2467"/>
    </row>
    <row r="2468" spans="3:13" ht="12.75" customHeight="1" x14ac:dyDescent="0.25">
      <c r="C2468"/>
      <c r="M2468"/>
    </row>
    <row r="2469" spans="3:13" ht="12.75" customHeight="1" x14ac:dyDescent="0.25">
      <c r="C2469"/>
      <c r="M2469"/>
    </row>
    <row r="2470" spans="3:13" ht="12.75" customHeight="1" x14ac:dyDescent="0.25">
      <c r="C2470"/>
      <c r="M2470"/>
    </row>
    <row r="2471" spans="3:13" ht="12.75" customHeight="1" x14ac:dyDescent="0.25">
      <c r="C2471"/>
      <c r="M2471"/>
    </row>
    <row r="2472" spans="3:13" ht="12.75" customHeight="1" x14ac:dyDescent="0.25">
      <c r="C2472"/>
      <c r="M2472"/>
    </row>
    <row r="2473" spans="3:13" ht="12.75" customHeight="1" x14ac:dyDescent="0.25">
      <c r="C2473"/>
      <c r="M2473"/>
    </row>
    <row r="2474" spans="3:13" ht="12.75" customHeight="1" x14ac:dyDescent="0.25">
      <c r="C2474"/>
      <c r="M2474"/>
    </row>
    <row r="2475" spans="3:13" ht="12.75" customHeight="1" x14ac:dyDescent="0.25">
      <c r="C2475"/>
      <c r="M2475"/>
    </row>
    <row r="2476" spans="3:13" ht="12.75" customHeight="1" x14ac:dyDescent="0.25">
      <c r="C2476"/>
      <c r="M2476"/>
    </row>
    <row r="2477" spans="3:13" ht="12.75" customHeight="1" x14ac:dyDescent="0.25">
      <c r="C2477"/>
      <c r="M2477"/>
    </row>
    <row r="2478" spans="3:13" ht="12.75" customHeight="1" x14ac:dyDescent="0.25">
      <c r="C2478"/>
      <c r="M2478"/>
    </row>
    <row r="2479" spans="3:13" ht="12.75" customHeight="1" x14ac:dyDescent="0.25">
      <c r="C2479"/>
      <c r="M2479"/>
    </row>
    <row r="2480" spans="3:13" ht="12.75" customHeight="1" x14ac:dyDescent="0.25">
      <c r="C2480"/>
      <c r="M2480"/>
    </row>
    <row r="2481" spans="3:13" ht="12.75" customHeight="1" x14ac:dyDescent="0.25">
      <c r="C2481"/>
      <c r="M2481"/>
    </row>
    <row r="2482" spans="3:13" ht="12.75" customHeight="1" x14ac:dyDescent="0.25">
      <c r="C2482"/>
      <c r="M2482"/>
    </row>
    <row r="2483" spans="3:13" ht="12.75" customHeight="1" x14ac:dyDescent="0.25">
      <c r="C2483"/>
      <c r="M2483"/>
    </row>
    <row r="2484" spans="3:13" ht="12.75" customHeight="1" x14ac:dyDescent="0.25">
      <c r="C2484"/>
      <c r="M2484"/>
    </row>
    <row r="2485" spans="3:13" ht="12.75" customHeight="1" x14ac:dyDescent="0.25">
      <c r="C2485"/>
      <c r="M2485"/>
    </row>
    <row r="2486" spans="3:13" ht="12.75" customHeight="1" x14ac:dyDescent="0.25">
      <c r="C2486"/>
      <c r="M2486"/>
    </row>
    <row r="2487" spans="3:13" ht="12.75" customHeight="1" x14ac:dyDescent="0.25">
      <c r="C2487"/>
      <c r="M2487"/>
    </row>
    <row r="2488" spans="3:13" ht="12.75" customHeight="1" x14ac:dyDescent="0.25">
      <c r="C2488"/>
      <c r="M2488"/>
    </row>
    <row r="2489" spans="3:13" ht="12.75" customHeight="1" x14ac:dyDescent="0.25">
      <c r="C2489"/>
      <c r="M2489"/>
    </row>
    <row r="2490" spans="3:13" ht="12.75" customHeight="1" x14ac:dyDescent="0.25">
      <c r="C2490"/>
      <c r="M2490"/>
    </row>
    <row r="2491" spans="3:13" ht="12.75" customHeight="1" x14ac:dyDescent="0.25">
      <c r="C2491"/>
      <c r="M2491"/>
    </row>
    <row r="2492" spans="3:13" ht="12.75" customHeight="1" x14ac:dyDescent="0.25">
      <c r="C2492"/>
      <c r="M2492"/>
    </row>
    <row r="2493" spans="3:13" ht="12.75" customHeight="1" x14ac:dyDescent="0.25">
      <c r="C2493"/>
      <c r="M2493"/>
    </row>
    <row r="2494" spans="3:13" ht="12.75" customHeight="1" x14ac:dyDescent="0.25">
      <c r="C2494"/>
      <c r="M2494"/>
    </row>
    <row r="2495" spans="3:13" ht="12.75" customHeight="1" x14ac:dyDescent="0.25">
      <c r="C2495"/>
      <c r="M2495"/>
    </row>
    <row r="2496" spans="3:13" ht="12.75" customHeight="1" x14ac:dyDescent="0.25">
      <c r="C2496"/>
      <c r="M2496"/>
    </row>
    <row r="2497" spans="3:13" ht="12.75" customHeight="1" x14ac:dyDescent="0.25">
      <c r="C2497"/>
      <c r="M2497"/>
    </row>
    <row r="2498" spans="3:13" ht="12.75" customHeight="1" x14ac:dyDescent="0.25">
      <c r="C2498"/>
      <c r="M2498"/>
    </row>
    <row r="2499" spans="3:13" ht="12.75" customHeight="1" x14ac:dyDescent="0.25">
      <c r="C2499"/>
      <c r="M2499"/>
    </row>
    <row r="2500" spans="3:13" ht="12.75" customHeight="1" x14ac:dyDescent="0.25">
      <c r="C2500"/>
      <c r="M2500"/>
    </row>
    <row r="2501" spans="3:13" ht="12.75" customHeight="1" x14ac:dyDescent="0.25">
      <c r="C2501"/>
      <c r="M2501"/>
    </row>
    <row r="2502" spans="3:13" ht="12.75" customHeight="1" x14ac:dyDescent="0.25">
      <c r="C2502"/>
      <c r="M2502"/>
    </row>
    <row r="2503" spans="3:13" ht="12.75" customHeight="1" x14ac:dyDescent="0.25">
      <c r="C2503"/>
      <c r="M2503"/>
    </row>
    <row r="2504" spans="3:13" ht="12.75" customHeight="1" x14ac:dyDescent="0.25">
      <c r="C2504"/>
      <c r="M2504"/>
    </row>
    <row r="2505" spans="3:13" ht="12.75" customHeight="1" x14ac:dyDescent="0.25">
      <c r="C2505"/>
      <c r="M2505"/>
    </row>
    <row r="2506" spans="3:13" ht="12.75" customHeight="1" x14ac:dyDescent="0.25">
      <c r="C2506"/>
      <c r="M2506"/>
    </row>
    <row r="2507" spans="3:13" ht="12.75" customHeight="1" x14ac:dyDescent="0.25">
      <c r="C2507"/>
      <c r="M2507"/>
    </row>
    <row r="2508" spans="3:13" ht="12.75" customHeight="1" x14ac:dyDescent="0.25">
      <c r="C2508"/>
      <c r="M2508"/>
    </row>
    <row r="2509" spans="3:13" ht="12.75" customHeight="1" x14ac:dyDescent="0.25">
      <c r="C2509"/>
      <c r="M2509"/>
    </row>
    <row r="2510" spans="3:13" ht="12.75" customHeight="1" x14ac:dyDescent="0.25">
      <c r="C2510"/>
      <c r="M2510"/>
    </row>
    <row r="2511" spans="3:13" ht="12.75" customHeight="1" x14ac:dyDescent="0.25">
      <c r="C2511"/>
      <c r="M2511"/>
    </row>
    <row r="2512" spans="3:13" ht="12.75" customHeight="1" x14ac:dyDescent="0.25">
      <c r="C2512"/>
      <c r="M2512"/>
    </row>
    <row r="2513" spans="3:13" ht="12.75" customHeight="1" x14ac:dyDescent="0.25">
      <c r="C2513"/>
      <c r="M2513"/>
    </row>
    <row r="2514" spans="3:13" ht="12.75" customHeight="1" x14ac:dyDescent="0.25">
      <c r="C2514"/>
      <c r="M2514"/>
    </row>
    <row r="2515" spans="3:13" ht="12.75" customHeight="1" x14ac:dyDescent="0.25">
      <c r="C2515"/>
      <c r="M2515"/>
    </row>
    <row r="2516" spans="3:13" ht="12.75" customHeight="1" x14ac:dyDescent="0.25">
      <c r="C2516"/>
      <c r="M2516"/>
    </row>
    <row r="2517" spans="3:13" ht="12.75" customHeight="1" x14ac:dyDescent="0.25">
      <c r="C2517"/>
      <c r="M2517"/>
    </row>
    <row r="2518" spans="3:13" ht="12.75" customHeight="1" x14ac:dyDescent="0.25">
      <c r="C2518"/>
      <c r="M2518"/>
    </row>
    <row r="2519" spans="3:13" ht="12.75" customHeight="1" x14ac:dyDescent="0.25">
      <c r="C2519"/>
      <c r="M2519"/>
    </row>
    <row r="2520" spans="3:13" ht="12.75" customHeight="1" x14ac:dyDescent="0.25">
      <c r="C2520"/>
      <c r="M2520"/>
    </row>
    <row r="2521" spans="3:13" ht="12.75" customHeight="1" x14ac:dyDescent="0.25">
      <c r="C2521"/>
      <c r="M2521"/>
    </row>
    <row r="2522" spans="3:13" ht="12.75" customHeight="1" x14ac:dyDescent="0.25">
      <c r="C2522"/>
      <c r="M2522"/>
    </row>
    <row r="2523" spans="3:13" ht="12.75" customHeight="1" x14ac:dyDescent="0.25">
      <c r="C2523"/>
      <c r="M2523"/>
    </row>
    <row r="2524" spans="3:13" ht="12.75" customHeight="1" x14ac:dyDescent="0.25">
      <c r="C2524"/>
      <c r="M2524"/>
    </row>
    <row r="2525" spans="3:13" ht="12.75" customHeight="1" x14ac:dyDescent="0.25">
      <c r="C2525"/>
      <c r="M2525"/>
    </row>
    <row r="2526" spans="3:13" ht="12.75" customHeight="1" x14ac:dyDescent="0.25">
      <c r="C2526"/>
      <c r="M2526"/>
    </row>
    <row r="2527" spans="3:13" ht="12.75" customHeight="1" x14ac:dyDescent="0.25">
      <c r="C2527"/>
      <c r="M2527"/>
    </row>
    <row r="2528" spans="3:13" ht="12.75" customHeight="1" x14ac:dyDescent="0.25">
      <c r="C2528"/>
      <c r="M2528"/>
    </row>
    <row r="2529" spans="3:13" ht="12.75" customHeight="1" x14ac:dyDescent="0.25">
      <c r="C2529"/>
      <c r="M2529"/>
    </row>
    <row r="2530" spans="3:13" ht="12.75" customHeight="1" x14ac:dyDescent="0.25">
      <c r="C2530"/>
      <c r="M2530"/>
    </row>
    <row r="2531" spans="3:13" ht="12.75" customHeight="1" x14ac:dyDescent="0.25">
      <c r="C2531"/>
      <c r="M2531"/>
    </row>
    <row r="2532" spans="3:13" ht="12.75" customHeight="1" x14ac:dyDescent="0.25">
      <c r="C2532"/>
      <c r="M2532"/>
    </row>
    <row r="2533" spans="3:13" ht="12.75" customHeight="1" x14ac:dyDescent="0.25">
      <c r="C2533"/>
      <c r="M2533"/>
    </row>
    <row r="2534" spans="3:13" ht="12.75" customHeight="1" x14ac:dyDescent="0.25">
      <c r="C2534"/>
      <c r="M2534"/>
    </row>
    <row r="2535" spans="3:13" ht="12.75" customHeight="1" x14ac:dyDescent="0.25">
      <c r="C2535"/>
      <c r="M2535"/>
    </row>
    <row r="2536" spans="3:13" ht="12.75" customHeight="1" x14ac:dyDescent="0.25">
      <c r="C2536"/>
      <c r="M2536"/>
    </row>
    <row r="2537" spans="3:13" ht="12.75" customHeight="1" x14ac:dyDescent="0.25">
      <c r="C2537"/>
      <c r="M2537"/>
    </row>
    <row r="2538" spans="3:13" ht="12.75" customHeight="1" x14ac:dyDescent="0.25">
      <c r="C2538"/>
      <c r="M2538"/>
    </row>
    <row r="2539" spans="3:13" ht="12.75" customHeight="1" x14ac:dyDescent="0.25">
      <c r="C2539"/>
      <c r="M2539"/>
    </row>
    <row r="2540" spans="3:13" ht="12.75" customHeight="1" x14ac:dyDescent="0.25">
      <c r="C2540"/>
      <c r="M2540"/>
    </row>
    <row r="2541" spans="3:13" ht="12.75" customHeight="1" x14ac:dyDescent="0.25">
      <c r="C2541"/>
      <c r="M2541"/>
    </row>
    <row r="2542" spans="3:13" ht="12.75" customHeight="1" x14ac:dyDescent="0.25">
      <c r="C2542"/>
      <c r="M2542"/>
    </row>
    <row r="2543" spans="3:13" ht="12.75" customHeight="1" x14ac:dyDescent="0.25">
      <c r="C2543"/>
      <c r="M2543"/>
    </row>
    <row r="2544" spans="3:13" ht="12.75" customHeight="1" x14ac:dyDescent="0.25">
      <c r="C2544"/>
      <c r="M2544"/>
    </row>
    <row r="2545" spans="3:13" ht="12.75" customHeight="1" x14ac:dyDescent="0.25">
      <c r="C2545"/>
      <c r="M2545"/>
    </row>
    <row r="2546" spans="3:13" ht="12.75" customHeight="1" x14ac:dyDescent="0.25">
      <c r="C2546"/>
      <c r="M2546"/>
    </row>
    <row r="2547" spans="3:13" ht="12.75" customHeight="1" x14ac:dyDescent="0.25">
      <c r="C2547"/>
      <c r="M2547"/>
    </row>
    <row r="2548" spans="3:13" ht="12.75" customHeight="1" x14ac:dyDescent="0.25">
      <c r="C2548"/>
      <c r="M2548"/>
    </row>
    <row r="2549" spans="3:13" ht="12.75" customHeight="1" x14ac:dyDescent="0.25">
      <c r="C2549"/>
      <c r="M2549"/>
    </row>
    <row r="2550" spans="3:13" ht="12.75" customHeight="1" x14ac:dyDescent="0.25">
      <c r="C2550"/>
      <c r="M2550"/>
    </row>
    <row r="2551" spans="3:13" ht="12.75" customHeight="1" x14ac:dyDescent="0.25">
      <c r="C2551"/>
      <c r="M2551"/>
    </row>
    <row r="2552" spans="3:13" ht="12.75" customHeight="1" x14ac:dyDescent="0.25">
      <c r="C2552"/>
      <c r="M2552"/>
    </row>
    <row r="2553" spans="3:13" ht="12.75" customHeight="1" x14ac:dyDescent="0.25">
      <c r="C2553"/>
      <c r="M2553"/>
    </row>
    <row r="2554" spans="3:13" ht="12.75" customHeight="1" x14ac:dyDescent="0.25">
      <c r="C2554"/>
      <c r="M2554"/>
    </row>
    <row r="2555" spans="3:13" ht="12.75" customHeight="1" x14ac:dyDescent="0.25">
      <c r="C2555"/>
      <c r="M2555"/>
    </row>
    <row r="2556" spans="3:13" ht="12.75" customHeight="1" x14ac:dyDescent="0.25">
      <c r="C2556"/>
      <c r="M2556"/>
    </row>
    <row r="2557" spans="3:13" ht="12.75" customHeight="1" x14ac:dyDescent="0.25">
      <c r="C2557"/>
      <c r="M2557"/>
    </row>
    <row r="2558" spans="3:13" ht="12.75" customHeight="1" x14ac:dyDescent="0.25">
      <c r="C2558"/>
      <c r="M2558"/>
    </row>
    <row r="2559" spans="3:13" ht="12.75" customHeight="1" x14ac:dyDescent="0.25">
      <c r="C2559"/>
      <c r="M2559"/>
    </row>
    <row r="2560" spans="3:13" ht="12.75" customHeight="1" x14ac:dyDescent="0.25">
      <c r="C2560"/>
      <c r="M2560"/>
    </row>
    <row r="2561" spans="3:13" ht="12.75" customHeight="1" x14ac:dyDescent="0.25">
      <c r="C2561"/>
      <c r="M2561"/>
    </row>
    <row r="2562" spans="3:13" ht="12.75" customHeight="1" x14ac:dyDescent="0.25">
      <c r="C2562"/>
      <c r="M2562"/>
    </row>
    <row r="2563" spans="3:13" ht="12.75" customHeight="1" x14ac:dyDescent="0.25">
      <c r="C2563"/>
      <c r="M2563"/>
    </row>
    <row r="2564" spans="3:13" ht="12.75" customHeight="1" x14ac:dyDescent="0.25">
      <c r="C2564"/>
      <c r="M2564"/>
    </row>
    <row r="2565" spans="3:13" ht="12.75" customHeight="1" x14ac:dyDescent="0.25">
      <c r="C2565"/>
      <c r="M2565"/>
    </row>
    <row r="2566" spans="3:13" ht="12.75" customHeight="1" x14ac:dyDescent="0.25">
      <c r="C2566"/>
      <c r="M2566"/>
    </row>
    <row r="2567" spans="3:13" ht="12.75" customHeight="1" x14ac:dyDescent="0.25">
      <c r="C2567"/>
      <c r="M2567"/>
    </row>
    <row r="2568" spans="3:13" ht="12.75" customHeight="1" x14ac:dyDescent="0.25">
      <c r="C2568"/>
      <c r="M2568"/>
    </row>
    <row r="2569" spans="3:13" ht="12.75" customHeight="1" x14ac:dyDescent="0.25">
      <c r="C2569"/>
      <c r="M2569"/>
    </row>
    <row r="2570" spans="3:13" ht="12.75" customHeight="1" x14ac:dyDescent="0.25">
      <c r="C2570"/>
      <c r="M2570"/>
    </row>
    <row r="2571" spans="3:13" ht="12.75" customHeight="1" x14ac:dyDescent="0.25">
      <c r="C2571"/>
      <c r="M2571"/>
    </row>
    <row r="2572" spans="3:13" ht="12.75" customHeight="1" x14ac:dyDescent="0.25">
      <c r="C2572"/>
      <c r="M2572"/>
    </row>
    <row r="2573" spans="3:13" ht="12.75" customHeight="1" x14ac:dyDescent="0.25">
      <c r="C2573"/>
      <c r="M2573"/>
    </row>
    <row r="2574" spans="3:13" ht="12.75" customHeight="1" x14ac:dyDescent="0.25">
      <c r="C2574"/>
      <c r="M2574"/>
    </row>
    <row r="2575" spans="3:13" ht="12.75" customHeight="1" x14ac:dyDescent="0.25">
      <c r="C2575"/>
      <c r="M2575"/>
    </row>
    <row r="2576" spans="3:13" ht="12.75" customHeight="1" x14ac:dyDescent="0.25">
      <c r="C2576"/>
      <c r="M2576"/>
    </row>
    <row r="2577" spans="3:13" ht="12.75" customHeight="1" x14ac:dyDescent="0.25">
      <c r="C2577"/>
      <c r="M2577"/>
    </row>
    <row r="2578" spans="3:13" ht="12.75" customHeight="1" x14ac:dyDescent="0.25">
      <c r="C2578"/>
      <c r="M2578"/>
    </row>
    <row r="2579" spans="3:13" ht="12.75" customHeight="1" x14ac:dyDescent="0.25">
      <c r="C2579"/>
      <c r="M2579"/>
    </row>
    <row r="2580" spans="3:13" ht="12.75" customHeight="1" x14ac:dyDescent="0.25">
      <c r="C2580"/>
      <c r="M2580"/>
    </row>
    <row r="2581" spans="3:13" ht="12.75" customHeight="1" x14ac:dyDescent="0.25">
      <c r="C2581"/>
      <c r="M2581"/>
    </row>
    <row r="2582" spans="3:13" ht="12.75" customHeight="1" x14ac:dyDescent="0.25">
      <c r="C2582"/>
      <c r="M2582"/>
    </row>
    <row r="2583" spans="3:13" ht="12.75" customHeight="1" x14ac:dyDescent="0.25">
      <c r="C2583"/>
      <c r="M2583"/>
    </row>
    <row r="2584" spans="3:13" ht="12.75" customHeight="1" x14ac:dyDescent="0.25">
      <c r="C2584"/>
      <c r="M2584"/>
    </row>
    <row r="2585" spans="3:13" ht="12.75" customHeight="1" x14ac:dyDescent="0.25">
      <c r="C2585"/>
      <c r="M2585"/>
    </row>
    <row r="2586" spans="3:13" ht="12.75" customHeight="1" x14ac:dyDescent="0.25">
      <c r="C2586"/>
      <c r="M2586"/>
    </row>
    <row r="2587" spans="3:13" ht="12.75" customHeight="1" x14ac:dyDescent="0.25">
      <c r="C2587"/>
      <c r="M2587"/>
    </row>
    <row r="2588" spans="3:13" ht="12.75" customHeight="1" x14ac:dyDescent="0.25">
      <c r="C2588"/>
      <c r="M2588"/>
    </row>
    <row r="2589" spans="3:13" ht="12.75" customHeight="1" x14ac:dyDescent="0.25">
      <c r="C2589"/>
      <c r="M2589"/>
    </row>
    <row r="2590" spans="3:13" ht="12.75" customHeight="1" x14ac:dyDescent="0.25">
      <c r="C2590"/>
      <c r="M2590"/>
    </row>
    <row r="2591" spans="3:13" ht="12.75" customHeight="1" x14ac:dyDescent="0.25">
      <c r="C2591"/>
      <c r="M2591"/>
    </row>
    <row r="2592" spans="3:13" ht="12.75" customHeight="1" x14ac:dyDescent="0.25">
      <c r="C2592"/>
      <c r="M2592"/>
    </row>
    <row r="2593" spans="3:13" ht="12.75" customHeight="1" x14ac:dyDescent="0.25">
      <c r="C2593"/>
      <c r="M2593"/>
    </row>
    <row r="2594" spans="3:13" ht="12.75" customHeight="1" x14ac:dyDescent="0.25">
      <c r="C2594"/>
      <c r="M2594"/>
    </row>
    <row r="2595" spans="3:13" ht="12.75" customHeight="1" x14ac:dyDescent="0.25">
      <c r="C2595"/>
      <c r="M2595"/>
    </row>
    <row r="2596" spans="3:13" ht="12.75" customHeight="1" x14ac:dyDescent="0.25">
      <c r="C2596"/>
      <c r="M2596"/>
    </row>
    <row r="2597" spans="3:13" ht="12.75" customHeight="1" x14ac:dyDescent="0.25">
      <c r="C2597"/>
      <c r="M2597"/>
    </row>
    <row r="2598" spans="3:13" ht="12.75" customHeight="1" x14ac:dyDescent="0.25">
      <c r="C2598"/>
      <c r="M2598"/>
    </row>
    <row r="2599" spans="3:13" ht="12.75" customHeight="1" x14ac:dyDescent="0.25">
      <c r="C2599"/>
      <c r="M2599"/>
    </row>
    <row r="2600" spans="3:13" ht="12.75" customHeight="1" x14ac:dyDescent="0.25">
      <c r="C2600"/>
      <c r="M2600"/>
    </row>
    <row r="2601" spans="3:13" ht="12.75" customHeight="1" x14ac:dyDescent="0.25">
      <c r="C2601"/>
      <c r="M2601"/>
    </row>
    <row r="2602" spans="3:13" ht="12.75" customHeight="1" x14ac:dyDescent="0.25">
      <c r="C2602"/>
      <c r="M2602"/>
    </row>
    <row r="2603" spans="3:13" ht="12.75" customHeight="1" x14ac:dyDescent="0.25">
      <c r="C2603"/>
      <c r="M2603"/>
    </row>
    <row r="2604" spans="3:13" ht="12.75" customHeight="1" x14ac:dyDescent="0.25">
      <c r="C2604"/>
      <c r="M2604"/>
    </row>
    <row r="2605" spans="3:13" ht="12.75" customHeight="1" x14ac:dyDescent="0.25">
      <c r="C2605"/>
      <c r="M2605"/>
    </row>
    <row r="2606" spans="3:13" ht="12.75" customHeight="1" x14ac:dyDescent="0.25">
      <c r="C2606"/>
      <c r="M2606"/>
    </row>
    <row r="2607" spans="3:13" ht="12.75" customHeight="1" x14ac:dyDescent="0.25">
      <c r="C2607"/>
      <c r="M2607"/>
    </row>
    <row r="2608" spans="3:13" ht="12.75" customHeight="1" x14ac:dyDescent="0.25">
      <c r="C2608"/>
      <c r="M2608"/>
    </row>
    <row r="2609" spans="3:13" ht="12.75" customHeight="1" x14ac:dyDescent="0.25">
      <c r="C2609"/>
      <c r="M2609"/>
    </row>
    <row r="2610" spans="3:13" ht="12.75" customHeight="1" x14ac:dyDescent="0.25">
      <c r="C2610"/>
      <c r="M2610"/>
    </row>
    <row r="2611" spans="3:13" ht="12.75" customHeight="1" x14ac:dyDescent="0.25">
      <c r="C2611"/>
      <c r="M2611"/>
    </row>
    <row r="2612" spans="3:13" ht="12.75" customHeight="1" x14ac:dyDescent="0.25">
      <c r="C2612"/>
      <c r="M2612"/>
    </row>
    <row r="2613" spans="3:13" ht="12.75" customHeight="1" x14ac:dyDescent="0.25">
      <c r="C2613"/>
      <c r="M2613"/>
    </row>
    <row r="2614" spans="3:13" ht="12.75" customHeight="1" x14ac:dyDescent="0.25">
      <c r="C2614"/>
      <c r="M2614"/>
    </row>
    <row r="2615" spans="3:13" ht="12.75" customHeight="1" x14ac:dyDescent="0.25">
      <c r="C2615"/>
      <c r="M2615"/>
    </row>
    <row r="2616" spans="3:13" ht="12.75" customHeight="1" x14ac:dyDescent="0.25">
      <c r="C2616"/>
      <c r="M2616"/>
    </row>
    <row r="2617" spans="3:13" ht="12.75" customHeight="1" x14ac:dyDescent="0.25">
      <c r="C2617"/>
      <c r="M2617"/>
    </row>
    <row r="2618" spans="3:13" ht="12.75" customHeight="1" x14ac:dyDescent="0.25">
      <c r="C2618"/>
      <c r="M2618"/>
    </row>
    <row r="2619" spans="3:13" ht="12.75" customHeight="1" x14ac:dyDescent="0.25">
      <c r="C2619"/>
      <c r="M2619"/>
    </row>
    <row r="2620" spans="3:13" ht="12.75" customHeight="1" x14ac:dyDescent="0.25">
      <c r="C2620"/>
      <c r="M2620"/>
    </row>
    <row r="2621" spans="3:13" ht="12.75" customHeight="1" x14ac:dyDescent="0.25">
      <c r="C2621"/>
      <c r="M2621"/>
    </row>
    <row r="2622" spans="3:13" ht="12.75" customHeight="1" x14ac:dyDescent="0.25">
      <c r="C2622"/>
      <c r="M2622"/>
    </row>
    <row r="2623" spans="3:13" ht="12.75" customHeight="1" x14ac:dyDescent="0.25">
      <c r="C2623"/>
      <c r="M2623"/>
    </row>
    <row r="2624" spans="3:13" ht="12.75" customHeight="1" x14ac:dyDescent="0.25">
      <c r="C2624"/>
      <c r="M2624"/>
    </row>
    <row r="2625" spans="3:13" ht="12.75" customHeight="1" x14ac:dyDescent="0.25">
      <c r="C2625"/>
      <c r="M2625"/>
    </row>
    <row r="2626" spans="3:13" ht="12.75" customHeight="1" x14ac:dyDescent="0.25">
      <c r="C2626"/>
      <c r="M2626"/>
    </row>
    <row r="2627" spans="3:13" ht="12.75" customHeight="1" x14ac:dyDescent="0.25">
      <c r="C2627"/>
      <c r="M2627"/>
    </row>
    <row r="2628" spans="3:13" ht="12.75" customHeight="1" x14ac:dyDescent="0.25">
      <c r="C2628"/>
      <c r="M2628"/>
    </row>
    <row r="2629" spans="3:13" ht="12.75" customHeight="1" x14ac:dyDescent="0.25">
      <c r="C2629"/>
      <c r="M2629"/>
    </row>
    <row r="2630" spans="3:13" ht="12.75" customHeight="1" x14ac:dyDescent="0.25">
      <c r="C2630"/>
      <c r="M2630"/>
    </row>
    <row r="2631" spans="3:13" ht="12.75" customHeight="1" x14ac:dyDescent="0.25">
      <c r="C2631"/>
      <c r="M2631"/>
    </row>
    <row r="2632" spans="3:13" ht="12.75" customHeight="1" x14ac:dyDescent="0.25">
      <c r="C2632"/>
      <c r="M2632"/>
    </row>
    <row r="2633" spans="3:13" ht="12.75" customHeight="1" x14ac:dyDescent="0.25">
      <c r="C2633"/>
      <c r="M2633"/>
    </row>
    <row r="2634" spans="3:13" ht="12.75" customHeight="1" x14ac:dyDescent="0.25">
      <c r="C2634"/>
      <c r="M2634"/>
    </row>
    <row r="2635" spans="3:13" ht="12.75" customHeight="1" x14ac:dyDescent="0.25">
      <c r="C2635"/>
      <c r="M2635"/>
    </row>
    <row r="2636" spans="3:13" ht="12.75" customHeight="1" x14ac:dyDescent="0.25">
      <c r="C2636"/>
      <c r="M2636"/>
    </row>
    <row r="2637" spans="3:13" ht="12.75" customHeight="1" x14ac:dyDescent="0.25">
      <c r="C2637"/>
      <c r="M2637"/>
    </row>
    <row r="2638" spans="3:13" ht="12.75" customHeight="1" x14ac:dyDescent="0.25">
      <c r="C2638"/>
      <c r="M2638"/>
    </row>
    <row r="2639" spans="3:13" ht="12.75" customHeight="1" x14ac:dyDescent="0.25">
      <c r="C2639"/>
      <c r="M2639"/>
    </row>
    <row r="2640" spans="3:13" ht="12.75" customHeight="1" x14ac:dyDescent="0.25">
      <c r="C2640"/>
      <c r="M2640"/>
    </row>
    <row r="2641" spans="3:13" ht="12.75" customHeight="1" x14ac:dyDescent="0.25">
      <c r="C2641"/>
      <c r="M2641"/>
    </row>
    <row r="2642" spans="3:13" ht="12.75" customHeight="1" x14ac:dyDescent="0.25">
      <c r="C2642"/>
      <c r="M2642"/>
    </row>
    <row r="2643" spans="3:13" ht="12.75" customHeight="1" x14ac:dyDescent="0.25">
      <c r="C2643"/>
      <c r="M2643"/>
    </row>
    <row r="2644" spans="3:13" ht="12.75" customHeight="1" x14ac:dyDescent="0.25">
      <c r="C2644"/>
      <c r="M2644"/>
    </row>
    <row r="2645" spans="3:13" ht="12.75" customHeight="1" x14ac:dyDescent="0.25">
      <c r="C2645"/>
      <c r="M2645"/>
    </row>
    <row r="2646" spans="3:13" ht="12.75" customHeight="1" x14ac:dyDescent="0.25">
      <c r="C2646"/>
      <c r="M2646"/>
    </row>
    <row r="2647" spans="3:13" ht="12.75" customHeight="1" x14ac:dyDescent="0.25">
      <c r="C2647"/>
      <c r="M2647"/>
    </row>
    <row r="2648" spans="3:13" ht="12.75" customHeight="1" x14ac:dyDescent="0.25">
      <c r="C2648"/>
      <c r="M2648"/>
    </row>
    <row r="2649" spans="3:13" ht="12.75" customHeight="1" x14ac:dyDescent="0.25">
      <c r="C2649"/>
      <c r="M2649"/>
    </row>
    <row r="2650" spans="3:13" ht="12.75" customHeight="1" x14ac:dyDescent="0.25">
      <c r="C2650"/>
      <c r="M2650"/>
    </row>
    <row r="2651" spans="3:13" ht="12.75" customHeight="1" x14ac:dyDescent="0.25">
      <c r="C2651"/>
      <c r="M2651"/>
    </row>
    <row r="2652" spans="3:13" ht="12.75" customHeight="1" x14ac:dyDescent="0.25">
      <c r="C2652"/>
      <c r="M2652"/>
    </row>
    <row r="2653" spans="3:13" ht="12.75" customHeight="1" x14ac:dyDescent="0.25">
      <c r="C2653"/>
      <c r="M2653"/>
    </row>
    <row r="2654" spans="3:13" ht="12.75" customHeight="1" x14ac:dyDescent="0.25">
      <c r="C2654"/>
      <c r="M2654"/>
    </row>
    <row r="2655" spans="3:13" ht="12.75" customHeight="1" x14ac:dyDescent="0.25">
      <c r="C2655"/>
      <c r="M2655"/>
    </row>
    <row r="2656" spans="3:13" ht="12.75" customHeight="1" x14ac:dyDescent="0.25">
      <c r="C2656"/>
      <c r="M2656"/>
    </row>
    <row r="2657" spans="3:13" ht="12.75" customHeight="1" x14ac:dyDescent="0.25">
      <c r="C2657"/>
      <c r="M2657"/>
    </row>
    <row r="2658" spans="3:13" ht="12.75" customHeight="1" x14ac:dyDescent="0.25">
      <c r="C2658"/>
      <c r="M2658"/>
    </row>
    <row r="2659" spans="3:13" ht="12.75" customHeight="1" x14ac:dyDescent="0.25">
      <c r="C2659"/>
      <c r="M2659"/>
    </row>
    <row r="2660" spans="3:13" ht="12.75" customHeight="1" x14ac:dyDescent="0.25">
      <c r="C2660"/>
      <c r="M2660"/>
    </row>
    <row r="2661" spans="3:13" ht="12.75" customHeight="1" x14ac:dyDescent="0.25">
      <c r="C2661"/>
      <c r="M2661"/>
    </row>
    <row r="2662" spans="3:13" ht="12.75" customHeight="1" x14ac:dyDescent="0.25">
      <c r="C2662"/>
      <c r="M2662"/>
    </row>
    <row r="2663" spans="3:13" ht="12.75" customHeight="1" x14ac:dyDescent="0.25">
      <c r="C2663"/>
      <c r="M2663"/>
    </row>
    <row r="2664" spans="3:13" ht="12.75" customHeight="1" x14ac:dyDescent="0.25">
      <c r="C2664"/>
      <c r="M2664"/>
    </row>
    <row r="2665" spans="3:13" ht="12.75" customHeight="1" x14ac:dyDescent="0.25">
      <c r="C2665"/>
      <c r="M2665"/>
    </row>
    <row r="2666" spans="3:13" ht="12.75" customHeight="1" x14ac:dyDescent="0.25">
      <c r="C2666"/>
      <c r="M2666"/>
    </row>
    <row r="2667" spans="3:13" ht="12.75" customHeight="1" x14ac:dyDescent="0.25">
      <c r="C2667"/>
      <c r="M2667"/>
    </row>
    <row r="2668" spans="3:13" ht="12.75" customHeight="1" x14ac:dyDescent="0.25">
      <c r="C2668"/>
      <c r="M2668"/>
    </row>
    <row r="2669" spans="3:13" ht="12.75" customHeight="1" x14ac:dyDescent="0.25">
      <c r="C2669"/>
      <c r="M2669"/>
    </row>
    <row r="2670" spans="3:13" ht="12.75" customHeight="1" x14ac:dyDescent="0.25">
      <c r="C2670"/>
      <c r="M2670"/>
    </row>
    <row r="2671" spans="3:13" ht="12.75" customHeight="1" x14ac:dyDescent="0.25">
      <c r="C2671"/>
      <c r="M2671"/>
    </row>
    <row r="2672" spans="3:13" ht="12.75" customHeight="1" x14ac:dyDescent="0.25">
      <c r="C2672"/>
      <c r="M2672"/>
    </row>
    <row r="2673" spans="3:13" ht="12.75" customHeight="1" x14ac:dyDescent="0.25">
      <c r="C2673"/>
      <c r="M2673"/>
    </row>
    <row r="2674" spans="3:13" ht="12.75" customHeight="1" x14ac:dyDescent="0.25">
      <c r="C2674"/>
      <c r="M2674"/>
    </row>
    <row r="2675" spans="3:13" ht="12.75" customHeight="1" x14ac:dyDescent="0.25">
      <c r="C2675"/>
      <c r="M2675"/>
    </row>
    <row r="2676" spans="3:13" ht="12.75" customHeight="1" x14ac:dyDescent="0.25">
      <c r="C2676"/>
      <c r="M2676"/>
    </row>
    <row r="2677" spans="3:13" ht="12.75" customHeight="1" x14ac:dyDescent="0.25">
      <c r="C2677"/>
      <c r="M2677"/>
    </row>
    <row r="2678" spans="3:13" ht="12.75" customHeight="1" x14ac:dyDescent="0.25">
      <c r="C2678"/>
      <c r="M2678"/>
    </row>
    <row r="2679" spans="3:13" ht="12.75" customHeight="1" x14ac:dyDescent="0.25">
      <c r="C2679"/>
      <c r="M2679"/>
    </row>
    <row r="2680" spans="3:13" ht="12.75" customHeight="1" x14ac:dyDescent="0.25">
      <c r="C2680"/>
      <c r="M2680"/>
    </row>
    <row r="2681" spans="3:13" ht="12.75" customHeight="1" x14ac:dyDescent="0.25">
      <c r="C2681"/>
      <c r="M2681"/>
    </row>
    <row r="2682" spans="3:13" ht="12.75" customHeight="1" x14ac:dyDescent="0.25">
      <c r="C2682"/>
      <c r="M2682"/>
    </row>
    <row r="2683" spans="3:13" ht="12.75" customHeight="1" x14ac:dyDescent="0.25">
      <c r="C2683"/>
      <c r="M2683"/>
    </row>
    <row r="2684" spans="3:13" ht="12.75" customHeight="1" x14ac:dyDescent="0.25">
      <c r="C2684"/>
      <c r="M2684"/>
    </row>
    <row r="2685" spans="3:13" ht="12.75" customHeight="1" x14ac:dyDescent="0.25">
      <c r="C2685"/>
      <c r="M2685"/>
    </row>
    <row r="2686" spans="3:13" ht="12.75" customHeight="1" x14ac:dyDescent="0.25">
      <c r="C2686"/>
      <c r="M2686"/>
    </row>
    <row r="2687" spans="3:13" ht="12.75" customHeight="1" x14ac:dyDescent="0.25">
      <c r="C2687"/>
      <c r="M2687"/>
    </row>
    <row r="2688" spans="3:13" ht="12.75" customHeight="1" x14ac:dyDescent="0.25">
      <c r="C2688"/>
      <c r="M2688"/>
    </row>
    <row r="2689" spans="3:13" ht="12.75" customHeight="1" x14ac:dyDescent="0.25">
      <c r="C2689"/>
      <c r="M2689"/>
    </row>
    <row r="2690" spans="3:13" ht="12.75" customHeight="1" x14ac:dyDescent="0.25">
      <c r="C2690"/>
      <c r="M2690"/>
    </row>
    <row r="2691" spans="3:13" ht="12.75" customHeight="1" x14ac:dyDescent="0.25">
      <c r="C2691"/>
      <c r="M2691"/>
    </row>
    <row r="2692" spans="3:13" ht="12.75" customHeight="1" x14ac:dyDescent="0.25">
      <c r="C2692"/>
      <c r="M2692"/>
    </row>
    <row r="2693" spans="3:13" ht="12.75" customHeight="1" x14ac:dyDescent="0.25">
      <c r="C2693"/>
      <c r="M2693"/>
    </row>
    <row r="2694" spans="3:13" ht="12.75" customHeight="1" x14ac:dyDescent="0.25">
      <c r="C2694"/>
      <c r="M2694"/>
    </row>
    <row r="2695" spans="3:13" ht="12.75" customHeight="1" x14ac:dyDescent="0.25">
      <c r="C2695"/>
      <c r="M2695"/>
    </row>
    <row r="2696" spans="3:13" ht="12.75" customHeight="1" x14ac:dyDescent="0.25">
      <c r="C2696"/>
      <c r="M2696"/>
    </row>
    <row r="2697" spans="3:13" ht="12.75" customHeight="1" x14ac:dyDescent="0.25">
      <c r="C2697"/>
      <c r="M2697"/>
    </row>
    <row r="2698" spans="3:13" ht="12.75" customHeight="1" x14ac:dyDescent="0.25">
      <c r="C2698"/>
      <c r="M2698"/>
    </row>
    <row r="2699" spans="3:13" ht="12.75" customHeight="1" x14ac:dyDescent="0.25">
      <c r="C2699"/>
      <c r="M2699"/>
    </row>
    <row r="2700" spans="3:13" ht="12.75" customHeight="1" x14ac:dyDescent="0.25">
      <c r="C2700"/>
      <c r="M2700"/>
    </row>
    <row r="2701" spans="3:13" ht="12.75" customHeight="1" x14ac:dyDescent="0.25">
      <c r="C2701"/>
      <c r="M2701"/>
    </row>
    <row r="2702" spans="3:13" ht="12.75" customHeight="1" x14ac:dyDescent="0.25">
      <c r="C2702"/>
      <c r="M2702"/>
    </row>
    <row r="2703" spans="3:13" ht="12.75" customHeight="1" x14ac:dyDescent="0.25">
      <c r="C2703"/>
      <c r="M2703"/>
    </row>
    <row r="2704" spans="3:13" ht="12.75" customHeight="1" x14ac:dyDescent="0.25">
      <c r="C2704"/>
      <c r="M2704"/>
    </row>
    <row r="2705" spans="3:13" ht="12.75" customHeight="1" x14ac:dyDescent="0.25">
      <c r="C2705"/>
      <c r="M2705"/>
    </row>
    <row r="2706" spans="3:13" ht="12.75" customHeight="1" x14ac:dyDescent="0.25">
      <c r="C2706"/>
      <c r="M2706"/>
    </row>
    <row r="2707" spans="3:13" ht="12.75" customHeight="1" x14ac:dyDescent="0.25">
      <c r="C2707"/>
      <c r="M2707"/>
    </row>
    <row r="2708" spans="3:13" ht="12.75" customHeight="1" x14ac:dyDescent="0.25">
      <c r="C2708"/>
      <c r="M2708"/>
    </row>
    <row r="2709" spans="3:13" ht="12.75" customHeight="1" x14ac:dyDescent="0.25">
      <c r="C2709"/>
      <c r="M2709"/>
    </row>
    <row r="2710" spans="3:13" ht="12.75" customHeight="1" x14ac:dyDescent="0.25">
      <c r="C2710"/>
      <c r="M2710"/>
    </row>
    <row r="2711" spans="3:13" ht="12.75" customHeight="1" x14ac:dyDescent="0.25">
      <c r="C2711"/>
      <c r="M2711"/>
    </row>
    <row r="2712" spans="3:13" ht="12.75" customHeight="1" x14ac:dyDescent="0.25">
      <c r="C2712"/>
      <c r="M2712"/>
    </row>
    <row r="2713" spans="3:13" ht="12.75" customHeight="1" x14ac:dyDescent="0.25">
      <c r="C2713"/>
      <c r="M2713"/>
    </row>
    <row r="2714" spans="3:13" ht="12.75" customHeight="1" x14ac:dyDescent="0.25">
      <c r="C2714"/>
      <c r="M2714"/>
    </row>
    <row r="2715" spans="3:13" ht="12.75" customHeight="1" x14ac:dyDescent="0.25">
      <c r="C2715"/>
      <c r="M2715"/>
    </row>
    <row r="2716" spans="3:13" ht="12.75" customHeight="1" x14ac:dyDescent="0.25">
      <c r="C2716"/>
      <c r="M2716"/>
    </row>
    <row r="2717" spans="3:13" ht="12.75" customHeight="1" x14ac:dyDescent="0.25">
      <c r="C2717"/>
      <c r="M2717"/>
    </row>
    <row r="2718" spans="3:13" ht="12.75" customHeight="1" x14ac:dyDescent="0.25">
      <c r="C2718"/>
      <c r="M2718"/>
    </row>
    <row r="2719" spans="3:13" ht="12.75" customHeight="1" x14ac:dyDescent="0.25">
      <c r="C2719"/>
      <c r="M2719"/>
    </row>
    <row r="2720" spans="3:13" ht="12.75" customHeight="1" x14ac:dyDescent="0.25">
      <c r="C2720"/>
      <c r="M2720"/>
    </row>
    <row r="2721" spans="3:13" ht="12.75" customHeight="1" x14ac:dyDescent="0.25">
      <c r="C2721"/>
      <c r="M2721"/>
    </row>
    <row r="2722" spans="3:13" ht="12.75" customHeight="1" x14ac:dyDescent="0.25">
      <c r="C2722"/>
      <c r="M2722"/>
    </row>
    <row r="2723" spans="3:13" ht="12.75" customHeight="1" x14ac:dyDescent="0.25">
      <c r="C2723"/>
      <c r="M2723"/>
    </row>
    <row r="2724" spans="3:13" ht="12.75" customHeight="1" x14ac:dyDescent="0.25">
      <c r="C2724"/>
      <c r="M2724"/>
    </row>
    <row r="2725" spans="3:13" ht="12.75" customHeight="1" x14ac:dyDescent="0.25">
      <c r="C2725"/>
      <c r="M2725"/>
    </row>
    <row r="2726" spans="3:13" ht="12.75" customHeight="1" x14ac:dyDescent="0.25">
      <c r="C2726"/>
      <c r="M2726"/>
    </row>
    <row r="2727" spans="3:13" ht="12.75" customHeight="1" x14ac:dyDescent="0.25">
      <c r="C2727"/>
      <c r="M2727"/>
    </row>
    <row r="2728" spans="3:13" ht="12.75" customHeight="1" x14ac:dyDescent="0.25">
      <c r="C2728"/>
      <c r="M2728"/>
    </row>
    <row r="2729" spans="3:13" ht="12.75" customHeight="1" x14ac:dyDescent="0.25">
      <c r="C2729"/>
      <c r="M2729"/>
    </row>
    <row r="2730" spans="3:13" ht="12.75" customHeight="1" x14ac:dyDescent="0.25">
      <c r="C2730"/>
      <c r="M2730"/>
    </row>
    <row r="2731" spans="3:13" ht="12.75" customHeight="1" x14ac:dyDescent="0.25">
      <c r="C2731"/>
      <c r="M2731"/>
    </row>
    <row r="2732" spans="3:13" ht="12.75" customHeight="1" x14ac:dyDescent="0.25">
      <c r="C2732"/>
      <c r="M2732"/>
    </row>
    <row r="2733" spans="3:13" ht="12.75" customHeight="1" x14ac:dyDescent="0.25">
      <c r="C2733"/>
      <c r="M2733"/>
    </row>
    <row r="2734" spans="3:13" ht="12.75" customHeight="1" x14ac:dyDescent="0.25">
      <c r="C2734"/>
      <c r="M2734"/>
    </row>
    <row r="2735" spans="3:13" ht="12.75" customHeight="1" x14ac:dyDescent="0.25">
      <c r="C2735"/>
      <c r="M2735"/>
    </row>
    <row r="2736" spans="3:13" ht="12.75" customHeight="1" x14ac:dyDescent="0.25">
      <c r="C2736"/>
      <c r="M2736"/>
    </row>
    <row r="2737" spans="3:13" ht="12.75" customHeight="1" x14ac:dyDescent="0.25">
      <c r="C2737"/>
      <c r="M2737"/>
    </row>
    <row r="2738" spans="3:13" ht="12.75" customHeight="1" x14ac:dyDescent="0.25">
      <c r="C2738"/>
      <c r="M2738"/>
    </row>
    <row r="2739" spans="3:13" ht="12.75" customHeight="1" x14ac:dyDescent="0.25">
      <c r="C2739"/>
      <c r="M2739"/>
    </row>
    <row r="2740" spans="3:13" ht="12.75" customHeight="1" x14ac:dyDescent="0.25">
      <c r="C2740"/>
      <c r="M2740"/>
    </row>
    <row r="2741" spans="3:13" ht="12.75" customHeight="1" x14ac:dyDescent="0.25">
      <c r="C2741"/>
      <c r="M2741"/>
    </row>
    <row r="2742" spans="3:13" ht="12.75" customHeight="1" x14ac:dyDescent="0.25">
      <c r="C2742"/>
      <c r="M2742"/>
    </row>
    <row r="2743" spans="3:13" ht="12.75" customHeight="1" x14ac:dyDescent="0.25">
      <c r="C2743"/>
      <c r="M2743"/>
    </row>
    <row r="2744" spans="3:13" ht="12.75" customHeight="1" x14ac:dyDescent="0.25">
      <c r="C2744"/>
      <c r="M2744"/>
    </row>
    <row r="2745" spans="3:13" ht="12.75" customHeight="1" x14ac:dyDescent="0.25">
      <c r="C2745"/>
      <c r="M2745"/>
    </row>
    <row r="2746" spans="3:13" ht="12.75" customHeight="1" x14ac:dyDescent="0.25">
      <c r="C2746"/>
      <c r="M2746"/>
    </row>
    <row r="2747" spans="3:13" ht="12.75" customHeight="1" x14ac:dyDescent="0.25">
      <c r="C2747"/>
      <c r="M2747"/>
    </row>
    <row r="2748" spans="3:13" ht="12.75" customHeight="1" x14ac:dyDescent="0.25">
      <c r="C2748"/>
      <c r="M2748"/>
    </row>
    <row r="2749" spans="3:13" ht="12.75" customHeight="1" x14ac:dyDescent="0.25">
      <c r="C2749"/>
      <c r="M2749"/>
    </row>
    <row r="2750" spans="3:13" ht="12.75" customHeight="1" x14ac:dyDescent="0.25">
      <c r="C2750"/>
      <c r="M2750"/>
    </row>
    <row r="2751" spans="3:13" ht="12.75" customHeight="1" x14ac:dyDescent="0.25">
      <c r="C2751"/>
      <c r="M2751"/>
    </row>
    <row r="2752" spans="3:13" ht="12.75" customHeight="1" x14ac:dyDescent="0.25">
      <c r="C2752"/>
      <c r="M2752"/>
    </row>
    <row r="2753" spans="3:13" ht="12.75" customHeight="1" x14ac:dyDescent="0.25">
      <c r="C2753"/>
      <c r="M2753"/>
    </row>
    <row r="2754" spans="3:13" ht="12.75" customHeight="1" x14ac:dyDescent="0.25">
      <c r="C2754"/>
      <c r="M2754"/>
    </row>
    <row r="2755" spans="3:13" ht="12.75" customHeight="1" x14ac:dyDescent="0.25">
      <c r="C2755"/>
      <c r="M2755"/>
    </row>
    <row r="2756" spans="3:13" ht="12.75" customHeight="1" x14ac:dyDescent="0.25">
      <c r="C2756"/>
      <c r="M2756"/>
    </row>
    <row r="2757" spans="3:13" ht="12.75" customHeight="1" x14ac:dyDescent="0.25">
      <c r="C2757"/>
      <c r="M2757"/>
    </row>
    <row r="2758" spans="3:13" ht="12.75" customHeight="1" x14ac:dyDescent="0.25">
      <c r="C2758"/>
      <c r="M2758"/>
    </row>
    <row r="2759" spans="3:13" ht="12.75" customHeight="1" x14ac:dyDescent="0.25">
      <c r="C2759"/>
      <c r="M2759"/>
    </row>
    <row r="2760" spans="3:13" ht="12.75" customHeight="1" x14ac:dyDescent="0.25">
      <c r="C2760"/>
      <c r="M2760"/>
    </row>
    <row r="2761" spans="3:13" ht="12.75" customHeight="1" x14ac:dyDescent="0.25">
      <c r="C2761"/>
      <c r="M2761"/>
    </row>
    <row r="2762" spans="3:13" ht="12.75" customHeight="1" x14ac:dyDescent="0.25">
      <c r="C2762"/>
      <c r="M2762"/>
    </row>
    <row r="2763" spans="3:13" ht="12.75" customHeight="1" x14ac:dyDescent="0.25">
      <c r="C2763"/>
      <c r="M2763"/>
    </row>
    <row r="2764" spans="3:13" ht="12.75" customHeight="1" x14ac:dyDescent="0.25">
      <c r="C2764"/>
      <c r="M2764"/>
    </row>
    <row r="2765" spans="3:13" ht="12.75" customHeight="1" x14ac:dyDescent="0.25">
      <c r="C2765"/>
      <c r="M2765"/>
    </row>
    <row r="2766" spans="3:13" ht="12.75" customHeight="1" x14ac:dyDescent="0.25">
      <c r="C2766"/>
      <c r="M2766"/>
    </row>
    <row r="2767" spans="3:13" ht="12.75" customHeight="1" x14ac:dyDescent="0.25">
      <c r="C2767"/>
      <c r="M2767"/>
    </row>
    <row r="2768" spans="3:13" ht="12.75" customHeight="1" x14ac:dyDescent="0.25">
      <c r="C2768"/>
      <c r="M2768"/>
    </row>
    <row r="2769" spans="3:13" ht="12.75" customHeight="1" x14ac:dyDescent="0.25">
      <c r="C2769"/>
      <c r="M2769"/>
    </row>
    <row r="2770" spans="3:13" ht="12.75" customHeight="1" x14ac:dyDescent="0.25">
      <c r="C2770"/>
      <c r="M2770"/>
    </row>
    <row r="2771" spans="3:13" ht="12.75" customHeight="1" x14ac:dyDescent="0.25">
      <c r="C2771"/>
      <c r="M2771"/>
    </row>
    <row r="2772" spans="3:13" ht="12.75" customHeight="1" x14ac:dyDescent="0.25">
      <c r="C2772"/>
      <c r="M2772"/>
    </row>
    <row r="2773" spans="3:13" ht="12.75" customHeight="1" x14ac:dyDescent="0.25">
      <c r="C2773"/>
      <c r="M2773"/>
    </row>
    <row r="2774" spans="3:13" ht="12.75" customHeight="1" x14ac:dyDescent="0.25">
      <c r="C2774"/>
      <c r="M2774"/>
    </row>
    <row r="2775" spans="3:13" ht="12.75" customHeight="1" x14ac:dyDescent="0.25">
      <c r="C2775"/>
      <c r="M2775"/>
    </row>
    <row r="2776" spans="3:13" ht="12.75" customHeight="1" x14ac:dyDescent="0.25">
      <c r="C2776"/>
      <c r="M2776"/>
    </row>
    <row r="2777" spans="3:13" ht="12.75" customHeight="1" x14ac:dyDescent="0.25">
      <c r="C2777"/>
      <c r="M2777"/>
    </row>
    <row r="2778" spans="3:13" ht="12.75" customHeight="1" x14ac:dyDescent="0.25">
      <c r="C2778"/>
      <c r="M2778"/>
    </row>
    <row r="2779" spans="3:13" ht="12.75" customHeight="1" x14ac:dyDescent="0.25">
      <c r="C2779"/>
      <c r="M2779"/>
    </row>
    <row r="2780" spans="3:13" ht="12.75" customHeight="1" x14ac:dyDescent="0.25">
      <c r="C2780"/>
      <c r="M2780"/>
    </row>
    <row r="2781" spans="3:13" ht="12.75" customHeight="1" x14ac:dyDescent="0.25">
      <c r="C2781"/>
      <c r="M2781"/>
    </row>
    <row r="2782" spans="3:13" ht="12.75" customHeight="1" x14ac:dyDescent="0.25">
      <c r="C2782"/>
      <c r="M2782"/>
    </row>
    <row r="2783" spans="3:13" ht="12.75" customHeight="1" x14ac:dyDescent="0.25">
      <c r="C2783"/>
      <c r="M2783"/>
    </row>
    <row r="2784" spans="3:13" ht="12.75" customHeight="1" x14ac:dyDescent="0.25">
      <c r="C2784"/>
      <c r="M2784"/>
    </row>
    <row r="2785" spans="3:13" ht="12.75" customHeight="1" x14ac:dyDescent="0.25">
      <c r="C2785"/>
      <c r="M2785"/>
    </row>
    <row r="2786" spans="3:13" ht="12.75" customHeight="1" x14ac:dyDescent="0.25">
      <c r="C2786"/>
      <c r="M2786"/>
    </row>
    <row r="2787" spans="3:13" ht="12.75" customHeight="1" x14ac:dyDescent="0.25">
      <c r="C2787"/>
      <c r="M2787"/>
    </row>
    <row r="2788" spans="3:13" ht="12.75" customHeight="1" x14ac:dyDescent="0.25">
      <c r="C2788"/>
      <c r="M2788"/>
    </row>
    <row r="2789" spans="3:13" ht="12.75" customHeight="1" x14ac:dyDescent="0.25">
      <c r="C2789"/>
      <c r="M2789"/>
    </row>
    <row r="2790" spans="3:13" ht="12.75" customHeight="1" x14ac:dyDescent="0.25">
      <c r="C2790"/>
      <c r="M2790"/>
    </row>
    <row r="2791" spans="3:13" ht="12.75" customHeight="1" x14ac:dyDescent="0.25">
      <c r="C2791"/>
      <c r="M2791"/>
    </row>
    <row r="2792" spans="3:13" ht="12.75" customHeight="1" x14ac:dyDescent="0.25">
      <c r="C2792"/>
      <c r="M2792"/>
    </row>
    <row r="2793" spans="3:13" ht="12.75" customHeight="1" x14ac:dyDescent="0.25">
      <c r="C2793"/>
      <c r="M2793"/>
    </row>
    <row r="2794" spans="3:13" ht="12.75" customHeight="1" x14ac:dyDescent="0.25">
      <c r="C2794"/>
      <c r="M2794"/>
    </row>
    <row r="2795" spans="3:13" ht="12.75" customHeight="1" x14ac:dyDescent="0.25">
      <c r="C2795"/>
      <c r="M2795"/>
    </row>
    <row r="2796" spans="3:13" ht="12.75" customHeight="1" x14ac:dyDescent="0.25">
      <c r="C2796"/>
      <c r="M2796"/>
    </row>
    <row r="2797" spans="3:13" ht="12.75" customHeight="1" x14ac:dyDescent="0.25">
      <c r="C2797"/>
      <c r="M2797"/>
    </row>
    <row r="2798" spans="3:13" ht="12.75" customHeight="1" x14ac:dyDescent="0.25">
      <c r="C2798"/>
      <c r="M2798"/>
    </row>
    <row r="2799" spans="3:13" ht="12.75" customHeight="1" x14ac:dyDescent="0.25">
      <c r="C2799"/>
      <c r="M2799"/>
    </row>
    <row r="2800" spans="3:13" ht="12.75" customHeight="1" x14ac:dyDescent="0.25">
      <c r="C2800"/>
      <c r="M2800"/>
    </row>
    <row r="2801" spans="3:13" ht="12.75" customHeight="1" x14ac:dyDescent="0.25">
      <c r="C2801"/>
      <c r="M2801"/>
    </row>
    <row r="2802" spans="3:13" ht="12.75" customHeight="1" x14ac:dyDescent="0.25">
      <c r="C2802"/>
      <c r="M2802"/>
    </row>
    <row r="2803" spans="3:13" ht="12.75" customHeight="1" x14ac:dyDescent="0.25">
      <c r="C2803"/>
      <c r="M2803"/>
    </row>
    <row r="2804" spans="3:13" ht="12.75" customHeight="1" x14ac:dyDescent="0.25">
      <c r="C2804"/>
      <c r="M2804"/>
    </row>
    <row r="2805" spans="3:13" ht="12.75" customHeight="1" x14ac:dyDescent="0.25">
      <c r="C2805"/>
      <c r="M2805"/>
    </row>
    <row r="2806" spans="3:13" ht="12.75" customHeight="1" x14ac:dyDescent="0.25">
      <c r="C2806"/>
      <c r="M2806"/>
    </row>
    <row r="2807" spans="3:13" ht="12.75" customHeight="1" x14ac:dyDescent="0.25">
      <c r="C2807"/>
      <c r="M2807"/>
    </row>
    <row r="2808" spans="3:13" ht="12.75" customHeight="1" x14ac:dyDescent="0.25">
      <c r="C2808"/>
      <c r="M2808"/>
    </row>
    <row r="2809" spans="3:13" ht="12.75" customHeight="1" x14ac:dyDescent="0.25">
      <c r="C2809"/>
      <c r="M2809"/>
    </row>
    <row r="2810" spans="3:13" ht="12.75" customHeight="1" x14ac:dyDescent="0.25">
      <c r="C2810"/>
      <c r="M2810"/>
    </row>
    <row r="2811" spans="3:13" ht="12.75" customHeight="1" x14ac:dyDescent="0.25">
      <c r="C2811"/>
      <c r="M2811"/>
    </row>
    <row r="2812" spans="3:13" ht="12.75" customHeight="1" x14ac:dyDescent="0.25">
      <c r="C2812"/>
      <c r="M2812"/>
    </row>
    <row r="2813" spans="3:13" ht="12.75" customHeight="1" x14ac:dyDescent="0.25">
      <c r="C2813"/>
      <c r="M2813"/>
    </row>
    <row r="2814" spans="3:13" ht="12.75" customHeight="1" x14ac:dyDescent="0.25">
      <c r="C2814"/>
      <c r="M2814"/>
    </row>
    <row r="2815" spans="3:13" ht="12.75" customHeight="1" x14ac:dyDescent="0.25">
      <c r="C2815"/>
      <c r="M2815"/>
    </row>
    <row r="2816" spans="3:13" ht="12.75" customHeight="1" x14ac:dyDescent="0.25">
      <c r="C2816"/>
      <c r="M2816"/>
    </row>
    <row r="2817" spans="3:13" ht="12.75" customHeight="1" x14ac:dyDescent="0.25">
      <c r="C2817"/>
      <c r="M2817"/>
    </row>
    <row r="2818" spans="3:13" ht="12.75" customHeight="1" x14ac:dyDescent="0.25">
      <c r="C2818"/>
      <c r="M2818"/>
    </row>
    <row r="2819" spans="3:13" ht="12.75" customHeight="1" x14ac:dyDescent="0.25">
      <c r="C2819"/>
      <c r="M2819"/>
    </row>
    <row r="2820" spans="3:13" ht="12.75" customHeight="1" x14ac:dyDescent="0.25">
      <c r="C2820"/>
      <c r="M2820"/>
    </row>
    <row r="2821" spans="3:13" ht="12.75" customHeight="1" x14ac:dyDescent="0.25">
      <c r="C2821"/>
      <c r="M2821"/>
    </row>
    <row r="2822" spans="3:13" ht="12.75" customHeight="1" x14ac:dyDescent="0.25">
      <c r="C2822"/>
      <c r="M2822"/>
    </row>
    <row r="2823" spans="3:13" ht="12.75" customHeight="1" x14ac:dyDescent="0.25">
      <c r="C2823"/>
      <c r="M2823"/>
    </row>
    <row r="2824" spans="3:13" ht="12.75" customHeight="1" x14ac:dyDescent="0.25">
      <c r="C2824"/>
      <c r="M2824"/>
    </row>
    <row r="2825" spans="3:13" ht="12.75" customHeight="1" x14ac:dyDescent="0.25">
      <c r="C2825"/>
      <c r="M2825"/>
    </row>
    <row r="2826" spans="3:13" ht="12.75" customHeight="1" x14ac:dyDescent="0.25">
      <c r="C2826"/>
      <c r="M2826"/>
    </row>
    <row r="2827" spans="3:13" ht="12.75" customHeight="1" x14ac:dyDescent="0.25">
      <c r="C2827"/>
      <c r="M2827"/>
    </row>
    <row r="2828" spans="3:13" ht="12.75" customHeight="1" x14ac:dyDescent="0.25">
      <c r="C2828"/>
      <c r="M2828"/>
    </row>
    <row r="2829" spans="3:13" ht="12.75" customHeight="1" x14ac:dyDescent="0.25">
      <c r="C2829"/>
      <c r="M2829"/>
    </row>
    <row r="2830" spans="3:13" ht="12.75" customHeight="1" x14ac:dyDescent="0.25">
      <c r="C2830"/>
      <c r="M2830"/>
    </row>
    <row r="2831" spans="3:13" ht="12.75" customHeight="1" x14ac:dyDescent="0.25">
      <c r="C2831"/>
      <c r="M2831"/>
    </row>
    <row r="2832" spans="3:13" ht="12.75" customHeight="1" x14ac:dyDescent="0.25">
      <c r="C2832"/>
      <c r="M2832"/>
    </row>
    <row r="2833" spans="3:13" ht="12.75" customHeight="1" x14ac:dyDescent="0.25">
      <c r="C2833"/>
      <c r="M2833"/>
    </row>
    <row r="2834" spans="3:13" ht="12.75" customHeight="1" x14ac:dyDescent="0.25">
      <c r="C2834"/>
      <c r="M2834"/>
    </row>
    <row r="2835" spans="3:13" ht="12.75" customHeight="1" x14ac:dyDescent="0.25">
      <c r="C2835"/>
      <c r="M2835"/>
    </row>
    <row r="2836" spans="3:13" ht="12.75" customHeight="1" x14ac:dyDescent="0.25">
      <c r="C2836"/>
      <c r="M2836"/>
    </row>
    <row r="2837" spans="3:13" ht="12.75" customHeight="1" x14ac:dyDescent="0.25">
      <c r="C2837"/>
      <c r="M2837"/>
    </row>
    <row r="2838" spans="3:13" ht="12.75" customHeight="1" x14ac:dyDescent="0.25">
      <c r="C2838"/>
      <c r="M2838"/>
    </row>
    <row r="2839" spans="3:13" ht="12.75" customHeight="1" x14ac:dyDescent="0.25">
      <c r="C2839"/>
      <c r="M2839"/>
    </row>
    <row r="2840" spans="3:13" ht="12.75" customHeight="1" x14ac:dyDescent="0.25">
      <c r="C2840"/>
      <c r="M2840"/>
    </row>
    <row r="2841" spans="3:13" ht="12.75" customHeight="1" x14ac:dyDescent="0.25">
      <c r="C2841"/>
      <c r="M2841"/>
    </row>
    <row r="2842" spans="3:13" ht="12.75" customHeight="1" x14ac:dyDescent="0.25">
      <c r="C2842"/>
      <c r="M2842"/>
    </row>
    <row r="2843" spans="3:13" ht="12.75" customHeight="1" x14ac:dyDescent="0.25">
      <c r="C2843"/>
      <c r="M2843"/>
    </row>
    <row r="2844" spans="3:13" ht="12.75" customHeight="1" x14ac:dyDescent="0.25">
      <c r="C2844"/>
      <c r="M2844"/>
    </row>
    <row r="2845" spans="3:13" ht="12.75" customHeight="1" x14ac:dyDescent="0.25">
      <c r="C2845"/>
      <c r="M2845"/>
    </row>
    <row r="2846" spans="3:13" ht="12.75" customHeight="1" x14ac:dyDescent="0.25">
      <c r="C2846"/>
      <c r="M2846"/>
    </row>
    <row r="2847" spans="3:13" ht="12.75" customHeight="1" x14ac:dyDescent="0.25">
      <c r="C2847"/>
      <c r="M2847"/>
    </row>
    <row r="2848" spans="3:13" ht="12.75" customHeight="1" x14ac:dyDescent="0.25">
      <c r="C2848"/>
      <c r="M2848"/>
    </row>
    <row r="2849" spans="3:13" ht="12.75" customHeight="1" x14ac:dyDescent="0.25">
      <c r="C2849"/>
      <c r="M2849"/>
    </row>
    <row r="2850" spans="3:13" ht="12.75" customHeight="1" x14ac:dyDescent="0.25">
      <c r="C2850"/>
      <c r="M2850"/>
    </row>
    <row r="2851" spans="3:13" ht="12.75" customHeight="1" x14ac:dyDescent="0.25">
      <c r="C2851"/>
      <c r="M2851"/>
    </row>
    <row r="2852" spans="3:13" ht="12.75" customHeight="1" x14ac:dyDescent="0.25">
      <c r="C2852"/>
      <c r="M2852"/>
    </row>
    <row r="2853" spans="3:13" ht="12.75" customHeight="1" x14ac:dyDescent="0.25">
      <c r="C2853"/>
      <c r="M2853"/>
    </row>
    <row r="2854" spans="3:13" ht="12.75" customHeight="1" x14ac:dyDescent="0.25">
      <c r="C2854"/>
      <c r="M2854"/>
    </row>
    <row r="2855" spans="3:13" ht="12.75" customHeight="1" x14ac:dyDescent="0.25">
      <c r="C2855"/>
      <c r="M2855"/>
    </row>
    <row r="2856" spans="3:13" ht="12.75" customHeight="1" x14ac:dyDescent="0.25">
      <c r="C2856"/>
      <c r="M2856"/>
    </row>
    <row r="2857" spans="3:13" ht="12.75" customHeight="1" x14ac:dyDescent="0.25">
      <c r="C2857"/>
      <c r="M2857"/>
    </row>
    <row r="2858" spans="3:13" ht="12.75" customHeight="1" x14ac:dyDescent="0.25">
      <c r="C2858"/>
      <c r="M2858"/>
    </row>
    <row r="2859" spans="3:13" ht="12.75" customHeight="1" x14ac:dyDescent="0.25">
      <c r="C2859"/>
      <c r="M2859"/>
    </row>
    <row r="2860" spans="3:13" ht="12.75" customHeight="1" x14ac:dyDescent="0.25">
      <c r="C2860"/>
      <c r="M2860"/>
    </row>
    <row r="2861" spans="3:13" ht="12.75" customHeight="1" x14ac:dyDescent="0.25">
      <c r="C2861"/>
      <c r="M2861"/>
    </row>
    <row r="2862" spans="3:13" ht="12.75" customHeight="1" x14ac:dyDescent="0.25">
      <c r="C2862"/>
      <c r="M2862"/>
    </row>
    <row r="2863" spans="3:13" ht="12.75" customHeight="1" x14ac:dyDescent="0.25">
      <c r="C2863"/>
      <c r="M2863"/>
    </row>
    <row r="2864" spans="3:13" ht="12.75" customHeight="1" x14ac:dyDescent="0.25">
      <c r="C2864"/>
      <c r="M2864"/>
    </row>
    <row r="2865" spans="3:13" ht="12.75" customHeight="1" x14ac:dyDescent="0.25">
      <c r="C2865"/>
      <c r="M2865"/>
    </row>
    <row r="2866" spans="3:13" ht="12.75" customHeight="1" x14ac:dyDescent="0.25">
      <c r="C2866"/>
      <c r="M2866"/>
    </row>
    <row r="2867" spans="3:13" ht="12.75" customHeight="1" x14ac:dyDescent="0.25">
      <c r="C2867"/>
      <c r="M2867"/>
    </row>
    <row r="2868" spans="3:13" ht="12.75" customHeight="1" x14ac:dyDescent="0.25">
      <c r="C2868"/>
      <c r="M2868"/>
    </row>
    <row r="2869" spans="3:13" ht="12.75" customHeight="1" x14ac:dyDescent="0.25">
      <c r="C2869"/>
      <c r="M2869"/>
    </row>
    <row r="2870" spans="3:13" ht="12.75" customHeight="1" x14ac:dyDescent="0.25">
      <c r="C2870"/>
      <c r="M2870"/>
    </row>
    <row r="2871" spans="3:13" ht="12.75" customHeight="1" x14ac:dyDescent="0.25">
      <c r="C2871"/>
      <c r="M2871"/>
    </row>
    <row r="2872" spans="3:13" ht="12.75" customHeight="1" x14ac:dyDescent="0.25">
      <c r="C2872"/>
      <c r="M2872"/>
    </row>
    <row r="2873" spans="3:13" ht="12.75" customHeight="1" x14ac:dyDescent="0.25">
      <c r="C2873"/>
      <c r="M2873"/>
    </row>
    <row r="2874" spans="3:13" ht="12.75" customHeight="1" x14ac:dyDescent="0.25">
      <c r="C2874"/>
      <c r="M2874"/>
    </row>
    <row r="2875" spans="3:13" ht="12.75" customHeight="1" x14ac:dyDescent="0.25">
      <c r="C2875"/>
      <c r="M2875"/>
    </row>
    <row r="2876" spans="3:13" ht="12.75" customHeight="1" x14ac:dyDescent="0.25">
      <c r="C2876"/>
      <c r="M2876"/>
    </row>
    <row r="2877" spans="3:13" ht="12.75" customHeight="1" x14ac:dyDescent="0.25">
      <c r="C2877"/>
      <c r="M2877"/>
    </row>
    <row r="2878" spans="3:13" ht="12.75" customHeight="1" x14ac:dyDescent="0.25">
      <c r="C2878"/>
      <c r="M2878"/>
    </row>
    <row r="2879" spans="3:13" ht="12.75" customHeight="1" x14ac:dyDescent="0.25">
      <c r="C2879"/>
      <c r="M2879"/>
    </row>
    <row r="2880" spans="3:13" ht="12.75" customHeight="1" x14ac:dyDescent="0.25">
      <c r="C2880"/>
      <c r="M2880"/>
    </row>
    <row r="2881" spans="3:13" ht="12.75" customHeight="1" x14ac:dyDescent="0.25">
      <c r="C2881"/>
      <c r="M2881"/>
    </row>
    <row r="2882" spans="3:13" ht="12.75" customHeight="1" x14ac:dyDescent="0.25">
      <c r="C2882"/>
      <c r="M2882"/>
    </row>
    <row r="2883" spans="3:13" ht="12.75" customHeight="1" x14ac:dyDescent="0.25">
      <c r="C2883"/>
      <c r="M2883"/>
    </row>
    <row r="2884" spans="3:13" ht="12.75" customHeight="1" x14ac:dyDescent="0.25">
      <c r="C2884"/>
      <c r="M2884"/>
    </row>
    <row r="2885" spans="3:13" ht="12.75" customHeight="1" x14ac:dyDescent="0.25">
      <c r="C2885"/>
      <c r="M2885"/>
    </row>
    <row r="2886" spans="3:13" ht="12.75" customHeight="1" x14ac:dyDescent="0.25">
      <c r="C2886"/>
      <c r="M2886"/>
    </row>
    <row r="2887" spans="3:13" ht="12.75" customHeight="1" x14ac:dyDescent="0.25">
      <c r="C2887"/>
      <c r="M2887"/>
    </row>
    <row r="2888" spans="3:13" ht="12.75" customHeight="1" x14ac:dyDescent="0.25">
      <c r="C2888"/>
      <c r="M2888"/>
    </row>
    <row r="2889" spans="3:13" ht="12.75" customHeight="1" x14ac:dyDescent="0.25">
      <c r="C2889"/>
      <c r="M2889"/>
    </row>
    <row r="2890" spans="3:13" ht="12.75" customHeight="1" x14ac:dyDescent="0.25">
      <c r="C2890"/>
      <c r="M2890"/>
    </row>
    <row r="2891" spans="3:13" ht="12.75" customHeight="1" x14ac:dyDescent="0.25">
      <c r="C2891"/>
      <c r="M2891"/>
    </row>
    <row r="2892" spans="3:13" ht="12.75" customHeight="1" x14ac:dyDescent="0.25">
      <c r="C2892"/>
      <c r="M2892"/>
    </row>
    <row r="2893" spans="3:13" ht="12.75" customHeight="1" x14ac:dyDescent="0.25">
      <c r="C2893"/>
      <c r="M2893"/>
    </row>
    <row r="2894" spans="3:13" ht="12.75" customHeight="1" x14ac:dyDescent="0.25">
      <c r="C2894"/>
      <c r="M2894"/>
    </row>
    <row r="2895" spans="3:13" ht="12.75" customHeight="1" x14ac:dyDescent="0.25">
      <c r="C2895"/>
      <c r="M2895"/>
    </row>
    <row r="2896" spans="3:13" ht="12.75" customHeight="1" x14ac:dyDescent="0.25">
      <c r="C2896"/>
      <c r="M2896"/>
    </row>
    <row r="2897" spans="3:13" ht="12.75" customHeight="1" x14ac:dyDescent="0.25">
      <c r="C2897"/>
      <c r="M2897"/>
    </row>
    <row r="2898" spans="3:13" ht="12.75" customHeight="1" x14ac:dyDescent="0.25">
      <c r="C2898"/>
      <c r="M2898"/>
    </row>
    <row r="2899" spans="3:13" ht="12.75" customHeight="1" x14ac:dyDescent="0.25">
      <c r="C2899"/>
      <c r="M2899"/>
    </row>
    <row r="2900" spans="3:13" ht="12.75" customHeight="1" x14ac:dyDescent="0.25">
      <c r="C2900"/>
      <c r="M2900"/>
    </row>
    <row r="2901" spans="3:13" ht="12.75" customHeight="1" x14ac:dyDescent="0.25">
      <c r="C2901"/>
      <c r="M2901"/>
    </row>
    <row r="2902" spans="3:13" ht="12.75" customHeight="1" x14ac:dyDescent="0.25">
      <c r="C2902"/>
      <c r="M2902"/>
    </row>
    <row r="2903" spans="3:13" ht="12.75" customHeight="1" x14ac:dyDescent="0.25">
      <c r="C2903"/>
      <c r="M2903"/>
    </row>
    <row r="2904" spans="3:13" ht="12.75" customHeight="1" x14ac:dyDescent="0.25">
      <c r="C2904"/>
      <c r="M2904"/>
    </row>
    <row r="2905" spans="3:13" ht="12.75" customHeight="1" x14ac:dyDescent="0.25">
      <c r="C2905"/>
      <c r="M2905"/>
    </row>
    <row r="2906" spans="3:13" ht="12.75" customHeight="1" x14ac:dyDescent="0.25">
      <c r="C2906"/>
      <c r="M2906"/>
    </row>
    <row r="2907" spans="3:13" ht="12.75" customHeight="1" x14ac:dyDescent="0.25">
      <c r="C2907"/>
      <c r="M2907"/>
    </row>
    <row r="2908" spans="3:13" ht="12.75" customHeight="1" x14ac:dyDescent="0.25">
      <c r="C2908"/>
      <c r="M2908"/>
    </row>
    <row r="2909" spans="3:13" ht="12.75" customHeight="1" x14ac:dyDescent="0.25">
      <c r="C2909"/>
      <c r="M2909"/>
    </row>
    <row r="2910" spans="3:13" ht="12.75" customHeight="1" x14ac:dyDescent="0.25">
      <c r="C2910"/>
      <c r="M2910"/>
    </row>
    <row r="2911" spans="3:13" ht="12.75" customHeight="1" x14ac:dyDescent="0.25">
      <c r="C2911"/>
      <c r="M2911"/>
    </row>
    <row r="2912" spans="3:13" ht="12.75" customHeight="1" x14ac:dyDescent="0.25">
      <c r="C2912"/>
      <c r="M2912"/>
    </row>
    <row r="2913" spans="3:13" ht="12.75" customHeight="1" x14ac:dyDescent="0.25">
      <c r="C2913"/>
      <c r="M2913"/>
    </row>
    <row r="2914" spans="3:13" ht="12.75" customHeight="1" x14ac:dyDescent="0.25">
      <c r="C2914"/>
      <c r="M2914"/>
    </row>
    <row r="2915" spans="3:13" ht="12.75" customHeight="1" x14ac:dyDescent="0.25">
      <c r="C2915"/>
      <c r="M2915"/>
    </row>
    <row r="2916" spans="3:13" ht="12.75" customHeight="1" x14ac:dyDescent="0.25">
      <c r="C2916"/>
      <c r="M2916"/>
    </row>
    <row r="2917" spans="3:13" ht="12.75" customHeight="1" x14ac:dyDescent="0.25">
      <c r="C2917"/>
      <c r="M2917"/>
    </row>
    <row r="2918" spans="3:13" ht="12.75" customHeight="1" x14ac:dyDescent="0.25">
      <c r="C2918"/>
      <c r="M2918"/>
    </row>
    <row r="2919" spans="3:13" ht="12.75" customHeight="1" x14ac:dyDescent="0.25">
      <c r="C2919"/>
      <c r="M2919"/>
    </row>
    <row r="2920" spans="3:13" ht="12.75" customHeight="1" x14ac:dyDescent="0.25">
      <c r="C2920"/>
      <c r="M2920"/>
    </row>
    <row r="2921" spans="3:13" ht="12.75" customHeight="1" x14ac:dyDescent="0.25">
      <c r="C2921"/>
      <c r="M2921"/>
    </row>
    <row r="2922" spans="3:13" ht="12.75" customHeight="1" x14ac:dyDescent="0.25">
      <c r="C2922"/>
      <c r="M2922"/>
    </row>
    <row r="2923" spans="3:13" ht="12.75" customHeight="1" x14ac:dyDescent="0.25">
      <c r="C2923"/>
      <c r="M2923"/>
    </row>
    <row r="2924" spans="3:13" ht="12.75" customHeight="1" x14ac:dyDescent="0.25">
      <c r="C2924"/>
      <c r="M2924"/>
    </row>
    <row r="2925" spans="3:13" ht="12.75" customHeight="1" x14ac:dyDescent="0.25">
      <c r="C2925"/>
      <c r="M2925"/>
    </row>
    <row r="2926" spans="3:13" ht="12.75" customHeight="1" x14ac:dyDescent="0.25">
      <c r="C2926"/>
      <c r="M2926"/>
    </row>
    <row r="2927" spans="3:13" ht="12.75" customHeight="1" x14ac:dyDescent="0.25">
      <c r="C2927"/>
      <c r="M2927"/>
    </row>
    <row r="2928" spans="3:13" ht="12.75" customHeight="1" x14ac:dyDescent="0.25">
      <c r="C2928"/>
      <c r="M2928"/>
    </row>
    <row r="2929" spans="3:13" ht="12.75" customHeight="1" x14ac:dyDescent="0.25">
      <c r="C2929"/>
      <c r="M2929"/>
    </row>
    <row r="2930" spans="3:13" ht="12.75" customHeight="1" x14ac:dyDescent="0.25">
      <c r="C2930"/>
      <c r="M2930"/>
    </row>
    <row r="2931" spans="3:13" ht="12.75" customHeight="1" x14ac:dyDescent="0.25">
      <c r="C2931"/>
      <c r="M2931"/>
    </row>
    <row r="2932" spans="3:13" ht="12.75" customHeight="1" x14ac:dyDescent="0.25">
      <c r="C2932"/>
      <c r="M2932"/>
    </row>
    <row r="2933" spans="3:13" ht="12.75" customHeight="1" x14ac:dyDescent="0.25">
      <c r="C2933"/>
      <c r="M2933"/>
    </row>
    <row r="2934" spans="3:13" ht="12.75" customHeight="1" x14ac:dyDescent="0.25">
      <c r="C2934"/>
      <c r="M2934"/>
    </row>
    <row r="2935" spans="3:13" ht="12.75" customHeight="1" x14ac:dyDescent="0.25">
      <c r="C2935"/>
      <c r="M2935"/>
    </row>
    <row r="2936" spans="3:13" ht="12.75" customHeight="1" x14ac:dyDescent="0.25">
      <c r="C2936"/>
      <c r="M2936"/>
    </row>
    <row r="2937" spans="3:13" ht="12.75" customHeight="1" x14ac:dyDescent="0.25">
      <c r="C2937"/>
      <c r="M2937"/>
    </row>
    <row r="2938" spans="3:13" ht="12.75" customHeight="1" x14ac:dyDescent="0.25">
      <c r="C2938"/>
      <c r="M2938"/>
    </row>
    <row r="2939" spans="3:13" ht="12.75" customHeight="1" x14ac:dyDescent="0.25">
      <c r="C2939"/>
      <c r="M2939"/>
    </row>
    <row r="2940" spans="3:13" ht="12.75" customHeight="1" x14ac:dyDescent="0.25">
      <c r="C2940"/>
      <c r="M2940"/>
    </row>
    <row r="2941" spans="3:13" ht="12.75" customHeight="1" x14ac:dyDescent="0.25">
      <c r="C2941"/>
      <c r="M2941"/>
    </row>
    <row r="2942" spans="3:13" ht="12.75" customHeight="1" x14ac:dyDescent="0.25">
      <c r="C2942"/>
      <c r="M2942"/>
    </row>
    <row r="2943" spans="3:13" ht="12.75" customHeight="1" x14ac:dyDescent="0.25">
      <c r="C2943"/>
      <c r="M2943"/>
    </row>
    <row r="2944" spans="3:13" ht="12.75" customHeight="1" x14ac:dyDescent="0.25">
      <c r="C2944"/>
      <c r="M2944"/>
    </row>
    <row r="2945" spans="3:13" ht="12.75" customHeight="1" x14ac:dyDescent="0.25">
      <c r="C2945"/>
      <c r="M2945"/>
    </row>
    <row r="2946" spans="3:13" ht="12.75" customHeight="1" x14ac:dyDescent="0.25">
      <c r="C2946"/>
      <c r="M2946"/>
    </row>
    <row r="2947" spans="3:13" ht="12.75" customHeight="1" x14ac:dyDescent="0.25">
      <c r="C2947"/>
      <c r="M2947"/>
    </row>
    <row r="2948" spans="3:13" ht="12.75" customHeight="1" x14ac:dyDescent="0.25">
      <c r="C2948"/>
      <c r="M2948"/>
    </row>
    <row r="2949" spans="3:13" ht="12.75" customHeight="1" x14ac:dyDescent="0.25">
      <c r="C2949"/>
      <c r="M2949"/>
    </row>
    <row r="2950" spans="3:13" ht="12.75" customHeight="1" x14ac:dyDescent="0.25">
      <c r="C2950"/>
      <c r="M2950"/>
    </row>
    <row r="2951" spans="3:13" ht="12.75" customHeight="1" x14ac:dyDescent="0.25">
      <c r="C2951"/>
      <c r="M2951"/>
    </row>
    <row r="2952" spans="3:13" ht="12.75" customHeight="1" x14ac:dyDescent="0.25">
      <c r="C2952"/>
      <c r="M2952"/>
    </row>
    <row r="2953" spans="3:13" ht="12.75" customHeight="1" x14ac:dyDescent="0.25">
      <c r="C2953"/>
      <c r="M2953"/>
    </row>
    <row r="2954" spans="3:13" ht="12.75" customHeight="1" x14ac:dyDescent="0.25">
      <c r="C2954"/>
      <c r="M2954"/>
    </row>
    <row r="2955" spans="3:13" ht="12.75" customHeight="1" x14ac:dyDescent="0.25">
      <c r="C2955"/>
      <c r="M2955"/>
    </row>
    <row r="2956" spans="3:13" ht="12.75" customHeight="1" x14ac:dyDescent="0.25">
      <c r="C2956"/>
      <c r="M2956"/>
    </row>
    <row r="2957" spans="3:13" ht="12.75" customHeight="1" x14ac:dyDescent="0.25">
      <c r="C2957"/>
      <c r="M2957"/>
    </row>
    <row r="2958" spans="3:13" ht="12.75" customHeight="1" x14ac:dyDescent="0.25">
      <c r="C2958"/>
      <c r="M2958"/>
    </row>
    <row r="2959" spans="3:13" ht="12.75" customHeight="1" x14ac:dyDescent="0.25">
      <c r="C2959"/>
      <c r="M2959"/>
    </row>
    <row r="2960" spans="3:13" ht="12.75" customHeight="1" x14ac:dyDescent="0.25">
      <c r="C2960"/>
      <c r="M2960"/>
    </row>
    <row r="2961" spans="3:13" ht="12.75" customHeight="1" x14ac:dyDescent="0.25">
      <c r="C2961"/>
      <c r="M2961"/>
    </row>
    <row r="2962" spans="3:13" ht="12.75" customHeight="1" x14ac:dyDescent="0.25">
      <c r="C2962"/>
      <c r="M2962"/>
    </row>
    <row r="2963" spans="3:13" ht="12.75" customHeight="1" x14ac:dyDescent="0.25">
      <c r="C2963"/>
      <c r="M2963"/>
    </row>
    <row r="2964" spans="3:13" ht="12.75" customHeight="1" x14ac:dyDescent="0.25">
      <c r="C2964"/>
      <c r="M2964"/>
    </row>
    <row r="2965" spans="3:13" ht="12.75" customHeight="1" x14ac:dyDescent="0.25">
      <c r="C2965"/>
      <c r="M2965"/>
    </row>
    <row r="2966" spans="3:13" ht="12.75" customHeight="1" x14ac:dyDescent="0.25">
      <c r="C2966"/>
      <c r="M2966"/>
    </row>
    <row r="2967" spans="3:13" ht="12.75" customHeight="1" x14ac:dyDescent="0.25">
      <c r="C2967"/>
      <c r="M2967"/>
    </row>
    <row r="2968" spans="3:13" ht="12.75" customHeight="1" x14ac:dyDescent="0.25">
      <c r="C2968"/>
      <c r="M2968"/>
    </row>
    <row r="2969" spans="3:13" ht="12.75" customHeight="1" x14ac:dyDescent="0.25">
      <c r="C2969"/>
      <c r="M2969"/>
    </row>
    <row r="2970" spans="3:13" ht="12.75" customHeight="1" x14ac:dyDescent="0.25">
      <c r="C2970"/>
      <c r="M2970"/>
    </row>
    <row r="2971" spans="3:13" ht="12.75" customHeight="1" x14ac:dyDescent="0.25">
      <c r="C2971"/>
      <c r="M2971"/>
    </row>
    <row r="2972" spans="3:13" ht="12.75" customHeight="1" x14ac:dyDescent="0.25">
      <c r="C2972"/>
      <c r="M2972"/>
    </row>
    <row r="2973" spans="3:13" ht="12.75" customHeight="1" x14ac:dyDescent="0.25">
      <c r="C2973"/>
      <c r="M2973"/>
    </row>
    <row r="2974" spans="3:13" ht="12.75" customHeight="1" x14ac:dyDescent="0.25">
      <c r="C2974"/>
      <c r="M2974"/>
    </row>
    <row r="2975" spans="3:13" ht="12.75" customHeight="1" x14ac:dyDescent="0.25">
      <c r="C2975"/>
      <c r="M2975"/>
    </row>
    <row r="2976" spans="3:13" ht="12.75" customHeight="1" x14ac:dyDescent="0.25">
      <c r="C2976"/>
      <c r="M2976"/>
    </row>
    <row r="2977" spans="3:13" ht="12.75" customHeight="1" x14ac:dyDescent="0.25">
      <c r="C2977"/>
      <c r="M2977"/>
    </row>
    <row r="2978" spans="3:13" ht="12.75" customHeight="1" x14ac:dyDescent="0.25">
      <c r="C2978"/>
      <c r="M2978"/>
    </row>
    <row r="2979" spans="3:13" ht="12.75" customHeight="1" x14ac:dyDescent="0.25">
      <c r="C2979"/>
      <c r="M2979"/>
    </row>
    <row r="2980" spans="3:13" ht="12.75" customHeight="1" x14ac:dyDescent="0.25">
      <c r="C2980"/>
      <c r="M2980"/>
    </row>
    <row r="2981" spans="3:13" ht="12.75" customHeight="1" x14ac:dyDescent="0.25">
      <c r="C2981"/>
      <c r="M2981"/>
    </row>
    <row r="2982" spans="3:13" ht="12.75" customHeight="1" x14ac:dyDescent="0.25">
      <c r="C2982"/>
      <c r="M2982"/>
    </row>
    <row r="2983" spans="3:13" ht="12.75" customHeight="1" x14ac:dyDescent="0.25">
      <c r="C2983"/>
      <c r="M2983"/>
    </row>
    <row r="2984" spans="3:13" ht="12.75" customHeight="1" x14ac:dyDescent="0.25">
      <c r="C2984"/>
      <c r="M2984"/>
    </row>
    <row r="2985" spans="3:13" ht="12.75" customHeight="1" x14ac:dyDescent="0.25">
      <c r="C2985"/>
      <c r="M2985"/>
    </row>
    <row r="2986" spans="3:13" ht="12.75" customHeight="1" x14ac:dyDescent="0.25">
      <c r="C2986"/>
      <c r="M2986"/>
    </row>
    <row r="2987" spans="3:13" ht="12.75" customHeight="1" x14ac:dyDescent="0.25">
      <c r="C2987"/>
      <c r="M2987"/>
    </row>
    <row r="2988" spans="3:13" ht="12.75" customHeight="1" x14ac:dyDescent="0.25">
      <c r="C2988"/>
      <c r="M2988"/>
    </row>
    <row r="2989" spans="3:13" ht="12.75" customHeight="1" x14ac:dyDescent="0.25">
      <c r="C2989"/>
      <c r="M2989"/>
    </row>
    <row r="2990" spans="3:13" ht="12.75" customHeight="1" x14ac:dyDescent="0.25">
      <c r="C2990"/>
      <c r="M2990"/>
    </row>
    <row r="2991" spans="3:13" ht="12.75" customHeight="1" x14ac:dyDescent="0.25">
      <c r="C2991"/>
      <c r="M2991"/>
    </row>
    <row r="2992" spans="3:13" ht="12.75" customHeight="1" x14ac:dyDescent="0.25">
      <c r="C2992"/>
      <c r="M2992"/>
    </row>
    <row r="2993" spans="3:13" ht="12.75" customHeight="1" x14ac:dyDescent="0.25">
      <c r="C2993"/>
      <c r="M2993"/>
    </row>
    <row r="2994" spans="3:13" ht="12.75" customHeight="1" x14ac:dyDescent="0.25">
      <c r="C2994"/>
      <c r="M2994"/>
    </row>
    <row r="2995" spans="3:13" ht="12.75" customHeight="1" x14ac:dyDescent="0.25">
      <c r="C2995"/>
      <c r="M2995"/>
    </row>
    <row r="2996" spans="3:13" ht="12.75" customHeight="1" x14ac:dyDescent="0.25">
      <c r="C2996"/>
      <c r="M2996"/>
    </row>
    <row r="2997" spans="3:13" ht="12.75" customHeight="1" x14ac:dyDescent="0.25">
      <c r="C2997"/>
      <c r="M2997"/>
    </row>
    <row r="2998" spans="3:13" ht="12.75" customHeight="1" x14ac:dyDescent="0.25">
      <c r="C2998"/>
      <c r="M2998"/>
    </row>
    <row r="2999" spans="3:13" ht="12.75" customHeight="1" x14ac:dyDescent="0.25">
      <c r="C2999"/>
      <c r="M2999"/>
    </row>
    <row r="3000" spans="3:13" ht="12.75" customHeight="1" x14ac:dyDescent="0.25">
      <c r="C3000"/>
      <c r="M3000"/>
    </row>
    <row r="3001" spans="3:13" ht="12.75" customHeight="1" x14ac:dyDescent="0.25">
      <c r="C3001"/>
      <c r="M3001"/>
    </row>
    <row r="3002" spans="3:13" ht="12.75" customHeight="1" x14ac:dyDescent="0.25">
      <c r="C3002"/>
      <c r="M3002"/>
    </row>
    <row r="3003" spans="3:13" ht="12.75" customHeight="1" x14ac:dyDescent="0.25">
      <c r="C3003"/>
      <c r="M3003"/>
    </row>
    <row r="3004" spans="3:13" ht="12.75" customHeight="1" x14ac:dyDescent="0.25">
      <c r="C3004"/>
      <c r="M3004"/>
    </row>
    <row r="3005" spans="3:13" ht="12.75" customHeight="1" x14ac:dyDescent="0.25">
      <c r="C3005"/>
      <c r="M3005"/>
    </row>
    <row r="3006" spans="3:13" ht="12.75" customHeight="1" x14ac:dyDescent="0.25">
      <c r="C3006"/>
      <c r="M3006"/>
    </row>
    <row r="3007" spans="3:13" ht="12.75" customHeight="1" x14ac:dyDescent="0.25">
      <c r="C3007"/>
      <c r="M3007"/>
    </row>
    <row r="3008" spans="3:13" ht="12.75" customHeight="1" x14ac:dyDescent="0.25">
      <c r="C3008"/>
      <c r="M3008"/>
    </row>
    <row r="3009" spans="3:13" ht="12.75" customHeight="1" x14ac:dyDescent="0.25">
      <c r="C3009"/>
      <c r="M3009"/>
    </row>
    <row r="3010" spans="3:13" ht="12.75" customHeight="1" x14ac:dyDescent="0.25">
      <c r="C3010"/>
      <c r="M3010"/>
    </row>
    <row r="3011" spans="3:13" ht="12.75" customHeight="1" x14ac:dyDescent="0.25">
      <c r="C3011"/>
      <c r="M3011"/>
    </row>
    <row r="3012" spans="3:13" ht="12.75" customHeight="1" x14ac:dyDescent="0.25">
      <c r="C3012"/>
      <c r="M3012"/>
    </row>
    <row r="3013" spans="3:13" ht="12.75" customHeight="1" x14ac:dyDescent="0.25">
      <c r="C3013"/>
      <c r="M3013"/>
    </row>
    <row r="3014" spans="3:13" ht="12.75" customHeight="1" x14ac:dyDescent="0.25">
      <c r="C3014"/>
      <c r="M3014"/>
    </row>
    <row r="3015" spans="3:13" ht="12.75" customHeight="1" x14ac:dyDescent="0.25">
      <c r="C3015"/>
      <c r="M3015"/>
    </row>
    <row r="3016" spans="3:13" ht="12.75" customHeight="1" x14ac:dyDescent="0.25">
      <c r="C3016"/>
      <c r="M3016"/>
    </row>
    <row r="3017" spans="3:13" ht="12.75" customHeight="1" x14ac:dyDescent="0.25">
      <c r="C3017"/>
      <c r="M3017"/>
    </row>
    <row r="3018" spans="3:13" ht="12.75" customHeight="1" x14ac:dyDescent="0.25">
      <c r="C3018"/>
      <c r="M3018"/>
    </row>
    <row r="3019" spans="3:13" ht="12.75" customHeight="1" x14ac:dyDescent="0.25">
      <c r="C3019"/>
      <c r="M3019"/>
    </row>
    <row r="3020" spans="3:13" ht="12.75" customHeight="1" x14ac:dyDescent="0.25">
      <c r="C3020"/>
      <c r="M3020"/>
    </row>
    <row r="3021" spans="3:13" ht="12.75" customHeight="1" x14ac:dyDescent="0.25">
      <c r="C3021"/>
      <c r="M3021"/>
    </row>
    <row r="3022" spans="3:13" ht="12.75" customHeight="1" x14ac:dyDescent="0.25">
      <c r="C3022"/>
      <c r="M3022"/>
    </row>
    <row r="3023" spans="3:13" ht="12.75" customHeight="1" x14ac:dyDescent="0.25">
      <c r="C3023"/>
      <c r="M3023"/>
    </row>
    <row r="3024" spans="3:13" ht="12.75" customHeight="1" x14ac:dyDescent="0.25">
      <c r="C3024"/>
      <c r="M3024"/>
    </row>
    <row r="3025" spans="3:13" ht="12.75" customHeight="1" x14ac:dyDescent="0.25">
      <c r="C3025"/>
      <c r="M3025"/>
    </row>
    <row r="3026" spans="3:13" ht="12.75" customHeight="1" x14ac:dyDescent="0.25">
      <c r="C3026"/>
      <c r="M3026"/>
    </row>
    <row r="3027" spans="3:13" ht="12.75" customHeight="1" x14ac:dyDescent="0.25">
      <c r="C3027"/>
      <c r="M3027"/>
    </row>
    <row r="3028" spans="3:13" ht="12.75" customHeight="1" x14ac:dyDescent="0.25">
      <c r="C3028"/>
      <c r="M3028"/>
    </row>
    <row r="3029" spans="3:13" ht="12.75" customHeight="1" x14ac:dyDescent="0.25">
      <c r="C3029"/>
      <c r="M3029"/>
    </row>
    <row r="3030" spans="3:13" ht="12.75" customHeight="1" x14ac:dyDescent="0.25">
      <c r="C3030"/>
      <c r="M3030"/>
    </row>
    <row r="3031" spans="3:13" ht="12.75" customHeight="1" x14ac:dyDescent="0.25">
      <c r="C3031"/>
      <c r="M3031"/>
    </row>
    <row r="3032" spans="3:13" ht="12.75" customHeight="1" x14ac:dyDescent="0.25">
      <c r="C3032"/>
      <c r="M3032"/>
    </row>
    <row r="3033" spans="3:13" ht="12.75" customHeight="1" x14ac:dyDescent="0.25">
      <c r="C3033"/>
      <c r="M3033"/>
    </row>
    <row r="3034" spans="3:13" ht="12.75" customHeight="1" x14ac:dyDescent="0.25">
      <c r="C3034"/>
      <c r="M3034"/>
    </row>
    <row r="3035" spans="3:13" ht="12.75" customHeight="1" x14ac:dyDescent="0.25">
      <c r="C3035"/>
      <c r="M3035"/>
    </row>
    <row r="3036" spans="3:13" ht="12.75" customHeight="1" x14ac:dyDescent="0.25">
      <c r="C3036"/>
      <c r="M3036"/>
    </row>
    <row r="3037" spans="3:13" ht="12.75" customHeight="1" x14ac:dyDescent="0.25">
      <c r="C3037"/>
      <c r="M3037"/>
    </row>
    <row r="3038" spans="3:13" ht="12.75" customHeight="1" x14ac:dyDescent="0.25">
      <c r="C3038"/>
      <c r="M3038"/>
    </row>
    <row r="3039" spans="3:13" ht="12.75" customHeight="1" x14ac:dyDescent="0.25">
      <c r="C3039"/>
      <c r="M3039"/>
    </row>
    <row r="3040" spans="3:13" ht="12.75" customHeight="1" x14ac:dyDescent="0.25">
      <c r="C3040"/>
      <c r="M3040"/>
    </row>
    <row r="3041" spans="3:13" ht="12.75" customHeight="1" x14ac:dyDescent="0.25">
      <c r="C3041"/>
      <c r="M3041"/>
    </row>
    <row r="3042" spans="3:13" ht="12.75" customHeight="1" x14ac:dyDescent="0.25">
      <c r="C3042"/>
      <c r="M3042"/>
    </row>
    <row r="3043" spans="3:13" ht="12.75" customHeight="1" x14ac:dyDescent="0.25">
      <c r="C3043"/>
      <c r="M3043"/>
    </row>
    <row r="3044" spans="3:13" ht="12.75" customHeight="1" x14ac:dyDescent="0.25">
      <c r="C3044"/>
      <c r="M3044"/>
    </row>
    <row r="3045" spans="3:13" ht="12.75" customHeight="1" x14ac:dyDescent="0.25">
      <c r="C3045"/>
      <c r="M3045"/>
    </row>
    <row r="3046" spans="3:13" ht="12.75" customHeight="1" x14ac:dyDescent="0.25">
      <c r="C3046"/>
      <c r="M3046"/>
    </row>
    <row r="3047" spans="3:13" ht="12.75" customHeight="1" x14ac:dyDescent="0.25">
      <c r="C3047"/>
      <c r="M3047"/>
    </row>
    <row r="3048" spans="3:13" ht="12.75" customHeight="1" x14ac:dyDescent="0.25">
      <c r="C3048"/>
      <c r="M3048"/>
    </row>
    <row r="3049" spans="3:13" ht="12.75" customHeight="1" x14ac:dyDescent="0.25">
      <c r="C3049"/>
      <c r="M3049"/>
    </row>
    <row r="3050" spans="3:13" ht="12.75" customHeight="1" x14ac:dyDescent="0.25">
      <c r="C3050"/>
      <c r="M3050"/>
    </row>
    <row r="3051" spans="3:13" ht="12.75" customHeight="1" x14ac:dyDescent="0.25">
      <c r="C3051"/>
      <c r="M3051"/>
    </row>
    <row r="3052" spans="3:13" ht="12.75" customHeight="1" x14ac:dyDescent="0.25">
      <c r="C3052"/>
      <c r="M3052"/>
    </row>
    <row r="3053" spans="3:13" ht="12.75" customHeight="1" x14ac:dyDescent="0.25">
      <c r="C3053"/>
      <c r="M3053"/>
    </row>
    <row r="3054" spans="3:13" ht="12.75" customHeight="1" x14ac:dyDescent="0.25">
      <c r="C3054"/>
      <c r="M3054"/>
    </row>
    <row r="3055" spans="3:13" ht="12.75" customHeight="1" x14ac:dyDescent="0.25">
      <c r="C3055"/>
      <c r="M3055"/>
    </row>
    <row r="3056" spans="3:13" ht="12.75" customHeight="1" x14ac:dyDescent="0.25">
      <c r="C3056"/>
      <c r="M3056"/>
    </row>
    <row r="3057" spans="3:13" ht="12.75" customHeight="1" x14ac:dyDescent="0.25">
      <c r="C3057"/>
      <c r="M3057"/>
    </row>
    <row r="3058" spans="3:13" ht="12.75" customHeight="1" x14ac:dyDescent="0.25">
      <c r="C3058"/>
      <c r="M3058"/>
    </row>
    <row r="3059" spans="3:13" ht="12.75" customHeight="1" x14ac:dyDescent="0.25">
      <c r="C3059"/>
      <c r="M3059"/>
    </row>
    <row r="3060" spans="3:13" ht="12.75" customHeight="1" x14ac:dyDescent="0.25">
      <c r="C3060"/>
      <c r="M3060"/>
    </row>
    <row r="3061" spans="3:13" ht="12.75" customHeight="1" x14ac:dyDescent="0.25">
      <c r="C3061"/>
      <c r="M3061"/>
    </row>
    <row r="3062" spans="3:13" ht="12.75" customHeight="1" x14ac:dyDescent="0.25">
      <c r="C3062"/>
      <c r="M3062"/>
    </row>
    <row r="3063" spans="3:13" ht="12.75" customHeight="1" x14ac:dyDescent="0.25">
      <c r="C3063"/>
      <c r="M3063"/>
    </row>
    <row r="3064" spans="3:13" ht="12.75" customHeight="1" x14ac:dyDescent="0.25">
      <c r="C3064"/>
      <c r="M3064"/>
    </row>
    <row r="3065" spans="3:13" ht="12.75" customHeight="1" x14ac:dyDescent="0.25">
      <c r="C3065"/>
      <c r="M3065"/>
    </row>
    <row r="3066" spans="3:13" ht="12.75" customHeight="1" x14ac:dyDescent="0.25">
      <c r="C3066"/>
      <c r="M3066"/>
    </row>
    <row r="3067" spans="3:13" ht="12.75" customHeight="1" x14ac:dyDescent="0.25">
      <c r="C3067"/>
      <c r="M3067"/>
    </row>
    <row r="3068" spans="3:13" ht="12.75" customHeight="1" x14ac:dyDescent="0.25">
      <c r="C3068"/>
      <c r="M3068"/>
    </row>
    <row r="3069" spans="3:13" ht="12.75" customHeight="1" x14ac:dyDescent="0.25">
      <c r="C3069"/>
      <c r="M3069"/>
    </row>
    <row r="3070" spans="3:13" ht="12.75" customHeight="1" x14ac:dyDescent="0.25">
      <c r="C3070"/>
      <c r="M3070"/>
    </row>
    <row r="3071" spans="3:13" ht="12.75" customHeight="1" x14ac:dyDescent="0.25">
      <c r="C3071"/>
      <c r="M3071"/>
    </row>
    <row r="3072" spans="3:13" ht="12.75" customHeight="1" x14ac:dyDescent="0.25">
      <c r="C3072"/>
      <c r="M3072"/>
    </row>
    <row r="3073" spans="3:13" ht="12.75" customHeight="1" x14ac:dyDescent="0.25">
      <c r="C3073"/>
      <c r="M3073"/>
    </row>
    <row r="3074" spans="3:13" ht="12.75" customHeight="1" x14ac:dyDescent="0.25">
      <c r="C3074"/>
      <c r="M3074"/>
    </row>
    <row r="3075" spans="3:13" ht="12.75" customHeight="1" x14ac:dyDescent="0.25">
      <c r="C3075"/>
      <c r="M3075"/>
    </row>
    <row r="3076" spans="3:13" ht="12.75" customHeight="1" x14ac:dyDescent="0.25">
      <c r="C3076"/>
      <c r="M3076"/>
    </row>
    <row r="3077" spans="3:13" ht="12.75" customHeight="1" x14ac:dyDescent="0.25">
      <c r="C3077"/>
      <c r="M3077"/>
    </row>
    <row r="3078" spans="3:13" ht="12.75" customHeight="1" x14ac:dyDescent="0.25">
      <c r="C3078"/>
      <c r="M3078"/>
    </row>
    <row r="3079" spans="3:13" ht="12.75" customHeight="1" x14ac:dyDescent="0.25">
      <c r="C3079"/>
      <c r="M3079"/>
    </row>
    <row r="3080" spans="3:13" ht="12.75" customHeight="1" x14ac:dyDescent="0.25">
      <c r="C3080"/>
      <c r="M3080"/>
    </row>
    <row r="3081" spans="3:13" ht="12.75" customHeight="1" x14ac:dyDescent="0.25">
      <c r="C3081"/>
      <c r="M3081"/>
    </row>
    <row r="3082" spans="3:13" ht="12.75" customHeight="1" x14ac:dyDescent="0.25">
      <c r="C3082"/>
      <c r="M3082"/>
    </row>
    <row r="3083" spans="3:13" ht="12.75" customHeight="1" x14ac:dyDescent="0.25">
      <c r="C3083"/>
      <c r="M3083"/>
    </row>
    <row r="3084" spans="3:13" ht="12.75" customHeight="1" x14ac:dyDescent="0.25">
      <c r="C3084"/>
      <c r="M3084"/>
    </row>
    <row r="3085" spans="3:13" ht="12.75" customHeight="1" x14ac:dyDescent="0.25">
      <c r="C3085"/>
      <c r="M3085"/>
    </row>
    <row r="3086" spans="3:13" ht="12.75" customHeight="1" x14ac:dyDescent="0.25">
      <c r="C3086"/>
      <c r="M3086"/>
    </row>
    <row r="3087" spans="3:13" ht="12.75" customHeight="1" x14ac:dyDescent="0.25">
      <c r="C3087"/>
      <c r="M3087"/>
    </row>
    <row r="3088" spans="3:13" ht="12.75" customHeight="1" x14ac:dyDescent="0.25">
      <c r="C3088"/>
      <c r="M3088"/>
    </row>
    <row r="3089" spans="3:13" ht="12.75" customHeight="1" x14ac:dyDescent="0.25">
      <c r="C3089"/>
      <c r="M3089"/>
    </row>
    <row r="3090" spans="3:13" ht="12.75" customHeight="1" x14ac:dyDescent="0.25">
      <c r="C3090"/>
      <c r="M3090"/>
    </row>
    <row r="3091" spans="3:13" ht="12.75" customHeight="1" x14ac:dyDescent="0.25">
      <c r="C3091"/>
      <c r="M3091"/>
    </row>
    <row r="3092" spans="3:13" ht="12.75" customHeight="1" x14ac:dyDescent="0.25">
      <c r="C3092"/>
      <c r="M3092"/>
    </row>
    <row r="3093" spans="3:13" ht="12.75" customHeight="1" x14ac:dyDescent="0.25">
      <c r="C3093"/>
      <c r="M3093"/>
    </row>
    <row r="3094" spans="3:13" ht="12.75" customHeight="1" x14ac:dyDescent="0.25">
      <c r="C3094"/>
      <c r="M3094"/>
    </row>
    <row r="3095" spans="3:13" ht="12.75" customHeight="1" x14ac:dyDescent="0.25">
      <c r="C3095"/>
      <c r="M3095"/>
    </row>
    <row r="3096" spans="3:13" ht="12.75" customHeight="1" x14ac:dyDescent="0.25">
      <c r="C3096"/>
      <c r="M3096"/>
    </row>
    <row r="3097" spans="3:13" ht="12.75" customHeight="1" x14ac:dyDescent="0.25">
      <c r="C3097"/>
      <c r="M3097"/>
    </row>
    <row r="3098" spans="3:13" ht="12.75" customHeight="1" x14ac:dyDescent="0.25">
      <c r="C3098"/>
      <c r="M3098"/>
    </row>
    <row r="3099" spans="3:13" ht="12.75" customHeight="1" x14ac:dyDescent="0.25">
      <c r="C3099"/>
      <c r="M3099"/>
    </row>
    <row r="3100" spans="3:13" ht="12.75" customHeight="1" x14ac:dyDescent="0.25">
      <c r="C3100"/>
      <c r="M3100"/>
    </row>
    <row r="3101" spans="3:13" ht="12.75" customHeight="1" x14ac:dyDescent="0.25">
      <c r="C3101"/>
      <c r="M3101"/>
    </row>
    <row r="3102" spans="3:13" ht="12.75" customHeight="1" x14ac:dyDescent="0.25">
      <c r="C3102"/>
      <c r="M3102"/>
    </row>
    <row r="3103" spans="3:13" ht="12.75" customHeight="1" x14ac:dyDescent="0.25">
      <c r="C3103"/>
      <c r="M3103"/>
    </row>
    <row r="3104" spans="3:13" ht="12.75" customHeight="1" x14ac:dyDescent="0.25">
      <c r="C3104"/>
      <c r="M3104"/>
    </row>
    <row r="3105" spans="3:13" ht="12.75" customHeight="1" x14ac:dyDescent="0.25">
      <c r="C3105"/>
      <c r="M3105"/>
    </row>
    <row r="3106" spans="3:13" ht="12.75" customHeight="1" x14ac:dyDescent="0.25">
      <c r="C3106"/>
      <c r="M3106"/>
    </row>
    <row r="3107" spans="3:13" ht="12.75" customHeight="1" x14ac:dyDescent="0.25">
      <c r="C3107"/>
      <c r="M3107"/>
    </row>
    <row r="3108" spans="3:13" ht="12.75" customHeight="1" x14ac:dyDescent="0.25">
      <c r="C3108"/>
      <c r="M3108"/>
    </row>
    <row r="3109" spans="3:13" ht="12.75" customHeight="1" x14ac:dyDescent="0.25">
      <c r="C3109"/>
      <c r="M3109"/>
    </row>
    <row r="3110" spans="3:13" ht="12.75" customHeight="1" x14ac:dyDescent="0.25">
      <c r="C3110"/>
      <c r="M3110"/>
    </row>
    <row r="3111" spans="3:13" ht="12.75" customHeight="1" x14ac:dyDescent="0.25">
      <c r="C3111"/>
      <c r="M3111"/>
    </row>
    <row r="3112" spans="3:13" ht="12.75" customHeight="1" x14ac:dyDescent="0.25">
      <c r="C3112"/>
      <c r="M3112"/>
    </row>
    <row r="3113" spans="3:13" ht="12.75" customHeight="1" x14ac:dyDescent="0.25">
      <c r="C3113"/>
      <c r="M3113"/>
    </row>
    <row r="3114" spans="3:13" ht="12.75" customHeight="1" x14ac:dyDescent="0.25">
      <c r="C3114"/>
      <c r="M3114"/>
    </row>
    <row r="3115" spans="3:13" ht="12.75" customHeight="1" x14ac:dyDescent="0.25">
      <c r="C3115"/>
      <c r="M3115"/>
    </row>
    <row r="3116" spans="3:13" ht="12.75" customHeight="1" x14ac:dyDescent="0.25">
      <c r="C3116"/>
      <c r="M3116"/>
    </row>
    <row r="3117" spans="3:13" ht="12.75" customHeight="1" x14ac:dyDescent="0.25">
      <c r="C3117"/>
      <c r="M3117"/>
    </row>
    <row r="3118" spans="3:13" ht="12.75" customHeight="1" x14ac:dyDescent="0.25">
      <c r="C3118"/>
      <c r="M3118"/>
    </row>
    <row r="3119" spans="3:13" ht="12.75" customHeight="1" x14ac:dyDescent="0.25">
      <c r="C3119"/>
      <c r="M3119"/>
    </row>
    <row r="3120" spans="3:13" ht="12.75" customHeight="1" x14ac:dyDescent="0.25">
      <c r="C3120"/>
      <c r="M3120"/>
    </row>
    <row r="3121" spans="3:13" ht="12.75" customHeight="1" x14ac:dyDescent="0.25">
      <c r="C3121"/>
      <c r="M3121"/>
    </row>
    <row r="3122" spans="3:13" ht="12.75" customHeight="1" x14ac:dyDescent="0.25">
      <c r="C3122"/>
      <c r="M3122"/>
    </row>
    <row r="3123" spans="3:13" ht="12.75" customHeight="1" x14ac:dyDescent="0.25">
      <c r="C3123"/>
      <c r="M3123"/>
    </row>
    <row r="3124" spans="3:13" ht="12.75" customHeight="1" x14ac:dyDescent="0.25">
      <c r="C3124"/>
      <c r="M3124"/>
    </row>
    <row r="3125" spans="3:13" ht="12.75" customHeight="1" x14ac:dyDescent="0.25">
      <c r="C3125"/>
      <c r="M3125"/>
    </row>
    <row r="3126" spans="3:13" ht="12.75" customHeight="1" x14ac:dyDescent="0.25">
      <c r="C3126"/>
      <c r="M3126"/>
    </row>
    <row r="3127" spans="3:13" ht="12.75" customHeight="1" x14ac:dyDescent="0.25">
      <c r="C3127"/>
      <c r="M3127"/>
    </row>
    <row r="3128" spans="3:13" ht="12.75" customHeight="1" x14ac:dyDescent="0.25">
      <c r="C3128"/>
      <c r="M3128"/>
    </row>
    <row r="3129" spans="3:13" ht="12.75" customHeight="1" x14ac:dyDescent="0.25">
      <c r="C3129"/>
      <c r="M3129"/>
    </row>
    <row r="3130" spans="3:13" ht="12.75" customHeight="1" x14ac:dyDescent="0.25">
      <c r="C3130"/>
      <c r="M3130"/>
    </row>
    <row r="3131" spans="3:13" ht="12.75" customHeight="1" x14ac:dyDescent="0.25">
      <c r="C3131"/>
      <c r="M3131"/>
    </row>
    <row r="3132" spans="3:13" ht="12.75" customHeight="1" x14ac:dyDescent="0.25">
      <c r="C3132"/>
      <c r="M3132"/>
    </row>
    <row r="3133" spans="3:13" ht="12.75" customHeight="1" x14ac:dyDescent="0.25">
      <c r="C3133"/>
      <c r="M3133"/>
    </row>
    <row r="3134" spans="3:13" ht="12.75" customHeight="1" x14ac:dyDescent="0.25">
      <c r="C3134"/>
      <c r="M3134"/>
    </row>
    <row r="3135" spans="3:13" ht="12.75" customHeight="1" x14ac:dyDescent="0.25">
      <c r="C3135"/>
      <c r="M3135"/>
    </row>
    <row r="3136" spans="3:13" ht="12.75" customHeight="1" x14ac:dyDescent="0.25">
      <c r="C3136"/>
      <c r="M3136"/>
    </row>
    <row r="3137" spans="3:13" ht="12.75" customHeight="1" x14ac:dyDescent="0.25">
      <c r="C3137"/>
      <c r="M3137"/>
    </row>
    <row r="3138" spans="3:13" ht="12.75" customHeight="1" x14ac:dyDescent="0.25">
      <c r="C3138"/>
      <c r="M3138"/>
    </row>
    <row r="3139" spans="3:13" ht="12.75" customHeight="1" x14ac:dyDescent="0.25">
      <c r="C3139"/>
      <c r="M3139"/>
    </row>
    <row r="3140" spans="3:13" ht="12.75" customHeight="1" x14ac:dyDescent="0.25">
      <c r="C3140"/>
      <c r="M3140"/>
    </row>
    <row r="3141" spans="3:13" ht="12.75" customHeight="1" x14ac:dyDescent="0.25">
      <c r="C3141"/>
      <c r="M3141"/>
    </row>
    <row r="3142" spans="3:13" ht="12.75" customHeight="1" x14ac:dyDescent="0.25">
      <c r="C3142"/>
      <c r="M3142"/>
    </row>
    <row r="3143" spans="3:13" ht="12.75" customHeight="1" x14ac:dyDescent="0.25">
      <c r="C3143"/>
      <c r="M3143"/>
    </row>
    <row r="3144" spans="3:13" ht="12.75" customHeight="1" x14ac:dyDescent="0.25">
      <c r="C3144"/>
      <c r="M3144"/>
    </row>
    <row r="3145" spans="3:13" ht="12.75" customHeight="1" x14ac:dyDescent="0.25">
      <c r="C3145"/>
      <c r="M3145"/>
    </row>
    <row r="3146" spans="3:13" ht="12.75" customHeight="1" x14ac:dyDescent="0.25">
      <c r="C3146"/>
      <c r="M3146"/>
    </row>
    <row r="3147" spans="3:13" ht="12.75" customHeight="1" x14ac:dyDescent="0.25">
      <c r="C3147"/>
      <c r="M3147"/>
    </row>
    <row r="3148" spans="3:13" ht="12.75" customHeight="1" x14ac:dyDescent="0.25">
      <c r="C3148"/>
      <c r="M3148"/>
    </row>
    <row r="3149" spans="3:13" ht="12.75" customHeight="1" x14ac:dyDescent="0.25">
      <c r="C3149"/>
      <c r="M3149"/>
    </row>
    <row r="3150" spans="3:13" ht="12.75" customHeight="1" x14ac:dyDescent="0.25">
      <c r="C3150"/>
      <c r="M3150"/>
    </row>
    <row r="3151" spans="3:13" ht="12.75" customHeight="1" x14ac:dyDescent="0.25">
      <c r="C3151"/>
      <c r="M3151"/>
    </row>
    <row r="3152" spans="3:13" ht="12.75" customHeight="1" x14ac:dyDescent="0.25">
      <c r="C3152"/>
      <c r="M3152"/>
    </row>
    <row r="3153" spans="3:13" ht="12.75" customHeight="1" x14ac:dyDescent="0.25">
      <c r="C3153"/>
      <c r="M3153"/>
    </row>
    <row r="3154" spans="3:13" ht="12.75" customHeight="1" x14ac:dyDescent="0.25">
      <c r="C3154"/>
      <c r="M3154"/>
    </row>
    <row r="3155" spans="3:13" ht="12.75" customHeight="1" x14ac:dyDescent="0.25">
      <c r="C3155"/>
      <c r="M3155"/>
    </row>
    <row r="3156" spans="3:13" ht="12.75" customHeight="1" x14ac:dyDescent="0.25">
      <c r="C3156"/>
      <c r="M3156"/>
    </row>
    <row r="3157" spans="3:13" ht="12.75" customHeight="1" x14ac:dyDescent="0.25">
      <c r="C3157"/>
      <c r="M3157"/>
    </row>
    <row r="3158" spans="3:13" ht="12.75" customHeight="1" x14ac:dyDescent="0.25">
      <c r="C3158"/>
      <c r="M3158"/>
    </row>
    <row r="3159" spans="3:13" ht="12.75" customHeight="1" x14ac:dyDescent="0.25">
      <c r="C3159"/>
      <c r="M3159"/>
    </row>
    <row r="3160" spans="3:13" ht="12.75" customHeight="1" x14ac:dyDescent="0.25">
      <c r="C3160"/>
      <c r="M3160"/>
    </row>
    <row r="3161" spans="3:13" ht="12.75" customHeight="1" x14ac:dyDescent="0.25">
      <c r="C3161"/>
      <c r="M3161"/>
    </row>
    <row r="3162" spans="3:13" ht="12.75" customHeight="1" x14ac:dyDescent="0.25">
      <c r="C3162"/>
      <c r="M3162"/>
    </row>
    <row r="3163" spans="3:13" ht="12.75" customHeight="1" x14ac:dyDescent="0.25">
      <c r="C3163"/>
      <c r="M3163"/>
    </row>
    <row r="3164" spans="3:13" ht="12.75" customHeight="1" x14ac:dyDescent="0.25">
      <c r="C3164"/>
      <c r="M3164"/>
    </row>
    <row r="3165" spans="3:13" ht="12.75" customHeight="1" x14ac:dyDescent="0.25">
      <c r="C3165"/>
      <c r="M3165"/>
    </row>
    <row r="3166" spans="3:13" ht="12.75" customHeight="1" x14ac:dyDescent="0.25">
      <c r="C3166"/>
      <c r="M3166"/>
    </row>
    <row r="3167" spans="3:13" ht="12.75" customHeight="1" x14ac:dyDescent="0.25">
      <c r="C3167"/>
      <c r="M3167"/>
    </row>
    <row r="3168" spans="3:13" ht="12.75" customHeight="1" x14ac:dyDescent="0.25">
      <c r="C3168"/>
      <c r="M3168"/>
    </row>
    <row r="3169" spans="3:13" ht="12.75" customHeight="1" x14ac:dyDescent="0.25">
      <c r="C3169"/>
      <c r="M3169"/>
    </row>
    <row r="3170" spans="3:13" ht="12.75" customHeight="1" x14ac:dyDescent="0.25">
      <c r="C3170"/>
      <c r="M3170"/>
    </row>
    <row r="3171" spans="3:13" ht="12.75" customHeight="1" x14ac:dyDescent="0.25">
      <c r="C3171"/>
      <c r="M3171"/>
    </row>
    <row r="3172" spans="3:13" ht="12.75" customHeight="1" x14ac:dyDescent="0.25">
      <c r="C3172"/>
      <c r="M3172"/>
    </row>
    <row r="3173" spans="3:13" ht="12.75" customHeight="1" x14ac:dyDescent="0.25">
      <c r="C3173"/>
      <c r="M3173"/>
    </row>
    <row r="3174" spans="3:13" ht="12.75" customHeight="1" x14ac:dyDescent="0.25">
      <c r="C3174"/>
      <c r="M3174"/>
    </row>
    <row r="3175" spans="3:13" ht="12.75" customHeight="1" x14ac:dyDescent="0.25">
      <c r="C3175"/>
      <c r="M3175"/>
    </row>
    <row r="3176" spans="3:13" ht="12.75" customHeight="1" x14ac:dyDescent="0.25">
      <c r="C3176"/>
      <c r="M3176"/>
    </row>
    <row r="3177" spans="3:13" ht="12.75" customHeight="1" x14ac:dyDescent="0.25">
      <c r="C3177"/>
      <c r="M3177"/>
    </row>
    <row r="3178" spans="3:13" ht="12.75" customHeight="1" x14ac:dyDescent="0.25">
      <c r="C3178"/>
      <c r="M3178"/>
    </row>
    <row r="3179" spans="3:13" ht="12.75" customHeight="1" x14ac:dyDescent="0.25">
      <c r="C3179"/>
      <c r="M3179"/>
    </row>
    <row r="3180" spans="3:13" ht="12.75" customHeight="1" x14ac:dyDescent="0.25">
      <c r="C3180"/>
      <c r="M3180"/>
    </row>
    <row r="3181" spans="3:13" ht="12.75" customHeight="1" x14ac:dyDescent="0.25">
      <c r="C3181"/>
      <c r="M3181"/>
    </row>
    <row r="3182" spans="3:13" ht="12.75" customHeight="1" x14ac:dyDescent="0.25">
      <c r="C3182"/>
      <c r="M3182"/>
    </row>
    <row r="3183" spans="3:13" ht="12.75" customHeight="1" x14ac:dyDescent="0.25">
      <c r="C3183"/>
      <c r="M3183"/>
    </row>
    <row r="3184" spans="3:13" ht="12.75" customHeight="1" x14ac:dyDescent="0.25">
      <c r="C3184"/>
      <c r="M3184"/>
    </row>
    <row r="3185" spans="3:13" ht="12.75" customHeight="1" x14ac:dyDescent="0.25">
      <c r="C3185"/>
      <c r="M3185"/>
    </row>
    <row r="3186" spans="3:13" ht="12.75" customHeight="1" x14ac:dyDescent="0.25">
      <c r="C3186"/>
      <c r="M3186"/>
    </row>
    <row r="3187" spans="3:13" ht="12.75" customHeight="1" x14ac:dyDescent="0.25">
      <c r="C3187"/>
      <c r="M3187"/>
    </row>
    <row r="3188" spans="3:13" ht="12.75" customHeight="1" x14ac:dyDescent="0.25">
      <c r="C3188"/>
      <c r="M3188"/>
    </row>
    <row r="3189" spans="3:13" ht="12.75" customHeight="1" x14ac:dyDescent="0.25">
      <c r="C3189"/>
      <c r="M3189"/>
    </row>
    <row r="3190" spans="3:13" ht="12.75" customHeight="1" x14ac:dyDescent="0.25">
      <c r="C3190"/>
      <c r="M3190"/>
    </row>
    <row r="3191" spans="3:13" ht="12.75" customHeight="1" x14ac:dyDescent="0.25">
      <c r="C3191"/>
      <c r="M3191"/>
    </row>
    <row r="3192" spans="3:13" ht="12.75" customHeight="1" x14ac:dyDescent="0.25">
      <c r="C3192"/>
      <c r="M3192"/>
    </row>
    <row r="3193" spans="3:13" ht="12.75" customHeight="1" x14ac:dyDescent="0.25">
      <c r="C3193"/>
      <c r="M3193"/>
    </row>
    <row r="3194" spans="3:13" ht="12.75" customHeight="1" x14ac:dyDescent="0.25">
      <c r="C3194"/>
      <c r="M3194"/>
    </row>
    <row r="3195" spans="3:13" ht="12.75" customHeight="1" x14ac:dyDescent="0.25">
      <c r="C3195"/>
      <c r="M3195"/>
    </row>
    <row r="3196" spans="3:13" ht="12.75" customHeight="1" x14ac:dyDescent="0.25">
      <c r="C3196"/>
      <c r="M3196"/>
    </row>
    <row r="3197" spans="3:13" ht="12.75" customHeight="1" x14ac:dyDescent="0.25">
      <c r="C3197"/>
      <c r="M3197"/>
    </row>
    <row r="3198" spans="3:13" ht="12.75" customHeight="1" x14ac:dyDescent="0.25">
      <c r="C3198"/>
      <c r="M3198"/>
    </row>
    <row r="3199" spans="3:13" ht="12.75" customHeight="1" x14ac:dyDescent="0.25">
      <c r="C3199"/>
      <c r="M3199"/>
    </row>
    <row r="3200" spans="3:13" ht="12.75" customHeight="1" x14ac:dyDescent="0.25">
      <c r="C3200"/>
      <c r="M3200"/>
    </row>
    <row r="3201" spans="3:13" ht="12.75" customHeight="1" x14ac:dyDescent="0.25">
      <c r="C3201"/>
      <c r="M3201"/>
    </row>
    <row r="3202" spans="3:13" ht="12.75" customHeight="1" x14ac:dyDescent="0.25">
      <c r="C3202"/>
      <c r="M3202"/>
    </row>
    <row r="3203" spans="3:13" ht="12.75" customHeight="1" x14ac:dyDescent="0.25">
      <c r="C3203"/>
      <c r="M3203"/>
    </row>
    <row r="3204" spans="3:13" ht="12.75" customHeight="1" x14ac:dyDescent="0.25">
      <c r="C3204"/>
      <c r="M3204"/>
    </row>
    <row r="3205" spans="3:13" ht="12.75" customHeight="1" x14ac:dyDescent="0.25">
      <c r="C3205"/>
      <c r="M3205"/>
    </row>
    <row r="3206" spans="3:13" ht="12.75" customHeight="1" x14ac:dyDescent="0.25">
      <c r="C3206"/>
      <c r="M3206"/>
    </row>
    <row r="3207" spans="3:13" ht="12.75" customHeight="1" x14ac:dyDescent="0.25">
      <c r="C3207"/>
      <c r="M3207"/>
    </row>
    <row r="3208" spans="3:13" ht="12.75" customHeight="1" x14ac:dyDescent="0.25">
      <c r="C3208"/>
      <c r="M3208"/>
    </row>
    <row r="3209" spans="3:13" ht="12.75" customHeight="1" x14ac:dyDescent="0.25">
      <c r="C3209"/>
      <c r="M3209"/>
    </row>
    <row r="3210" spans="3:13" ht="12.75" customHeight="1" x14ac:dyDescent="0.25">
      <c r="C3210"/>
      <c r="M3210"/>
    </row>
    <row r="3211" spans="3:13" ht="12.75" customHeight="1" x14ac:dyDescent="0.25">
      <c r="C3211"/>
      <c r="M3211"/>
    </row>
    <row r="3212" spans="3:13" ht="12.75" customHeight="1" x14ac:dyDescent="0.25">
      <c r="C3212"/>
      <c r="M3212"/>
    </row>
    <row r="3213" spans="3:13" ht="12.75" customHeight="1" x14ac:dyDescent="0.25">
      <c r="C3213"/>
      <c r="M3213"/>
    </row>
    <row r="3214" spans="3:13" ht="12.75" customHeight="1" x14ac:dyDescent="0.25">
      <c r="C3214"/>
      <c r="M3214"/>
    </row>
    <row r="3215" spans="3:13" ht="12.75" customHeight="1" x14ac:dyDescent="0.25">
      <c r="C3215"/>
      <c r="M3215"/>
    </row>
    <row r="3216" spans="3:13" ht="12.75" customHeight="1" x14ac:dyDescent="0.25">
      <c r="C3216"/>
      <c r="M3216"/>
    </row>
    <row r="3217" spans="3:13" ht="12.75" customHeight="1" x14ac:dyDescent="0.25">
      <c r="C3217"/>
      <c r="M3217"/>
    </row>
    <row r="3218" spans="3:13" ht="12.75" customHeight="1" x14ac:dyDescent="0.25">
      <c r="C3218"/>
      <c r="M3218"/>
    </row>
    <row r="3219" spans="3:13" ht="12.75" customHeight="1" x14ac:dyDescent="0.25">
      <c r="C3219"/>
      <c r="M3219"/>
    </row>
    <row r="3220" spans="3:13" ht="12.75" customHeight="1" x14ac:dyDescent="0.25">
      <c r="C3220"/>
      <c r="M3220"/>
    </row>
    <row r="3221" spans="3:13" ht="12.75" customHeight="1" x14ac:dyDescent="0.25">
      <c r="C3221"/>
      <c r="M3221"/>
    </row>
    <row r="3222" spans="3:13" ht="12.75" customHeight="1" x14ac:dyDescent="0.25">
      <c r="C3222"/>
      <c r="M3222"/>
    </row>
    <row r="3223" spans="3:13" ht="12.75" customHeight="1" x14ac:dyDescent="0.25">
      <c r="C3223"/>
      <c r="M3223"/>
    </row>
    <row r="3224" spans="3:13" ht="12.75" customHeight="1" x14ac:dyDescent="0.25">
      <c r="C3224"/>
      <c r="M3224"/>
    </row>
    <row r="3225" spans="3:13" ht="12.75" customHeight="1" x14ac:dyDescent="0.25">
      <c r="C3225"/>
      <c r="M3225"/>
    </row>
    <row r="3226" spans="3:13" ht="12.75" customHeight="1" x14ac:dyDescent="0.25">
      <c r="C3226"/>
      <c r="M3226"/>
    </row>
    <row r="3227" spans="3:13" ht="12.75" customHeight="1" x14ac:dyDescent="0.25">
      <c r="C3227"/>
      <c r="M3227"/>
    </row>
    <row r="3228" spans="3:13" ht="12.75" customHeight="1" x14ac:dyDescent="0.25">
      <c r="C3228"/>
      <c r="M3228"/>
    </row>
    <row r="3229" spans="3:13" ht="12.75" customHeight="1" x14ac:dyDescent="0.25">
      <c r="C3229"/>
      <c r="M3229"/>
    </row>
    <row r="3230" spans="3:13" ht="12.75" customHeight="1" x14ac:dyDescent="0.25">
      <c r="C3230"/>
      <c r="M3230"/>
    </row>
    <row r="3231" spans="3:13" ht="12.75" customHeight="1" x14ac:dyDescent="0.25">
      <c r="C3231"/>
      <c r="M3231"/>
    </row>
    <row r="3232" spans="3:13" ht="12.75" customHeight="1" x14ac:dyDescent="0.25">
      <c r="C3232"/>
      <c r="M3232"/>
    </row>
    <row r="3233" spans="3:13" ht="12.75" customHeight="1" x14ac:dyDescent="0.25">
      <c r="C3233"/>
      <c r="M3233"/>
    </row>
    <row r="3234" spans="3:13" ht="12.75" customHeight="1" x14ac:dyDescent="0.25">
      <c r="C3234"/>
      <c r="M3234"/>
    </row>
    <row r="3235" spans="3:13" ht="12.75" customHeight="1" x14ac:dyDescent="0.25">
      <c r="C3235"/>
      <c r="M3235"/>
    </row>
    <row r="3236" spans="3:13" ht="12.75" customHeight="1" x14ac:dyDescent="0.25">
      <c r="C3236"/>
      <c r="M3236"/>
    </row>
    <row r="3237" spans="3:13" ht="12.75" customHeight="1" x14ac:dyDescent="0.25">
      <c r="C3237"/>
      <c r="M3237"/>
    </row>
    <row r="3238" spans="3:13" ht="12.75" customHeight="1" x14ac:dyDescent="0.25">
      <c r="C3238"/>
      <c r="M3238"/>
    </row>
    <row r="3239" spans="3:13" ht="12.75" customHeight="1" x14ac:dyDescent="0.25">
      <c r="C3239"/>
      <c r="M3239"/>
    </row>
    <row r="3240" spans="3:13" ht="12.75" customHeight="1" x14ac:dyDescent="0.25">
      <c r="C3240"/>
      <c r="M3240"/>
    </row>
    <row r="3241" spans="3:13" ht="12.75" customHeight="1" x14ac:dyDescent="0.25">
      <c r="C3241"/>
      <c r="M3241"/>
    </row>
    <row r="3242" spans="3:13" ht="12.75" customHeight="1" x14ac:dyDescent="0.25">
      <c r="C3242"/>
      <c r="M3242"/>
    </row>
    <row r="3243" spans="3:13" ht="12.75" customHeight="1" x14ac:dyDescent="0.25">
      <c r="C3243"/>
      <c r="M3243"/>
    </row>
    <row r="3244" spans="3:13" ht="12.75" customHeight="1" x14ac:dyDescent="0.25">
      <c r="C3244"/>
      <c r="M3244"/>
    </row>
    <row r="3245" spans="3:13" ht="12.75" customHeight="1" x14ac:dyDescent="0.25">
      <c r="C3245"/>
      <c r="M3245"/>
    </row>
    <row r="3246" spans="3:13" ht="12.75" customHeight="1" x14ac:dyDescent="0.25">
      <c r="C3246"/>
      <c r="M3246"/>
    </row>
    <row r="3247" spans="3:13" ht="12.75" customHeight="1" x14ac:dyDescent="0.25">
      <c r="C3247"/>
      <c r="M3247"/>
    </row>
    <row r="3248" spans="3:13" ht="12.75" customHeight="1" x14ac:dyDescent="0.25">
      <c r="C3248"/>
      <c r="M3248"/>
    </row>
    <row r="3249" spans="3:13" ht="12.75" customHeight="1" x14ac:dyDescent="0.25">
      <c r="C3249"/>
      <c r="M3249"/>
    </row>
    <row r="3250" spans="3:13" ht="12.75" customHeight="1" x14ac:dyDescent="0.25">
      <c r="C3250"/>
      <c r="M3250"/>
    </row>
    <row r="3251" spans="3:13" ht="12.75" customHeight="1" x14ac:dyDescent="0.25">
      <c r="C3251"/>
      <c r="M3251"/>
    </row>
    <row r="3252" spans="3:13" ht="12.75" customHeight="1" x14ac:dyDescent="0.25">
      <c r="C3252"/>
      <c r="M3252"/>
    </row>
    <row r="3253" spans="3:13" ht="12.75" customHeight="1" x14ac:dyDescent="0.25">
      <c r="C3253"/>
      <c r="M3253"/>
    </row>
    <row r="3254" spans="3:13" ht="12.75" customHeight="1" x14ac:dyDescent="0.25">
      <c r="C3254"/>
      <c r="M3254"/>
    </row>
    <row r="3255" spans="3:13" ht="12.75" customHeight="1" x14ac:dyDescent="0.25">
      <c r="C3255"/>
      <c r="M3255"/>
    </row>
    <row r="3256" spans="3:13" ht="12.75" customHeight="1" x14ac:dyDescent="0.25">
      <c r="C3256"/>
      <c r="M3256"/>
    </row>
    <row r="3257" spans="3:13" ht="12.75" customHeight="1" x14ac:dyDescent="0.25">
      <c r="C3257"/>
      <c r="M3257"/>
    </row>
    <row r="3258" spans="3:13" ht="12.75" customHeight="1" x14ac:dyDescent="0.25">
      <c r="C3258"/>
      <c r="M3258"/>
    </row>
    <row r="3259" spans="3:13" ht="12.75" customHeight="1" x14ac:dyDescent="0.25">
      <c r="C3259"/>
      <c r="M3259"/>
    </row>
    <row r="3260" spans="3:13" ht="12.75" customHeight="1" x14ac:dyDescent="0.25">
      <c r="C3260"/>
      <c r="M3260"/>
    </row>
    <row r="3261" spans="3:13" ht="12.75" customHeight="1" x14ac:dyDescent="0.25">
      <c r="C3261"/>
      <c r="M3261"/>
    </row>
    <row r="3262" spans="3:13" ht="12.75" customHeight="1" x14ac:dyDescent="0.25">
      <c r="C3262"/>
      <c r="M3262"/>
    </row>
    <row r="3263" spans="3:13" ht="12.75" customHeight="1" x14ac:dyDescent="0.25">
      <c r="C3263"/>
      <c r="M3263"/>
    </row>
    <row r="3264" spans="3:13" ht="12.75" customHeight="1" x14ac:dyDescent="0.25">
      <c r="C3264"/>
      <c r="M3264"/>
    </row>
    <row r="3265" spans="3:13" ht="12.75" customHeight="1" x14ac:dyDescent="0.25">
      <c r="C3265"/>
      <c r="M3265"/>
    </row>
    <row r="3266" spans="3:13" ht="12.75" customHeight="1" x14ac:dyDescent="0.25">
      <c r="C3266"/>
      <c r="M3266"/>
    </row>
    <row r="3267" spans="3:13" ht="12.75" customHeight="1" x14ac:dyDescent="0.25">
      <c r="C3267"/>
      <c r="M3267"/>
    </row>
    <row r="3268" spans="3:13" ht="12.75" customHeight="1" x14ac:dyDescent="0.25">
      <c r="C3268"/>
      <c r="M3268"/>
    </row>
    <row r="3269" spans="3:13" ht="12.75" customHeight="1" x14ac:dyDescent="0.25">
      <c r="C3269"/>
      <c r="M3269"/>
    </row>
    <row r="3270" spans="3:13" ht="12.75" customHeight="1" x14ac:dyDescent="0.25">
      <c r="C3270"/>
      <c r="M3270"/>
    </row>
    <row r="3271" spans="3:13" ht="12.75" customHeight="1" x14ac:dyDescent="0.25">
      <c r="C3271"/>
      <c r="M3271"/>
    </row>
    <row r="3272" spans="3:13" ht="12.75" customHeight="1" x14ac:dyDescent="0.25">
      <c r="C3272"/>
      <c r="M3272"/>
    </row>
    <row r="3273" spans="3:13" ht="12.75" customHeight="1" x14ac:dyDescent="0.25">
      <c r="C3273"/>
      <c r="M3273"/>
    </row>
    <row r="3274" spans="3:13" ht="12.75" customHeight="1" x14ac:dyDescent="0.25">
      <c r="C3274"/>
      <c r="M3274"/>
    </row>
    <row r="3275" spans="3:13" ht="12.75" customHeight="1" x14ac:dyDescent="0.25">
      <c r="C3275"/>
      <c r="M3275"/>
    </row>
    <row r="3276" spans="3:13" ht="12.75" customHeight="1" x14ac:dyDescent="0.25">
      <c r="C3276"/>
      <c r="M3276"/>
    </row>
    <row r="3277" spans="3:13" ht="12.75" customHeight="1" x14ac:dyDescent="0.25">
      <c r="C3277"/>
      <c r="M3277"/>
    </row>
    <row r="3278" spans="3:13" ht="12.75" customHeight="1" x14ac:dyDescent="0.25">
      <c r="C3278"/>
      <c r="M3278"/>
    </row>
    <row r="3279" spans="3:13" ht="12.75" customHeight="1" x14ac:dyDescent="0.25">
      <c r="C3279"/>
      <c r="M3279"/>
    </row>
    <row r="3280" spans="3:13" ht="12.75" customHeight="1" x14ac:dyDescent="0.25">
      <c r="C3280"/>
      <c r="M3280"/>
    </row>
    <row r="3281" spans="3:13" ht="12.75" customHeight="1" x14ac:dyDescent="0.25">
      <c r="C3281"/>
      <c r="M3281"/>
    </row>
    <row r="3282" spans="3:13" ht="12.75" customHeight="1" x14ac:dyDescent="0.25">
      <c r="C3282"/>
      <c r="M3282"/>
    </row>
    <row r="3283" spans="3:13" ht="12.75" customHeight="1" x14ac:dyDescent="0.25">
      <c r="C3283"/>
      <c r="M3283"/>
    </row>
    <row r="3284" spans="3:13" ht="12.75" customHeight="1" x14ac:dyDescent="0.25">
      <c r="C3284"/>
      <c r="M3284"/>
    </row>
    <row r="3285" spans="3:13" ht="12.75" customHeight="1" x14ac:dyDescent="0.25">
      <c r="C3285"/>
      <c r="M3285"/>
    </row>
    <row r="3286" spans="3:13" ht="12.75" customHeight="1" x14ac:dyDescent="0.25">
      <c r="C3286"/>
      <c r="M3286"/>
    </row>
    <row r="3287" spans="3:13" ht="12.75" customHeight="1" x14ac:dyDescent="0.25">
      <c r="C3287"/>
      <c r="M3287"/>
    </row>
    <row r="3288" spans="3:13" ht="12.75" customHeight="1" x14ac:dyDescent="0.25">
      <c r="C3288"/>
      <c r="M3288"/>
    </row>
    <row r="3289" spans="3:13" ht="12.75" customHeight="1" x14ac:dyDescent="0.25">
      <c r="C3289"/>
      <c r="M3289"/>
    </row>
    <row r="3290" spans="3:13" ht="12.75" customHeight="1" x14ac:dyDescent="0.25">
      <c r="C3290"/>
      <c r="M3290"/>
    </row>
    <row r="3291" spans="3:13" ht="12.75" customHeight="1" x14ac:dyDescent="0.25">
      <c r="C3291"/>
      <c r="M3291"/>
    </row>
    <row r="3292" spans="3:13" ht="12.75" customHeight="1" x14ac:dyDescent="0.25">
      <c r="C3292"/>
      <c r="M3292"/>
    </row>
    <row r="3293" spans="3:13" ht="12.75" customHeight="1" x14ac:dyDescent="0.25">
      <c r="C3293"/>
      <c r="M3293"/>
    </row>
    <row r="3294" spans="3:13" ht="12.75" customHeight="1" x14ac:dyDescent="0.25">
      <c r="C3294"/>
      <c r="M3294"/>
    </row>
    <row r="3295" spans="3:13" ht="12.75" customHeight="1" x14ac:dyDescent="0.25">
      <c r="C3295"/>
      <c r="M3295"/>
    </row>
    <row r="3296" spans="3:13" ht="12.75" customHeight="1" x14ac:dyDescent="0.25">
      <c r="C3296"/>
      <c r="M3296"/>
    </row>
    <row r="3297" spans="3:13" ht="12.75" customHeight="1" x14ac:dyDescent="0.25">
      <c r="C3297"/>
      <c r="M3297"/>
    </row>
    <row r="3298" spans="3:13" ht="12.75" customHeight="1" x14ac:dyDescent="0.25">
      <c r="C3298"/>
      <c r="M3298"/>
    </row>
    <row r="3299" spans="3:13" ht="12.75" customHeight="1" x14ac:dyDescent="0.25">
      <c r="C3299"/>
      <c r="M3299"/>
    </row>
    <row r="3300" spans="3:13" ht="12.75" customHeight="1" x14ac:dyDescent="0.25">
      <c r="C3300"/>
      <c r="M3300"/>
    </row>
    <row r="3301" spans="3:13" ht="12.75" customHeight="1" x14ac:dyDescent="0.25">
      <c r="C3301"/>
      <c r="M3301"/>
    </row>
    <row r="3302" spans="3:13" ht="12.75" customHeight="1" x14ac:dyDescent="0.25">
      <c r="C3302"/>
      <c r="M3302"/>
    </row>
    <row r="3303" spans="3:13" ht="12.75" customHeight="1" x14ac:dyDescent="0.25">
      <c r="C3303"/>
      <c r="M3303"/>
    </row>
    <row r="3304" spans="3:13" ht="12.75" customHeight="1" x14ac:dyDescent="0.25">
      <c r="C3304"/>
      <c r="M3304"/>
    </row>
    <row r="3305" spans="3:13" ht="12.75" customHeight="1" x14ac:dyDescent="0.25">
      <c r="C3305"/>
      <c r="M3305"/>
    </row>
    <row r="3306" spans="3:13" ht="12.75" customHeight="1" x14ac:dyDescent="0.25">
      <c r="C3306"/>
      <c r="M3306"/>
    </row>
    <row r="3307" spans="3:13" ht="12.75" customHeight="1" x14ac:dyDescent="0.25">
      <c r="C3307"/>
      <c r="M3307"/>
    </row>
    <row r="3308" spans="3:13" ht="12.75" customHeight="1" x14ac:dyDescent="0.25">
      <c r="C3308"/>
      <c r="M3308"/>
    </row>
    <row r="3309" spans="3:13" ht="12.75" customHeight="1" x14ac:dyDescent="0.25">
      <c r="C3309"/>
      <c r="M3309"/>
    </row>
    <row r="3310" spans="3:13" ht="12.75" customHeight="1" x14ac:dyDescent="0.25">
      <c r="C3310"/>
      <c r="M3310"/>
    </row>
    <row r="3311" spans="3:13" ht="12.75" customHeight="1" x14ac:dyDescent="0.25">
      <c r="C3311"/>
      <c r="M3311"/>
    </row>
    <row r="3312" spans="3:13" ht="12.75" customHeight="1" x14ac:dyDescent="0.25">
      <c r="C3312"/>
      <c r="M3312"/>
    </row>
    <row r="3313" spans="3:13" ht="12.75" customHeight="1" x14ac:dyDescent="0.25">
      <c r="C3313"/>
      <c r="M3313"/>
    </row>
    <row r="3314" spans="3:13" ht="12.75" customHeight="1" x14ac:dyDescent="0.25">
      <c r="C3314"/>
      <c r="M3314"/>
    </row>
    <row r="3315" spans="3:13" ht="12.75" customHeight="1" x14ac:dyDescent="0.25">
      <c r="C3315"/>
      <c r="M3315"/>
    </row>
    <row r="3316" spans="3:13" ht="12.75" customHeight="1" x14ac:dyDescent="0.25">
      <c r="C3316"/>
      <c r="M3316"/>
    </row>
    <row r="3317" spans="3:13" ht="12.75" customHeight="1" x14ac:dyDescent="0.25">
      <c r="C3317"/>
      <c r="M3317"/>
    </row>
    <row r="3318" spans="3:13" ht="12.75" customHeight="1" x14ac:dyDescent="0.25">
      <c r="C3318"/>
      <c r="M3318"/>
    </row>
    <row r="3319" spans="3:13" ht="12.75" customHeight="1" x14ac:dyDescent="0.25">
      <c r="C3319"/>
      <c r="M3319"/>
    </row>
    <row r="3320" spans="3:13" ht="12.75" customHeight="1" x14ac:dyDescent="0.25">
      <c r="C3320"/>
      <c r="M3320"/>
    </row>
    <row r="3321" spans="3:13" ht="12.75" customHeight="1" x14ac:dyDescent="0.25">
      <c r="C3321"/>
      <c r="M3321"/>
    </row>
    <row r="3322" spans="3:13" ht="12.75" customHeight="1" x14ac:dyDescent="0.25">
      <c r="C3322"/>
      <c r="M3322"/>
    </row>
    <row r="3323" spans="3:13" ht="12.75" customHeight="1" x14ac:dyDescent="0.25">
      <c r="C3323"/>
      <c r="M3323"/>
    </row>
    <row r="3324" spans="3:13" ht="12.75" customHeight="1" x14ac:dyDescent="0.25">
      <c r="C3324"/>
      <c r="M3324"/>
    </row>
    <row r="3325" spans="3:13" ht="12.75" customHeight="1" x14ac:dyDescent="0.25">
      <c r="C3325"/>
      <c r="M3325"/>
    </row>
    <row r="3326" spans="3:13" ht="12.75" customHeight="1" x14ac:dyDescent="0.25">
      <c r="C3326"/>
      <c r="M3326"/>
    </row>
    <row r="3327" spans="3:13" ht="12.75" customHeight="1" x14ac:dyDescent="0.25">
      <c r="C3327"/>
      <c r="M3327"/>
    </row>
    <row r="3328" spans="3:13" ht="12.75" customHeight="1" x14ac:dyDescent="0.25">
      <c r="C3328"/>
      <c r="M3328"/>
    </row>
    <row r="3329" spans="3:13" ht="12.75" customHeight="1" x14ac:dyDescent="0.25">
      <c r="C3329"/>
      <c r="M3329"/>
    </row>
    <row r="3330" spans="3:13" ht="12.75" customHeight="1" x14ac:dyDescent="0.25">
      <c r="C3330"/>
      <c r="M3330"/>
    </row>
    <row r="3331" spans="3:13" ht="12.75" customHeight="1" x14ac:dyDescent="0.25">
      <c r="C3331"/>
      <c r="M3331"/>
    </row>
    <row r="3332" spans="3:13" ht="12.75" customHeight="1" x14ac:dyDescent="0.25">
      <c r="C3332"/>
      <c r="M3332"/>
    </row>
    <row r="3333" spans="3:13" ht="12.75" customHeight="1" x14ac:dyDescent="0.25">
      <c r="C3333"/>
      <c r="M3333"/>
    </row>
    <row r="3334" spans="3:13" ht="12.75" customHeight="1" x14ac:dyDescent="0.25">
      <c r="C3334"/>
      <c r="M3334"/>
    </row>
    <row r="3335" spans="3:13" ht="12.75" customHeight="1" x14ac:dyDescent="0.25">
      <c r="C3335"/>
      <c r="M3335"/>
    </row>
    <row r="3336" spans="3:13" ht="12.75" customHeight="1" x14ac:dyDescent="0.25">
      <c r="C3336"/>
      <c r="M3336"/>
    </row>
    <row r="3337" spans="3:13" ht="12.75" customHeight="1" x14ac:dyDescent="0.25">
      <c r="C3337"/>
      <c r="M3337"/>
    </row>
    <row r="3338" spans="3:13" ht="12.75" customHeight="1" x14ac:dyDescent="0.25">
      <c r="C3338"/>
      <c r="M3338"/>
    </row>
    <row r="3339" spans="3:13" ht="12.75" customHeight="1" x14ac:dyDescent="0.25">
      <c r="C3339"/>
      <c r="M3339"/>
    </row>
    <row r="3340" spans="3:13" ht="12.75" customHeight="1" x14ac:dyDescent="0.25">
      <c r="C3340"/>
      <c r="M3340"/>
    </row>
    <row r="3341" spans="3:13" ht="12.75" customHeight="1" x14ac:dyDescent="0.25">
      <c r="C3341"/>
      <c r="M3341"/>
    </row>
    <row r="3342" spans="3:13" ht="12.75" customHeight="1" x14ac:dyDescent="0.25">
      <c r="C3342"/>
      <c r="M3342"/>
    </row>
    <row r="3343" spans="3:13" ht="12.75" customHeight="1" x14ac:dyDescent="0.25">
      <c r="C3343"/>
      <c r="M3343"/>
    </row>
    <row r="3344" spans="3:13" ht="12.75" customHeight="1" x14ac:dyDescent="0.25">
      <c r="C3344"/>
      <c r="M3344"/>
    </row>
    <row r="3345" spans="3:13" ht="12.75" customHeight="1" x14ac:dyDescent="0.25">
      <c r="C3345"/>
      <c r="M3345"/>
    </row>
    <row r="3346" spans="3:13" ht="12.75" customHeight="1" x14ac:dyDescent="0.25">
      <c r="C3346"/>
      <c r="M3346"/>
    </row>
    <row r="3347" spans="3:13" ht="12.75" customHeight="1" x14ac:dyDescent="0.25">
      <c r="C3347"/>
      <c r="M3347"/>
    </row>
    <row r="3348" spans="3:13" ht="12.75" customHeight="1" x14ac:dyDescent="0.25">
      <c r="C3348"/>
      <c r="M3348"/>
    </row>
    <row r="3349" spans="3:13" ht="12.75" customHeight="1" x14ac:dyDescent="0.25">
      <c r="C3349"/>
      <c r="M3349"/>
    </row>
    <row r="3350" spans="3:13" ht="12.75" customHeight="1" x14ac:dyDescent="0.25">
      <c r="C3350"/>
      <c r="M3350"/>
    </row>
    <row r="3351" spans="3:13" ht="12.75" customHeight="1" x14ac:dyDescent="0.25">
      <c r="C3351"/>
      <c r="M3351"/>
    </row>
    <row r="3352" spans="3:13" ht="12.75" customHeight="1" x14ac:dyDescent="0.25">
      <c r="C3352"/>
      <c r="M3352"/>
    </row>
    <row r="3353" spans="3:13" ht="12.75" customHeight="1" x14ac:dyDescent="0.25">
      <c r="C3353"/>
      <c r="M3353"/>
    </row>
    <row r="3354" spans="3:13" ht="12.75" customHeight="1" x14ac:dyDescent="0.25">
      <c r="C3354"/>
      <c r="M3354"/>
    </row>
    <row r="3355" spans="3:13" ht="12.75" customHeight="1" x14ac:dyDescent="0.25">
      <c r="C3355"/>
      <c r="M3355"/>
    </row>
    <row r="3356" spans="3:13" ht="12.75" customHeight="1" x14ac:dyDescent="0.25">
      <c r="C3356"/>
      <c r="M3356"/>
    </row>
    <row r="3357" spans="3:13" ht="12.75" customHeight="1" x14ac:dyDescent="0.25">
      <c r="C3357"/>
      <c r="M3357"/>
    </row>
    <row r="3358" spans="3:13" ht="12.75" customHeight="1" x14ac:dyDescent="0.25">
      <c r="C3358"/>
      <c r="M3358"/>
    </row>
    <row r="3359" spans="3:13" ht="12.75" customHeight="1" x14ac:dyDescent="0.25">
      <c r="C3359"/>
      <c r="M3359"/>
    </row>
    <row r="3360" spans="3:13" ht="12.75" customHeight="1" x14ac:dyDescent="0.25">
      <c r="C3360"/>
      <c r="M3360"/>
    </row>
    <row r="3361" spans="3:13" ht="12.75" customHeight="1" x14ac:dyDescent="0.25">
      <c r="C3361"/>
      <c r="M3361"/>
    </row>
    <row r="3362" spans="3:13" ht="12.75" customHeight="1" x14ac:dyDescent="0.25">
      <c r="C3362"/>
      <c r="M3362"/>
    </row>
    <row r="3363" spans="3:13" ht="12.75" customHeight="1" x14ac:dyDescent="0.25">
      <c r="C3363"/>
      <c r="M3363"/>
    </row>
    <row r="3364" spans="3:13" ht="12.75" customHeight="1" x14ac:dyDescent="0.25">
      <c r="C3364"/>
      <c r="M3364"/>
    </row>
    <row r="3365" spans="3:13" ht="12.75" customHeight="1" x14ac:dyDescent="0.25">
      <c r="C3365"/>
      <c r="M3365"/>
    </row>
    <row r="3366" spans="3:13" ht="12.75" customHeight="1" x14ac:dyDescent="0.25">
      <c r="C3366"/>
      <c r="M3366"/>
    </row>
    <row r="3367" spans="3:13" ht="12.75" customHeight="1" x14ac:dyDescent="0.25">
      <c r="C3367"/>
      <c r="M3367"/>
    </row>
    <row r="3368" spans="3:13" ht="12.75" customHeight="1" x14ac:dyDescent="0.25">
      <c r="C3368"/>
      <c r="M3368"/>
    </row>
    <row r="3369" spans="3:13" ht="12.75" customHeight="1" x14ac:dyDescent="0.25">
      <c r="C3369"/>
      <c r="M3369"/>
    </row>
    <row r="3370" spans="3:13" ht="12.75" customHeight="1" x14ac:dyDescent="0.25">
      <c r="C3370"/>
      <c r="M3370"/>
    </row>
    <row r="3371" spans="3:13" ht="12.75" customHeight="1" x14ac:dyDescent="0.25">
      <c r="C3371"/>
      <c r="M3371"/>
    </row>
    <row r="3372" spans="3:13" ht="12.75" customHeight="1" x14ac:dyDescent="0.25">
      <c r="C3372"/>
      <c r="M3372"/>
    </row>
    <row r="3373" spans="3:13" ht="12.75" customHeight="1" x14ac:dyDescent="0.25">
      <c r="C3373"/>
      <c r="M3373"/>
    </row>
    <row r="3374" spans="3:13" ht="12.75" customHeight="1" x14ac:dyDescent="0.25">
      <c r="C3374"/>
      <c r="M3374"/>
    </row>
    <row r="3375" spans="3:13" ht="12.75" customHeight="1" x14ac:dyDescent="0.25">
      <c r="C3375"/>
      <c r="M3375"/>
    </row>
    <row r="3376" spans="3:13" ht="12.75" customHeight="1" x14ac:dyDescent="0.25">
      <c r="C3376"/>
      <c r="M3376"/>
    </row>
    <row r="3377" spans="3:13" ht="12.75" customHeight="1" x14ac:dyDescent="0.25">
      <c r="C3377"/>
      <c r="M3377"/>
    </row>
    <row r="3378" spans="3:13" ht="12.75" customHeight="1" x14ac:dyDescent="0.25">
      <c r="C3378"/>
      <c r="M3378"/>
    </row>
    <row r="3379" spans="3:13" ht="12.75" customHeight="1" x14ac:dyDescent="0.25">
      <c r="C3379"/>
      <c r="M3379"/>
    </row>
    <row r="3380" spans="3:13" ht="12.75" customHeight="1" x14ac:dyDescent="0.25">
      <c r="C3380"/>
      <c r="M3380"/>
    </row>
    <row r="3381" spans="3:13" ht="12.75" customHeight="1" x14ac:dyDescent="0.25">
      <c r="C3381"/>
      <c r="M3381"/>
    </row>
    <row r="3382" spans="3:13" ht="12.75" customHeight="1" x14ac:dyDescent="0.25">
      <c r="C3382"/>
      <c r="M3382"/>
    </row>
    <row r="3383" spans="3:13" ht="12.75" customHeight="1" x14ac:dyDescent="0.25">
      <c r="C3383"/>
      <c r="M3383"/>
    </row>
    <row r="3384" spans="3:13" ht="12.75" customHeight="1" x14ac:dyDescent="0.25">
      <c r="C3384"/>
      <c r="M3384"/>
    </row>
    <row r="3385" spans="3:13" ht="12.75" customHeight="1" x14ac:dyDescent="0.25">
      <c r="C3385"/>
      <c r="M3385"/>
    </row>
    <row r="3386" spans="3:13" ht="12.75" customHeight="1" x14ac:dyDescent="0.25">
      <c r="C3386"/>
      <c r="M3386"/>
    </row>
    <row r="3387" spans="3:13" ht="12.75" customHeight="1" x14ac:dyDescent="0.25">
      <c r="C3387"/>
      <c r="M3387"/>
    </row>
    <row r="3388" spans="3:13" ht="12.75" customHeight="1" x14ac:dyDescent="0.25">
      <c r="C3388"/>
      <c r="M3388"/>
    </row>
    <row r="3389" spans="3:13" ht="12.75" customHeight="1" x14ac:dyDescent="0.25">
      <c r="C3389"/>
      <c r="M3389"/>
    </row>
    <row r="3390" spans="3:13" ht="12.75" customHeight="1" x14ac:dyDescent="0.25">
      <c r="C3390"/>
      <c r="M3390"/>
    </row>
    <row r="3391" spans="3:13" ht="12.75" customHeight="1" x14ac:dyDescent="0.25">
      <c r="C3391"/>
      <c r="M3391"/>
    </row>
    <row r="3392" spans="3:13" ht="12.75" customHeight="1" x14ac:dyDescent="0.25">
      <c r="C3392"/>
      <c r="M3392"/>
    </row>
    <row r="3393" spans="3:13" ht="12.75" customHeight="1" x14ac:dyDescent="0.25">
      <c r="C3393"/>
      <c r="M3393"/>
    </row>
    <row r="3394" spans="3:13" ht="12.75" customHeight="1" x14ac:dyDescent="0.25">
      <c r="C3394"/>
      <c r="M3394"/>
    </row>
    <row r="3395" spans="3:13" ht="12.75" customHeight="1" x14ac:dyDescent="0.25">
      <c r="C3395"/>
      <c r="M3395"/>
    </row>
    <row r="3396" spans="3:13" ht="12.75" customHeight="1" x14ac:dyDescent="0.25">
      <c r="C3396"/>
      <c r="M3396"/>
    </row>
    <row r="3397" spans="3:13" ht="12.75" customHeight="1" x14ac:dyDescent="0.25">
      <c r="C3397"/>
      <c r="M3397"/>
    </row>
    <row r="3398" spans="3:13" ht="12.75" customHeight="1" x14ac:dyDescent="0.25">
      <c r="C3398"/>
      <c r="M3398"/>
    </row>
    <row r="3399" spans="3:13" ht="12.75" customHeight="1" x14ac:dyDescent="0.25">
      <c r="C3399"/>
      <c r="M3399"/>
    </row>
    <row r="3400" spans="3:13" ht="12.75" customHeight="1" x14ac:dyDescent="0.25">
      <c r="C3400"/>
      <c r="M3400"/>
    </row>
    <row r="3401" spans="3:13" ht="12.75" customHeight="1" x14ac:dyDescent="0.25">
      <c r="C3401"/>
      <c r="M3401"/>
    </row>
    <row r="3402" spans="3:13" ht="12.75" customHeight="1" x14ac:dyDescent="0.25">
      <c r="C3402"/>
      <c r="M3402"/>
    </row>
    <row r="3403" spans="3:13" ht="12.75" customHeight="1" x14ac:dyDescent="0.25">
      <c r="C3403"/>
      <c r="M3403"/>
    </row>
    <row r="3404" spans="3:13" ht="12.75" customHeight="1" x14ac:dyDescent="0.25">
      <c r="C3404"/>
      <c r="M3404"/>
    </row>
    <row r="3405" spans="3:13" ht="12.75" customHeight="1" x14ac:dyDescent="0.25">
      <c r="C3405"/>
      <c r="M3405"/>
    </row>
    <row r="3406" spans="3:13" ht="12.75" customHeight="1" x14ac:dyDescent="0.25">
      <c r="C3406"/>
      <c r="M3406"/>
    </row>
    <row r="3407" spans="3:13" ht="12.75" customHeight="1" x14ac:dyDescent="0.25">
      <c r="C3407"/>
      <c r="M3407"/>
    </row>
    <row r="3408" spans="3:13" ht="12.75" customHeight="1" x14ac:dyDescent="0.25">
      <c r="C3408"/>
      <c r="M3408"/>
    </row>
    <row r="3409" spans="3:13" ht="12.75" customHeight="1" x14ac:dyDescent="0.25">
      <c r="C3409"/>
      <c r="M3409"/>
    </row>
    <row r="3410" spans="3:13" ht="12.75" customHeight="1" x14ac:dyDescent="0.25">
      <c r="C3410"/>
      <c r="M3410"/>
    </row>
    <row r="3411" spans="3:13" ht="12.75" customHeight="1" x14ac:dyDescent="0.25">
      <c r="C3411"/>
      <c r="M3411"/>
    </row>
    <row r="3412" spans="3:13" ht="12.75" customHeight="1" x14ac:dyDescent="0.25">
      <c r="C3412"/>
      <c r="M3412"/>
    </row>
    <row r="3413" spans="3:13" ht="12.75" customHeight="1" x14ac:dyDescent="0.25">
      <c r="C3413"/>
      <c r="M3413"/>
    </row>
    <row r="3414" spans="3:13" ht="12.75" customHeight="1" x14ac:dyDescent="0.25">
      <c r="C3414"/>
      <c r="M3414"/>
    </row>
    <row r="3415" spans="3:13" ht="12.75" customHeight="1" x14ac:dyDescent="0.25">
      <c r="C3415"/>
      <c r="M3415"/>
    </row>
    <row r="3416" spans="3:13" ht="12.75" customHeight="1" x14ac:dyDescent="0.25">
      <c r="C3416"/>
      <c r="M3416"/>
    </row>
    <row r="3417" spans="3:13" ht="12.75" customHeight="1" x14ac:dyDescent="0.25">
      <c r="C3417"/>
      <c r="M3417"/>
    </row>
    <row r="3418" spans="3:13" ht="12.75" customHeight="1" x14ac:dyDescent="0.25">
      <c r="C3418"/>
      <c r="M3418"/>
    </row>
    <row r="3419" spans="3:13" ht="12.75" customHeight="1" x14ac:dyDescent="0.25">
      <c r="C3419"/>
      <c r="M3419"/>
    </row>
    <row r="3420" spans="3:13" ht="12.75" customHeight="1" x14ac:dyDescent="0.25">
      <c r="C3420"/>
      <c r="M3420"/>
    </row>
    <row r="3421" spans="3:13" ht="12.75" customHeight="1" x14ac:dyDescent="0.25">
      <c r="C3421"/>
      <c r="M3421"/>
    </row>
    <row r="3422" spans="3:13" ht="12.75" customHeight="1" x14ac:dyDescent="0.25">
      <c r="C3422"/>
      <c r="M3422"/>
    </row>
    <row r="3423" spans="3:13" ht="12.75" customHeight="1" x14ac:dyDescent="0.25">
      <c r="C3423"/>
      <c r="M3423"/>
    </row>
    <row r="3424" spans="3:13" ht="12.75" customHeight="1" x14ac:dyDescent="0.25">
      <c r="C3424"/>
      <c r="M3424"/>
    </row>
    <row r="3425" spans="3:13" ht="12.75" customHeight="1" x14ac:dyDescent="0.25">
      <c r="C3425"/>
      <c r="M3425"/>
    </row>
    <row r="3426" spans="3:13" ht="12.75" customHeight="1" x14ac:dyDescent="0.25">
      <c r="C3426"/>
      <c r="M3426"/>
    </row>
    <row r="3427" spans="3:13" ht="12.75" customHeight="1" x14ac:dyDescent="0.25">
      <c r="C3427"/>
      <c r="M3427"/>
    </row>
    <row r="3428" spans="3:13" ht="12.75" customHeight="1" x14ac:dyDescent="0.25">
      <c r="C3428"/>
      <c r="M3428"/>
    </row>
    <row r="3429" spans="3:13" ht="12.75" customHeight="1" x14ac:dyDescent="0.25">
      <c r="C3429"/>
      <c r="M3429"/>
    </row>
    <row r="3430" spans="3:13" ht="12.75" customHeight="1" x14ac:dyDescent="0.25">
      <c r="C3430"/>
      <c r="M3430"/>
    </row>
    <row r="3431" spans="3:13" ht="12.75" customHeight="1" x14ac:dyDescent="0.25">
      <c r="C3431"/>
      <c r="M3431"/>
    </row>
    <row r="3432" spans="3:13" ht="12.75" customHeight="1" x14ac:dyDescent="0.25">
      <c r="C3432"/>
      <c r="M3432"/>
    </row>
    <row r="3433" spans="3:13" ht="12.75" customHeight="1" x14ac:dyDescent="0.25">
      <c r="C3433"/>
      <c r="M3433"/>
    </row>
    <row r="3434" spans="3:13" ht="12.75" customHeight="1" x14ac:dyDescent="0.25">
      <c r="C3434"/>
      <c r="M3434"/>
    </row>
    <row r="3435" spans="3:13" ht="12.75" customHeight="1" x14ac:dyDescent="0.25">
      <c r="C3435"/>
      <c r="M3435"/>
    </row>
    <row r="3436" spans="3:13" ht="12.75" customHeight="1" x14ac:dyDescent="0.25">
      <c r="C3436"/>
      <c r="M3436"/>
    </row>
    <row r="3437" spans="3:13" ht="12.75" customHeight="1" x14ac:dyDescent="0.25">
      <c r="C3437"/>
      <c r="M3437"/>
    </row>
    <row r="3438" spans="3:13" ht="12.75" customHeight="1" x14ac:dyDescent="0.25">
      <c r="C3438"/>
      <c r="M3438"/>
    </row>
    <row r="3439" spans="3:13" ht="12.75" customHeight="1" x14ac:dyDescent="0.25">
      <c r="C3439"/>
      <c r="M3439"/>
    </row>
    <row r="3440" spans="3:13" ht="12.75" customHeight="1" x14ac:dyDescent="0.25">
      <c r="C3440"/>
      <c r="M3440"/>
    </row>
    <row r="3441" spans="3:13" ht="12.75" customHeight="1" x14ac:dyDescent="0.25">
      <c r="C3441"/>
      <c r="M3441"/>
    </row>
    <row r="3442" spans="3:13" ht="12.75" customHeight="1" x14ac:dyDescent="0.25">
      <c r="C3442"/>
      <c r="M3442"/>
    </row>
    <row r="3443" spans="3:13" ht="12.75" customHeight="1" x14ac:dyDescent="0.25">
      <c r="C3443"/>
      <c r="M3443"/>
    </row>
    <row r="3444" spans="3:13" ht="12.75" customHeight="1" x14ac:dyDescent="0.25">
      <c r="C3444"/>
      <c r="M3444"/>
    </row>
    <row r="3445" spans="3:13" ht="12.75" customHeight="1" x14ac:dyDescent="0.25">
      <c r="C3445"/>
      <c r="M3445"/>
    </row>
    <row r="3446" spans="3:13" ht="12.75" customHeight="1" x14ac:dyDescent="0.25">
      <c r="C3446"/>
      <c r="M3446"/>
    </row>
    <row r="3447" spans="3:13" ht="12.75" customHeight="1" x14ac:dyDescent="0.25">
      <c r="C3447"/>
      <c r="M3447"/>
    </row>
    <row r="3448" spans="3:13" ht="12.75" customHeight="1" x14ac:dyDescent="0.25">
      <c r="C3448"/>
      <c r="M3448"/>
    </row>
    <row r="3449" spans="3:13" ht="12.75" customHeight="1" x14ac:dyDescent="0.25">
      <c r="C3449"/>
      <c r="M3449"/>
    </row>
    <row r="3450" spans="3:13" ht="12.75" customHeight="1" x14ac:dyDescent="0.25">
      <c r="C3450"/>
      <c r="M3450"/>
    </row>
    <row r="3451" spans="3:13" ht="12.75" customHeight="1" x14ac:dyDescent="0.25">
      <c r="C3451"/>
      <c r="M3451"/>
    </row>
    <row r="3452" spans="3:13" ht="12.75" customHeight="1" x14ac:dyDescent="0.25">
      <c r="C3452"/>
      <c r="M3452"/>
    </row>
    <row r="3453" spans="3:13" ht="12.75" customHeight="1" x14ac:dyDescent="0.25">
      <c r="C3453"/>
      <c r="M3453"/>
    </row>
    <row r="3454" spans="3:13" ht="12.75" customHeight="1" x14ac:dyDescent="0.25">
      <c r="C3454"/>
      <c r="M3454"/>
    </row>
    <row r="3455" spans="3:13" ht="12.75" customHeight="1" x14ac:dyDescent="0.25">
      <c r="C3455"/>
      <c r="M3455"/>
    </row>
    <row r="3456" spans="3:13" ht="12.75" customHeight="1" x14ac:dyDescent="0.25">
      <c r="C3456"/>
      <c r="M3456"/>
    </row>
    <row r="3457" spans="3:13" ht="12.75" customHeight="1" x14ac:dyDescent="0.25">
      <c r="C3457"/>
      <c r="M3457"/>
    </row>
    <row r="3458" spans="3:13" ht="12.75" customHeight="1" x14ac:dyDescent="0.25">
      <c r="C3458"/>
      <c r="M3458"/>
    </row>
    <row r="3459" spans="3:13" ht="12.75" customHeight="1" x14ac:dyDescent="0.25">
      <c r="C3459"/>
      <c r="M3459"/>
    </row>
    <row r="3460" spans="3:13" ht="12.75" customHeight="1" x14ac:dyDescent="0.25">
      <c r="C3460"/>
      <c r="M3460"/>
    </row>
    <row r="3461" spans="3:13" ht="12.75" customHeight="1" x14ac:dyDescent="0.25">
      <c r="C3461"/>
      <c r="M3461"/>
    </row>
    <row r="3462" spans="3:13" ht="12.75" customHeight="1" x14ac:dyDescent="0.25">
      <c r="C3462"/>
      <c r="M3462"/>
    </row>
    <row r="3463" spans="3:13" ht="12.75" customHeight="1" x14ac:dyDescent="0.25">
      <c r="C3463"/>
      <c r="M3463"/>
    </row>
    <row r="3464" spans="3:13" ht="12.75" customHeight="1" x14ac:dyDescent="0.25">
      <c r="C3464"/>
      <c r="M3464"/>
    </row>
    <row r="3465" spans="3:13" ht="12.75" customHeight="1" x14ac:dyDescent="0.25">
      <c r="C3465"/>
      <c r="M3465"/>
    </row>
    <row r="3466" spans="3:13" ht="12.75" customHeight="1" x14ac:dyDescent="0.25">
      <c r="C3466"/>
      <c r="M3466"/>
    </row>
    <row r="3467" spans="3:13" ht="12.75" customHeight="1" x14ac:dyDescent="0.25">
      <c r="C3467"/>
      <c r="M3467"/>
    </row>
    <row r="3468" spans="3:13" ht="12.75" customHeight="1" x14ac:dyDescent="0.25">
      <c r="C3468"/>
      <c r="M3468"/>
    </row>
    <row r="3469" spans="3:13" ht="12.75" customHeight="1" x14ac:dyDescent="0.25">
      <c r="C3469"/>
      <c r="M3469"/>
    </row>
    <row r="3470" spans="3:13" ht="12.75" customHeight="1" x14ac:dyDescent="0.25">
      <c r="C3470"/>
      <c r="M3470"/>
    </row>
    <row r="3471" spans="3:13" ht="12.75" customHeight="1" x14ac:dyDescent="0.25">
      <c r="C3471"/>
      <c r="M3471"/>
    </row>
    <row r="3472" spans="3:13" ht="12.75" customHeight="1" x14ac:dyDescent="0.25">
      <c r="C3472"/>
      <c r="M3472"/>
    </row>
    <row r="3473" spans="3:13" ht="12.75" customHeight="1" x14ac:dyDescent="0.25">
      <c r="C3473"/>
      <c r="M3473"/>
    </row>
    <row r="3474" spans="3:13" ht="12.75" customHeight="1" x14ac:dyDescent="0.25">
      <c r="C3474"/>
      <c r="M3474"/>
    </row>
    <row r="3475" spans="3:13" ht="12.75" customHeight="1" x14ac:dyDescent="0.25">
      <c r="C3475"/>
      <c r="M3475"/>
    </row>
    <row r="3476" spans="3:13" ht="12.75" customHeight="1" x14ac:dyDescent="0.25">
      <c r="C3476"/>
      <c r="M3476"/>
    </row>
    <row r="3477" spans="3:13" ht="12.75" customHeight="1" x14ac:dyDescent="0.25">
      <c r="C3477"/>
      <c r="M3477"/>
    </row>
    <row r="3478" spans="3:13" ht="12.75" customHeight="1" x14ac:dyDescent="0.25">
      <c r="C3478"/>
      <c r="M3478"/>
    </row>
    <row r="3479" spans="3:13" ht="12.75" customHeight="1" x14ac:dyDescent="0.25">
      <c r="C3479"/>
      <c r="M3479"/>
    </row>
    <row r="3480" spans="3:13" ht="12.75" customHeight="1" x14ac:dyDescent="0.25">
      <c r="C3480"/>
      <c r="M3480"/>
    </row>
    <row r="3481" spans="3:13" ht="12.75" customHeight="1" x14ac:dyDescent="0.25">
      <c r="C3481"/>
      <c r="M3481"/>
    </row>
    <row r="3482" spans="3:13" ht="12.75" customHeight="1" x14ac:dyDescent="0.25">
      <c r="C3482"/>
      <c r="M3482"/>
    </row>
    <row r="3483" spans="3:13" ht="12.75" customHeight="1" x14ac:dyDescent="0.25">
      <c r="C3483"/>
      <c r="M3483"/>
    </row>
    <row r="3484" spans="3:13" ht="12.75" customHeight="1" x14ac:dyDescent="0.25">
      <c r="C3484"/>
      <c r="M3484"/>
    </row>
    <row r="3485" spans="3:13" ht="12.75" customHeight="1" x14ac:dyDescent="0.25">
      <c r="C3485"/>
      <c r="M3485"/>
    </row>
    <row r="3486" spans="3:13" ht="12.75" customHeight="1" x14ac:dyDescent="0.25">
      <c r="C3486"/>
      <c r="M3486"/>
    </row>
    <row r="3487" spans="3:13" ht="12.75" customHeight="1" x14ac:dyDescent="0.25">
      <c r="C3487"/>
      <c r="M3487"/>
    </row>
    <row r="3488" spans="3:13" ht="12.75" customHeight="1" x14ac:dyDescent="0.25">
      <c r="C3488"/>
      <c r="M3488"/>
    </row>
    <row r="3489" spans="3:13" ht="12.75" customHeight="1" x14ac:dyDescent="0.25">
      <c r="C3489"/>
      <c r="M3489"/>
    </row>
    <row r="3490" spans="3:13" ht="12.75" customHeight="1" x14ac:dyDescent="0.25">
      <c r="C3490"/>
      <c r="M3490"/>
    </row>
    <row r="3491" spans="3:13" ht="12.75" customHeight="1" x14ac:dyDescent="0.25">
      <c r="C3491"/>
      <c r="M3491"/>
    </row>
    <row r="3492" spans="3:13" ht="12.75" customHeight="1" x14ac:dyDescent="0.25">
      <c r="C3492"/>
      <c r="M3492"/>
    </row>
    <row r="3493" spans="3:13" ht="12.75" customHeight="1" x14ac:dyDescent="0.25">
      <c r="C3493"/>
      <c r="M3493"/>
    </row>
    <row r="3494" spans="3:13" ht="12.75" customHeight="1" x14ac:dyDescent="0.25">
      <c r="C3494"/>
      <c r="M3494"/>
    </row>
    <row r="3495" spans="3:13" ht="12.75" customHeight="1" x14ac:dyDescent="0.25">
      <c r="C3495"/>
      <c r="M3495"/>
    </row>
    <row r="3496" spans="3:13" ht="12.75" customHeight="1" x14ac:dyDescent="0.25">
      <c r="C3496"/>
      <c r="M3496"/>
    </row>
    <row r="3497" spans="3:13" ht="12.75" customHeight="1" x14ac:dyDescent="0.25">
      <c r="C3497"/>
      <c r="M3497"/>
    </row>
    <row r="3498" spans="3:13" ht="12.75" customHeight="1" x14ac:dyDescent="0.25">
      <c r="C3498"/>
      <c r="M3498"/>
    </row>
    <row r="3499" spans="3:13" ht="12.75" customHeight="1" x14ac:dyDescent="0.25">
      <c r="C3499"/>
      <c r="M3499"/>
    </row>
    <row r="3500" spans="3:13" ht="12.75" customHeight="1" x14ac:dyDescent="0.25">
      <c r="C3500"/>
      <c r="M3500"/>
    </row>
    <row r="3501" spans="3:13" ht="12.75" customHeight="1" x14ac:dyDescent="0.25">
      <c r="C3501"/>
      <c r="M3501"/>
    </row>
    <row r="3502" spans="3:13" ht="12.75" customHeight="1" x14ac:dyDescent="0.25">
      <c r="C3502"/>
      <c r="M3502"/>
    </row>
    <row r="3503" spans="3:13" ht="12.75" customHeight="1" x14ac:dyDescent="0.25">
      <c r="C3503"/>
      <c r="M3503"/>
    </row>
    <row r="3504" spans="3:13" ht="12.75" customHeight="1" x14ac:dyDescent="0.25">
      <c r="C3504"/>
      <c r="M3504"/>
    </row>
    <row r="3505" spans="3:13" ht="12.75" customHeight="1" x14ac:dyDescent="0.25">
      <c r="C3505"/>
      <c r="M3505"/>
    </row>
    <row r="3506" spans="3:13" ht="12.75" customHeight="1" x14ac:dyDescent="0.25">
      <c r="C3506"/>
      <c r="M3506"/>
    </row>
    <row r="3507" spans="3:13" ht="12.75" customHeight="1" x14ac:dyDescent="0.25">
      <c r="C3507"/>
      <c r="M3507"/>
    </row>
    <row r="3508" spans="3:13" ht="12.75" customHeight="1" x14ac:dyDescent="0.25">
      <c r="C3508"/>
      <c r="M3508"/>
    </row>
    <row r="3509" spans="3:13" ht="12.75" customHeight="1" x14ac:dyDescent="0.25">
      <c r="C3509"/>
      <c r="M3509"/>
    </row>
    <row r="3510" spans="3:13" ht="12.75" customHeight="1" x14ac:dyDescent="0.25">
      <c r="C3510"/>
      <c r="M3510"/>
    </row>
    <row r="3511" spans="3:13" ht="12.75" customHeight="1" x14ac:dyDescent="0.25">
      <c r="C3511"/>
      <c r="M3511"/>
    </row>
    <row r="3512" spans="3:13" ht="12.75" customHeight="1" x14ac:dyDescent="0.25">
      <c r="C3512"/>
      <c r="M3512"/>
    </row>
    <row r="3513" spans="3:13" ht="12.75" customHeight="1" x14ac:dyDescent="0.25">
      <c r="C3513"/>
      <c r="M3513"/>
    </row>
    <row r="3514" spans="3:13" ht="12.75" customHeight="1" x14ac:dyDescent="0.25">
      <c r="C3514"/>
      <c r="M3514"/>
    </row>
    <row r="3515" spans="3:13" ht="12.75" customHeight="1" x14ac:dyDescent="0.25">
      <c r="C3515"/>
      <c r="M3515"/>
    </row>
    <row r="3516" spans="3:13" ht="12.75" customHeight="1" x14ac:dyDescent="0.25">
      <c r="C3516"/>
      <c r="M3516"/>
    </row>
    <row r="3517" spans="3:13" ht="12.75" customHeight="1" x14ac:dyDescent="0.25">
      <c r="C3517"/>
      <c r="M3517"/>
    </row>
    <row r="3518" spans="3:13" ht="12.75" customHeight="1" x14ac:dyDescent="0.25">
      <c r="C3518"/>
      <c r="M3518"/>
    </row>
    <row r="3519" spans="3:13" ht="12.75" customHeight="1" x14ac:dyDescent="0.25">
      <c r="C3519"/>
      <c r="M3519"/>
    </row>
    <row r="3520" spans="3:13" ht="12.75" customHeight="1" x14ac:dyDescent="0.25">
      <c r="C3520"/>
      <c r="M3520"/>
    </row>
    <row r="3521" spans="3:13" ht="12.75" customHeight="1" x14ac:dyDescent="0.25">
      <c r="C3521"/>
      <c r="M3521"/>
    </row>
    <row r="3522" spans="3:13" ht="12.75" customHeight="1" x14ac:dyDescent="0.25">
      <c r="C3522"/>
      <c r="M3522"/>
    </row>
    <row r="3523" spans="3:13" ht="12.75" customHeight="1" x14ac:dyDescent="0.25">
      <c r="C3523"/>
      <c r="M3523"/>
    </row>
    <row r="3524" spans="3:13" ht="12.75" customHeight="1" x14ac:dyDescent="0.25">
      <c r="C3524"/>
      <c r="M3524"/>
    </row>
    <row r="3525" spans="3:13" ht="12.75" customHeight="1" x14ac:dyDescent="0.25">
      <c r="C3525"/>
      <c r="M3525"/>
    </row>
    <row r="3526" spans="3:13" ht="12.75" customHeight="1" x14ac:dyDescent="0.25">
      <c r="C3526"/>
      <c r="M3526"/>
    </row>
    <row r="3527" spans="3:13" ht="12.75" customHeight="1" x14ac:dyDescent="0.25">
      <c r="C3527"/>
      <c r="M3527"/>
    </row>
    <row r="3528" spans="3:13" ht="12.75" customHeight="1" x14ac:dyDescent="0.25">
      <c r="C3528"/>
      <c r="M3528"/>
    </row>
    <row r="3529" spans="3:13" ht="12.75" customHeight="1" x14ac:dyDescent="0.25">
      <c r="C3529"/>
      <c r="M3529"/>
    </row>
    <row r="3530" spans="3:13" ht="12.75" customHeight="1" x14ac:dyDescent="0.25">
      <c r="C3530"/>
      <c r="M3530"/>
    </row>
    <row r="3531" spans="3:13" ht="12.75" customHeight="1" x14ac:dyDescent="0.25">
      <c r="C3531"/>
      <c r="M3531"/>
    </row>
    <row r="3532" spans="3:13" ht="12.75" customHeight="1" x14ac:dyDescent="0.25">
      <c r="C3532"/>
      <c r="M3532"/>
    </row>
    <row r="3533" spans="3:13" ht="12.75" customHeight="1" x14ac:dyDescent="0.25">
      <c r="C3533"/>
      <c r="M3533"/>
    </row>
    <row r="3534" spans="3:13" ht="12.75" customHeight="1" x14ac:dyDescent="0.25">
      <c r="C3534"/>
      <c r="M3534"/>
    </row>
    <row r="3535" spans="3:13" ht="12.75" customHeight="1" x14ac:dyDescent="0.25">
      <c r="C3535"/>
      <c r="M3535"/>
    </row>
    <row r="3536" spans="3:13" ht="12.75" customHeight="1" x14ac:dyDescent="0.25">
      <c r="C3536"/>
      <c r="M3536"/>
    </row>
    <row r="3537" spans="3:13" ht="12.75" customHeight="1" x14ac:dyDescent="0.25">
      <c r="C3537"/>
      <c r="M3537"/>
    </row>
    <row r="3538" spans="3:13" ht="12.75" customHeight="1" x14ac:dyDescent="0.25">
      <c r="C3538"/>
      <c r="M3538"/>
    </row>
    <row r="3539" spans="3:13" ht="12.75" customHeight="1" x14ac:dyDescent="0.25">
      <c r="C3539"/>
      <c r="M3539"/>
    </row>
    <row r="3540" spans="3:13" ht="12.75" customHeight="1" x14ac:dyDescent="0.25">
      <c r="C3540"/>
      <c r="M3540"/>
    </row>
    <row r="3541" spans="3:13" ht="12.75" customHeight="1" x14ac:dyDescent="0.25">
      <c r="C3541"/>
      <c r="M3541"/>
    </row>
    <row r="3542" spans="3:13" ht="12.75" customHeight="1" x14ac:dyDescent="0.25">
      <c r="C3542"/>
      <c r="M3542"/>
    </row>
    <row r="3543" spans="3:13" ht="12.75" customHeight="1" x14ac:dyDescent="0.25">
      <c r="C3543"/>
      <c r="M3543"/>
    </row>
    <row r="3544" spans="3:13" ht="12.75" customHeight="1" x14ac:dyDescent="0.25">
      <c r="C3544"/>
      <c r="M3544"/>
    </row>
    <row r="3545" spans="3:13" ht="12.75" customHeight="1" x14ac:dyDescent="0.25">
      <c r="C3545"/>
      <c r="M3545"/>
    </row>
    <row r="3546" spans="3:13" ht="12.75" customHeight="1" x14ac:dyDescent="0.25">
      <c r="C3546"/>
      <c r="M3546"/>
    </row>
    <row r="3547" spans="3:13" ht="12.75" customHeight="1" x14ac:dyDescent="0.25">
      <c r="C3547"/>
      <c r="M3547"/>
    </row>
    <row r="3548" spans="3:13" ht="12.75" customHeight="1" x14ac:dyDescent="0.25">
      <c r="C3548"/>
      <c r="M3548"/>
    </row>
    <row r="3549" spans="3:13" ht="12.75" customHeight="1" x14ac:dyDescent="0.25">
      <c r="C3549"/>
      <c r="M3549"/>
    </row>
    <row r="3550" spans="3:13" ht="12.75" customHeight="1" x14ac:dyDescent="0.25">
      <c r="C3550"/>
      <c r="M3550"/>
    </row>
    <row r="3551" spans="3:13" ht="12.75" customHeight="1" x14ac:dyDescent="0.25">
      <c r="C3551"/>
      <c r="M3551"/>
    </row>
    <row r="3552" spans="3:13" ht="12.75" customHeight="1" x14ac:dyDescent="0.25">
      <c r="C3552"/>
      <c r="M3552"/>
    </row>
    <row r="3553" spans="3:13" ht="12.75" customHeight="1" x14ac:dyDescent="0.25">
      <c r="C3553"/>
      <c r="M3553"/>
    </row>
    <row r="3554" spans="3:13" ht="12.75" customHeight="1" x14ac:dyDescent="0.25">
      <c r="C3554"/>
      <c r="M3554"/>
    </row>
    <row r="3555" spans="3:13" ht="12.75" customHeight="1" x14ac:dyDescent="0.25">
      <c r="C3555"/>
      <c r="M3555"/>
    </row>
    <row r="3556" spans="3:13" ht="12.75" customHeight="1" x14ac:dyDescent="0.25">
      <c r="C3556"/>
      <c r="M3556"/>
    </row>
    <row r="3557" spans="3:13" ht="12.75" customHeight="1" x14ac:dyDescent="0.25">
      <c r="C3557"/>
      <c r="M3557"/>
    </row>
    <row r="3558" spans="3:13" ht="12.75" customHeight="1" x14ac:dyDescent="0.25">
      <c r="C3558"/>
      <c r="M3558"/>
    </row>
    <row r="3559" spans="3:13" ht="12.75" customHeight="1" x14ac:dyDescent="0.25">
      <c r="C3559"/>
      <c r="M3559"/>
    </row>
    <row r="3560" spans="3:13" ht="12.75" customHeight="1" x14ac:dyDescent="0.25">
      <c r="C3560"/>
      <c r="M3560"/>
    </row>
    <row r="3561" spans="3:13" ht="12.75" customHeight="1" x14ac:dyDescent="0.25">
      <c r="C3561"/>
      <c r="M3561"/>
    </row>
    <row r="3562" spans="3:13" ht="12.75" customHeight="1" x14ac:dyDescent="0.25">
      <c r="C3562"/>
      <c r="M3562"/>
    </row>
    <row r="3563" spans="3:13" ht="12.75" customHeight="1" x14ac:dyDescent="0.25">
      <c r="C3563"/>
      <c r="M3563"/>
    </row>
    <row r="3564" spans="3:13" ht="12.75" customHeight="1" x14ac:dyDescent="0.25">
      <c r="C3564"/>
      <c r="M3564"/>
    </row>
    <row r="3565" spans="3:13" ht="12.75" customHeight="1" x14ac:dyDescent="0.25">
      <c r="C3565"/>
      <c r="M3565"/>
    </row>
    <row r="3566" spans="3:13" ht="12.75" customHeight="1" x14ac:dyDescent="0.25">
      <c r="C3566"/>
      <c r="M3566"/>
    </row>
    <row r="3567" spans="3:13" ht="12.75" customHeight="1" x14ac:dyDescent="0.25">
      <c r="C3567"/>
      <c r="M3567"/>
    </row>
    <row r="3568" spans="3:13" ht="12.75" customHeight="1" x14ac:dyDescent="0.25">
      <c r="C3568"/>
      <c r="M3568"/>
    </row>
    <row r="3569" spans="3:13" ht="12.75" customHeight="1" x14ac:dyDescent="0.25">
      <c r="C3569"/>
      <c r="M3569"/>
    </row>
    <row r="3570" spans="3:13" ht="12.75" customHeight="1" x14ac:dyDescent="0.25">
      <c r="C3570"/>
      <c r="M3570"/>
    </row>
    <row r="3571" spans="3:13" ht="12.75" customHeight="1" x14ac:dyDescent="0.25">
      <c r="C3571"/>
      <c r="M3571"/>
    </row>
    <row r="3572" spans="3:13" ht="12.75" customHeight="1" x14ac:dyDescent="0.25">
      <c r="C3572"/>
      <c r="M3572"/>
    </row>
    <row r="3573" spans="3:13" ht="12.75" customHeight="1" x14ac:dyDescent="0.25">
      <c r="C3573"/>
      <c r="M3573"/>
    </row>
    <row r="3574" spans="3:13" ht="12.75" customHeight="1" x14ac:dyDescent="0.25">
      <c r="C3574"/>
      <c r="M3574"/>
    </row>
    <row r="3575" spans="3:13" ht="12.75" customHeight="1" x14ac:dyDescent="0.25">
      <c r="C3575"/>
      <c r="M3575"/>
    </row>
    <row r="3576" spans="3:13" ht="12.75" customHeight="1" x14ac:dyDescent="0.25">
      <c r="C3576"/>
      <c r="M3576"/>
    </row>
    <row r="3577" spans="3:13" ht="12.75" customHeight="1" x14ac:dyDescent="0.25">
      <c r="C3577"/>
      <c r="M3577"/>
    </row>
    <row r="3578" spans="3:13" ht="12.75" customHeight="1" x14ac:dyDescent="0.25">
      <c r="C3578"/>
      <c r="M3578"/>
    </row>
    <row r="3579" spans="3:13" ht="12.75" customHeight="1" x14ac:dyDescent="0.25">
      <c r="C3579"/>
      <c r="M3579"/>
    </row>
    <row r="3580" spans="3:13" ht="12.75" customHeight="1" x14ac:dyDescent="0.25">
      <c r="C3580"/>
      <c r="M3580"/>
    </row>
    <row r="3581" spans="3:13" ht="12.75" customHeight="1" x14ac:dyDescent="0.25">
      <c r="C3581"/>
      <c r="M3581"/>
    </row>
    <row r="3582" spans="3:13" ht="12.75" customHeight="1" x14ac:dyDescent="0.25">
      <c r="C3582"/>
      <c r="M3582"/>
    </row>
    <row r="3583" spans="3:13" ht="12.75" customHeight="1" x14ac:dyDescent="0.25">
      <c r="C3583"/>
      <c r="M3583"/>
    </row>
    <row r="3584" spans="3:13" ht="12.75" customHeight="1" x14ac:dyDescent="0.25">
      <c r="C3584"/>
      <c r="M3584"/>
    </row>
    <row r="3585" spans="3:13" ht="12.75" customHeight="1" x14ac:dyDescent="0.25">
      <c r="C3585"/>
      <c r="M3585"/>
    </row>
    <row r="3586" spans="3:13" ht="12.75" customHeight="1" x14ac:dyDescent="0.25">
      <c r="C3586"/>
      <c r="M3586"/>
    </row>
    <row r="3587" spans="3:13" ht="12.75" customHeight="1" x14ac:dyDescent="0.25">
      <c r="C3587"/>
      <c r="M3587"/>
    </row>
    <row r="3588" spans="3:13" ht="12.75" customHeight="1" x14ac:dyDescent="0.25">
      <c r="C3588"/>
      <c r="M3588"/>
    </row>
    <row r="3589" spans="3:13" ht="12.75" customHeight="1" x14ac:dyDescent="0.25">
      <c r="C3589"/>
      <c r="M3589"/>
    </row>
    <row r="3590" spans="3:13" ht="12.75" customHeight="1" x14ac:dyDescent="0.25">
      <c r="C3590"/>
      <c r="M3590"/>
    </row>
    <row r="3591" spans="3:13" ht="12.75" customHeight="1" x14ac:dyDescent="0.25">
      <c r="C3591"/>
      <c r="M3591"/>
    </row>
    <row r="3592" spans="3:13" ht="12.75" customHeight="1" x14ac:dyDescent="0.25">
      <c r="C3592"/>
      <c r="M3592"/>
    </row>
    <row r="3593" spans="3:13" ht="12.75" customHeight="1" x14ac:dyDescent="0.25">
      <c r="C3593"/>
      <c r="M3593"/>
    </row>
    <row r="3594" spans="3:13" ht="12.75" customHeight="1" x14ac:dyDescent="0.25">
      <c r="C3594"/>
      <c r="M3594"/>
    </row>
    <row r="3595" spans="3:13" ht="12.75" customHeight="1" x14ac:dyDescent="0.25">
      <c r="C3595"/>
      <c r="M3595"/>
    </row>
    <row r="3596" spans="3:13" ht="12.75" customHeight="1" x14ac:dyDescent="0.25">
      <c r="C3596"/>
      <c r="M3596"/>
    </row>
    <row r="3597" spans="3:13" ht="12.75" customHeight="1" x14ac:dyDescent="0.25">
      <c r="C3597"/>
      <c r="M3597"/>
    </row>
    <row r="3598" spans="3:13" ht="12.75" customHeight="1" x14ac:dyDescent="0.25">
      <c r="C3598"/>
      <c r="M3598"/>
    </row>
    <row r="3599" spans="3:13" ht="12.75" customHeight="1" x14ac:dyDescent="0.25">
      <c r="C3599"/>
      <c r="M3599"/>
    </row>
    <row r="3600" spans="3:13" ht="12.75" customHeight="1" x14ac:dyDescent="0.25">
      <c r="C3600"/>
      <c r="M3600"/>
    </row>
    <row r="3601" spans="3:13" ht="12.75" customHeight="1" x14ac:dyDescent="0.25">
      <c r="C3601"/>
      <c r="M3601"/>
    </row>
    <row r="3602" spans="3:13" ht="12.75" customHeight="1" x14ac:dyDescent="0.25">
      <c r="C3602"/>
      <c r="M3602"/>
    </row>
    <row r="3603" spans="3:13" ht="12.75" customHeight="1" x14ac:dyDescent="0.25">
      <c r="C3603"/>
      <c r="M3603"/>
    </row>
    <row r="3604" spans="3:13" ht="12.75" customHeight="1" x14ac:dyDescent="0.25">
      <c r="C3604"/>
      <c r="M3604"/>
    </row>
    <row r="3605" spans="3:13" ht="12.75" customHeight="1" x14ac:dyDescent="0.25">
      <c r="C3605"/>
      <c r="M3605"/>
    </row>
    <row r="3606" spans="3:13" ht="12.75" customHeight="1" x14ac:dyDescent="0.25">
      <c r="C3606"/>
      <c r="M3606"/>
    </row>
    <row r="3607" spans="3:13" ht="12.75" customHeight="1" x14ac:dyDescent="0.25">
      <c r="C3607"/>
      <c r="M3607"/>
    </row>
    <row r="3608" spans="3:13" ht="12.75" customHeight="1" x14ac:dyDescent="0.25">
      <c r="C3608"/>
      <c r="M3608"/>
    </row>
    <row r="3609" spans="3:13" ht="12.75" customHeight="1" x14ac:dyDescent="0.25">
      <c r="C3609"/>
      <c r="M3609"/>
    </row>
    <row r="3610" spans="3:13" ht="12.75" customHeight="1" x14ac:dyDescent="0.25">
      <c r="C3610"/>
      <c r="M3610"/>
    </row>
    <row r="3611" spans="3:13" ht="12.75" customHeight="1" x14ac:dyDescent="0.25">
      <c r="C3611"/>
      <c r="M3611"/>
    </row>
    <row r="3612" spans="3:13" ht="12.75" customHeight="1" x14ac:dyDescent="0.25">
      <c r="C3612"/>
      <c r="M3612"/>
    </row>
    <row r="3613" spans="3:13" ht="12.75" customHeight="1" x14ac:dyDescent="0.25">
      <c r="C3613"/>
      <c r="M3613"/>
    </row>
    <row r="3614" spans="3:13" ht="12.75" customHeight="1" x14ac:dyDescent="0.25">
      <c r="C3614"/>
      <c r="M3614"/>
    </row>
    <row r="3615" spans="3:13" ht="12.75" customHeight="1" x14ac:dyDescent="0.25">
      <c r="C3615"/>
      <c r="M3615"/>
    </row>
    <row r="3616" spans="3:13" ht="12.75" customHeight="1" x14ac:dyDescent="0.25">
      <c r="C3616"/>
      <c r="M3616"/>
    </row>
    <row r="3617" spans="3:13" ht="12.75" customHeight="1" x14ac:dyDescent="0.25">
      <c r="C3617"/>
      <c r="M3617"/>
    </row>
    <row r="3618" spans="3:13" ht="12.75" customHeight="1" x14ac:dyDescent="0.25">
      <c r="C3618"/>
      <c r="M3618"/>
    </row>
    <row r="3619" spans="3:13" ht="12.75" customHeight="1" x14ac:dyDescent="0.25">
      <c r="C3619"/>
      <c r="M3619"/>
    </row>
    <row r="3620" spans="3:13" ht="12.75" customHeight="1" x14ac:dyDescent="0.25">
      <c r="C3620"/>
      <c r="M3620"/>
    </row>
    <row r="3621" spans="3:13" ht="12.75" customHeight="1" x14ac:dyDescent="0.25">
      <c r="C3621"/>
      <c r="M3621"/>
    </row>
    <row r="3622" spans="3:13" ht="12.75" customHeight="1" x14ac:dyDescent="0.25">
      <c r="C3622"/>
      <c r="M3622"/>
    </row>
    <row r="3623" spans="3:13" ht="12.75" customHeight="1" x14ac:dyDescent="0.25">
      <c r="C3623"/>
      <c r="M3623"/>
    </row>
    <row r="3624" spans="3:13" ht="12.75" customHeight="1" x14ac:dyDescent="0.25">
      <c r="C3624"/>
      <c r="M3624"/>
    </row>
    <row r="3625" spans="3:13" ht="12.75" customHeight="1" x14ac:dyDescent="0.25">
      <c r="C3625"/>
      <c r="M3625"/>
    </row>
    <row r="3626" spans="3:13" ht="12.75" customHeight="1" x14ac:dyDescent="0.25">
      <c r="C3626"/>
      <c r="M3626"/>
    </row>
    <row r="3627" spans="3:13" ht="12.75" customHeight="1" x14ac:dyDescent="0.25">
      <c r="C3627"/>
      <c r="M3627"/>
    </row>
    <row r="3628" spans="3:13" ht="12.75" customHeight="1" x14ac:dyDescent="0.25">
      <c r="C3628"/>
      <c r="M3628"/>
    </row>
    <row r="3629" spans="3:13" ht="12.75" customHeight="1" x14ac:dyDescent="0.25">
      <c r="C3629"/>
      <c r="M3629"/>
    </row>
    <row r="3630" spans="3:13" ht="12.75" customHeight="1" x14ac:dyDescent="0.25">
      <c r="C3630"/>
      <c r="M3630"/>
    </row>
    <row r="3631" spans="3:13" ht="12.75" customHeight="1" x14ac:dyDescent="0.25">
      <c r="C3631"/>
      <c r="M3631"/>
    </row>
    <row r="3632" spans="3:13" ht="12.75" customHeight="1" x14ac:dyDescent="0.25">
      <c r="C3632"/>
      <c r="M3632"/>
    </row>
    <row r="3633" spans="3:13" ht="12.75" customHeight="1" x14ac:dyDescent="0.25">
      <c r="C3633"/>
      <c r="M3633"/>
    </row>
    <row r="3634" spans="3:13" ht="12.75" customHeight="1" x14ac:dyDescent="0.25">
      <c r="C3634"/>
      <c r="M3634"/>
    </row>
    <row r="3635" spans="3:13" ht="12.75" customHeight="1" x14ac:dyDescent="0.25">
      <c r="C3635"/>
      <c r="M3635"/>
    </row>
    <row r="3636" spans="3:13" ht="12.75" customHeight="1" x14ac:dyDescent="0.25">
      <c r="C3636"/>
      <c r="M3636"/>
    </row>
    <row r="3637" spans="3:13" ht="12.75" customHeight="1" x14ac:dyDescent="0.25">
      <c r="C3637"/>
      <c r="M3637"/>
    </row>
    <row r="3638" spans="3:13" ht="12.75" customHeight="1" x14ac:dyDescent="0.25">
      <c r="C3638"/>
      <c r="M3638"/>
    </row>
    <row r="3639" spans="3:13" ht="12.75" customHeight="1" x14ac:dyDescent="0.25">
      <c r="C3639"/>
      <c r="M3639"/>
    </row>
    <row r="3640" spans="3:13" ht="12.75" customHeight="1" x14ac:dyDescent="0.25">
      <c r="C3640"/>
      <c r="M3640"/>
    </row>
    <row r="3641" spans="3:13" ht="12.75" customHeight="1" x14ac:dyDescent="0.25">
      <c r="C3641"/>
      <c r="M3641"/>
    </row>
    <row r="3642" spans="3:13" ht="12.75" customHeight="1" x14ac:dyDescent="0.25">
      <c r="C3642"/>
      <c r="M3642"/>
    </row>
    <row r="3643" spans="3:13" ht="12.75" customHeight="1" x14ac:dyDescent="0.25">
      <c r="C3643"/>
      <c r="M3643"/>
    </row>
    <row r="3644" spans="3:13" ht="12.75" customHeight="1" x14ac:dyDescent="0.25">
      <c r="C3644"/>
      <c r="M3644"/>
    </row>
    <row r="3645" spans="3:13" ht="12.75" customHeight="1" x14ac:dyDescent="0.25">
      <c r="C3645"/>
      <c r="M3645"/>
    </row>
    <row r="3646" spans="3:13" ht="12.75" customHeight="1" x14ac:dyDescent="0.25">
      <c r="C3646"/>
      <c r="M3646"/>
    </row>
    <row r="3647" spans="3:13" ht="12.75" customHeight="1" x14ac:dyDescent="0.25">
      <c r="C3647"/>
      <c r="M3647"/>
    </row>
    <row r="3648" spans="3:13" ht="12.75" customHeight="1" x14ac:dyDescent="0.25">
      <c r="C3648"/>
      <c r="M3648"/>
    </row>
    <row r="3649" spans="3:13" ht="12.75" customHeight="1" x14ac:dyDescent="0.25">
      <c r="C3649"/>
      <c r="M3649"/>
    </row>
    <row r="3650" spans="3:13" ht="12.75" customHeight="1" x14ac:dyDescent="0.25">
      <c r="C3650"/>
      <c r="M3650"/>
    </row>
    <row r="3651" spans="3:13" ht="12.75" customHeight="1" x14ac:dyDescent="0.25">
      <c r="C3651"/>
      <c r="M3651"/>
    </row>
    <row r="3652" spans="3:13" ht="12.75" customHeight="1" x14ac:dyDescent="0.25">
      <c r="C3652"/>
      <c r="M3652"/>
    </row>
    <row r="3653" spans="3:13" ht="12.75" customHeight="1" x14ac:dyDescent="0.25">
      <c r="C3653"/>
      <c r="M3653"/>
    </row>
    <row r="3654" spans="3:13" ht="12.75" customHeight="1" x14ac:dyDescent="0.25">
      <c r="C3654"/>
      <c r="M3654"/>
    </row>
    <row r="3655" spans="3:13" ht="12.75" customHeight="1" x14ac:dyDescent="0.25">
      <c r="C3655"/>
      <c r="M3655"/>
    </row>
    <row r="3656" spans="3:13" ht="12.75" customHeight="1" x14ac:dyDescent="0.25">
      <c r="C3656"/>
      <c r="M3656"/>
    </row>
    <row r="3657" spans="3:13" ht="12.75" customHeight="1" x14ac:dyDescent="0.25">
      <c r="C3657"/>
      <c r="M3657"/>
    </row>
    <row r="3658" spans="3:13" ht="12.75" customHeight="1" x14ac:dyDescent="0.25">
      <c r="C3658"/>
      <c r="M3658"/>
    </row>
    <row r="3659" spans="3:13" ht="12.75" customHeight="1" x14ac:dyDescent="0.25">
      <c r="C3659"/>
      <c r="M3659"/>
    </row>
    <row r="3660" spans="3:13" ht="12.75" customHeight="1" x14ac:dyDescent="0.25">
      <c r="C3660"/>
      <c r="M3660"/>
    </row>
    <row r="3661" spans="3:13" ht="12.75" customHeight="1" x14ac:dyDescent="0.25">
      <c r="C3661"/>
      <c r="M3661"/>
    </row>
    <row r="3662" spans="3:13" ht="12.75" customHeight="1" x14ac:dyDescent="0.25">
      <c r="C3662"/>
      <c r="M3662"/>
    </row>
    <row r="3663" spans="3:13" ht="12.75" customHeight="1" x14ac:dyDescent="0.25">
      <c r="C3663"/>
      <c r="M3663"/>
    </row>
    <row r="3664" spans="3:13" ht="12.75" customHeight="1" x14ac:dyDescent="0.25">
      <c r="C3664"/>
      <c r="M3664"/>
    </row>
    <row r="3665" spans="3:13" ht="12.75" customHeight="1" x14ac:dyDescent="0.25">
      <c r="C3665"/>
      <c r="M3665"/>
    </row>
    <row r="3666" spans="3:13" ht="12.75" customHeight="1" x14ac:dyDescent="0.25">
      <c r="C3666"/>
      <c r="M3666"/>
    </row>
    <row r="3667" spans="3:13" ht="12.75" customHeight="1" x14ac:dyDescent="0.25">
      <c r="C3667"/>
      <c r="M3667"/>
    </row>
    <row r="3668" spans="3:13" ht="12.75" customHeight="1" x14ac:dyDescent="0.25">
      <c r="C3668"/>
      <c r="M3668"/>
    </row>
    <row r="3669" spans="3:13" ht="12.75" customHeight="1" x14ac:dyDescent="0.25">
      <c r="C3669"/>
      <c r="M3669"/>
    </row>
    <row r="3670" spans="3:13" ht="12.75" customHeight="1" x14ac:dyDescent="0.25">
      <c r="C3670"/>
      <c r="M3670"/>
    </row>
    <row r="3671" spans="3:13" ht="12.75" customHeight="1" x14ac:dyDescent="0.25">
      <c r="C3671"/>
      <c r="M3671"/>
    </row>
    <row r="3672" spans="3:13" ht="12.75" customHeight="1" x14ac:dyDescent="0.25">
      <c r="C3672"/>
      <c r="M3672"/>
    </row>
    <row r="3673" spans="3:13" ht="12.75" customHeight="1" x14ac:dyDescent="0.25">
      <c r="C3673"/>
      <c r="M3673"/>
    </row>
    <row r="3674" spans="3:13" ht="12.75" customHeight="1" x14ac:dyDescent="0.25">
      <c r="C3674"/>
      <c r="M3674"/>
    </row>
    <row r="3675" spans="3:13" ht="12.75" customHeight="1" x14ac:dyDescent="0.25">
      <c r="C3675"/>
      <c r="M3675"/>
    </row>
    <row r="3676" spans="3:13" ht="12.75" customHeight="1" x14ac:dyDescent="0.25">
      <c r="C3676"/>
      <c r="M3676"/>
    </row>
    <row r="3677" spans="3:13" ht="12.75" customHeight="1" x14ac:dyDescent="0.25">
      <c r="C3677"/>
      <c r="M3677"/>
    </row>
    <row r="3678" spans="3:13" ht="12.75" customHeight="1" x14ac:dyDescent="0.25">
      <c r="C3678"/>
      <c r="M3678"/>
    </row>
    <row r="3679" spans="3:13" ht="12.75" customHeight="1" x14ac:dyDescent="0.25">
      <c r="C3679"/>
      <c r="M3679"/>
    </row>
    <row r="3680" spans="3:13" ht="12.75" customHeight="1" x14ac:dyDescent="0.25">
      <c r="C3680"/>
      <c r="M3680"/>
    </row>
    <row r="3681" spans="3:13" ht="12.75" customHeight="1" x14ac:dyDescent="0.25">
      <c r="C3681"/>
      <c r="M3681"/>
    </row>
    <row r="3682" spans="3:13" ht="12.75" customHeight="1" x14ac:dyDescent="0.25">
      <c r="C3682"/>
      <c r="M3682"/>
    </row>
    <row r="3683" spans="3:13" ht="12.75" customHeight="1" x14ac:dyDescent="0.25">
      <c r="C3683"/>
      <c r="M3683"/>
    </row>
    <row r="3684" spans="3:13" ht="12.75" customHeight="1" x14ac:dyDescent="0.25">
      <c r="C3684"/>
      <c r="M3684"/>
    </row>
    <row r="3685" spans="3:13" ht="12.75" customHeight="1" x14ac:dyDescent="0.25">
      <c r="C3685"/>
      <c r="M3685"/>
    </row>
    <row r="3686" spans="3:13" ht="12.75" customHeight="1" x14ac:dyDescent="0.25">
      <c r="C3686"/>
      <c r="M3686"/>
    </row>
    <row r="3687" spans="3:13" ht="12.75" customHeight="1" x14ac:dyDescent="0.25">
      <c r="C3687"/>
      <c r="M3687"/>
    </row>
    <row r="3688" spans="3:13" ht="12.75" customHeight="1" x14ac:dyDescent="0.25">
      <c r="C3688"/>
      <c r="M3688"/>
    </row>
    <row r="3689" spans="3:13" ht="12.75" customHeight="1" x14ac:dyDescent="0.25">
      <c r="C3689"/>
      <c r="M3689"/>
    </row>
    <row r="3690" spans="3:13" ht="12.75" customHeight="1" x14ac:dyDescent="0.25">
      <c r="C3690"/>
      <c r="M3690"/>
    </row>
    <row r="3691" spans="3:13" ht="12.75" customHeight="1" x14ac:dyDescent="0.25">
      <c r="C3691"/>
      <c r="M3691"/>
    </row>
    <row r="3692" spans="3:13" ht="12.75" customHeight="1" x14ac:dyDescent="0.25">
      <c r="C3692"/>
      <c r="M3692"/>
    </row>
    <row r="3693" spans="3:13" ht="12.75" customHeight="1" x14ac:dyDescent="0.25">
      <c r="C3693"/>
      <c r="M3693"/>
    </row>
    <row r="3694" spans="3:13" ht="12.75" customHeight="1" x14ac:dyDescent="0.25">
      <c r="C3694"/>
      <c r="M3694"/>
    </row>
    <row r="3695" spans="3:13" ht="12.75" customHeight="1" x14ac:dyDescent="0.25">
      <c r="C3695"/>
      <c r="M3695"/>
    </row>
    <row r="3696" spans="3:13" ht="12.75" customHeight="1" x14ac:dyDescent="0.25">
      <c r="C3696"/>
      <c r="M3696"/>
    </row>
    <row r="3697" spans="3:13" ht="12.75" customHeight="1" x14ac:dyDescent="0.25">
      <c r="C3697"/>
      <c r="M3697"/>
    </row>
    <row r="3698" spans="3:13" ht="12.75" customHeight="1" x14ac:dyDescent="0.25">
      <c r="C3698"/>
      <c r="M3698"/>
    </row>
    <row r="3699" spans="3:13" ht="12.75" customHeight="1" x14ac:dyDescent="0.25">
      <c r="C3699"/>
      <c r="M3699"/>
    </row>
    <row r="3700" spans="3:13" ht="12.75" customHeight="1" x14ac:dyDescent="0.25">
      <c r="C3700"/>
      <c r="M3700"/>
    </row>
    <row r="3701" spans="3:13" ht="12.75" customHeight="1" x14ac:dyDescent="0.25">
      <c r="C3701"/>
      <c r="M3701"/>
    </row>
    <row r="3702" spans="3:13" ht="12.75" customHeight="1" x14ac:dyDescent="0.25">
      <c r="C3702"/>
      <c r="M3702"/>
    </row>
    <row r="3703" spans="3:13" ht="12.75" customHeight="1" x14ac:dyDescent="0.25">
      <c r="C3703"/>
      <c r="M3703"/>
    </row>
    <row r="3704" spans="3:13" ht="12.75" customHeight="1" x14ac:dyDescent="0.25">
      <c r="C3704"/>
      <c r="M3704"/>
    </row>
    <row r="3705" spans="3:13" ht="12.75" customHeight="1" x14ac:dyDescent="0.25">
      <c r="C3705"/>
      <c r="M3705"/>
    </row>
    <row r="3706" spans="3:13" ht="12.75" customHeight="1" x14ac:dyDescent="0.25">
      <c r="C3706"/>
      <c r="M3706"/>
    </row>
    <row r="3707" spans="3:13" ht="12.75" customHeight="1" x14ac:dyDescent="0.25">
      <c r="C3707"/>
      <c r="M3707"/>
    </row>
    <row r="3708" spans="3:13" ht="12.75" customHeight="1" x14ac:dyDescent="0.25">
      <c r="C3708"/>
      <c r="M3708"/>
    </row>
    <row r="3709" spans="3:13" ht="12.75" customHeight="1" x14ac:dyDescent="0.25">
      <c r="C3709"/>
      <c r="M3709"/>
    </row>
    <row r="3710" spans="3:13" ht="12.75" customHeight="1" x14ac:dyDescent="0.25">
      <c r="C3710"/>
      <c r="M3710"/>
    </row>
    <row r="3711" spans="3:13" ht="12.75" customHeight="1" x14ac:dyDescent="0.25">
      <c r="C3711"/>
      <c r="M3711"/>
    </row>
    <row r="3712" spans="3:13" ht="12.75" customHeight="1" x14ac:dyDescent="0.25">
      <c r="C3712"/>
      <c r="M3712"/>
    </row>
    <row r="3713" spans="3:13" ht="12.75" customHeight="1" x14ac:dyDescent="0.25">
      <c r="C3713"/>
      <c r="M3713"/>
    </row>
    <row r="3714" spans="3:13" ht="12.75" customHeight="1" x14ac:dyDescent="0.25">
      <c r="C3714"/>
      <c r="M3714"/>
    </row>
    <row r="3715" spans="3:13" ht="12.75" customHeight="1" x14ac:dyDescent="0.25">
      <c r="C3715"/>
      <c r="M3715"/>
    </row>
    <row r="3716" spans="3:13" ht="12.75" customHeight="1" x14ac:dyDescent="0.25">
      <c r="C3716"/>
      <c r="M3716"/>
    </row>
    <row r="3717" spans="3:13" ht="12.75" customHeight="1" x14ac:dyDescent="0.25">
      <c r="C3717"/>
      <c r="M3717"/>
    </row>
    <row r="3718" spans="3:13" ht="12.75" customHeight="1" x14ac:dyDescent="0.25">
      <c r="C3718"/>
      <c r="M3718"/>
    </row>
    <row r="3719" spans="3:13" ht="12.75" customHeight="1" x14ac:dyDescent="0.25">
      <c r="C3719"/>
      <c r="M3719"/>
    </row>
    <row r="3720" spans="3:13" ht="12.75" customHeight="1" x14ac:dyDescent="0.25">
      <c r="C3720"/>
      <c r="M3720"/>
    </row>
    <row r="3721" spans="3:13" ht="12.75" customHeight="1" x14ac:dyDescent="0.25">
      <c r="C3721"/>
      <c r="M3721"/>
    </row>
    <row r="3722" spans="3:13" ht="12.75" customHeight="1" x14ac:dyDescent="0.25">
      <c r="C3722"/>
      <c r="M3722"/>
    </row>
    <row r="3723" spans="3:13" ht="12.75" customHeight="1" x14ac:dyDescent="0.25">
      <c r="C3723"/>
      <c r="M3723"/>
    </row>
    <row r="3724" spans="3:13" ht="12.75" customHeight="1" x14ac:dyDescent="0.25">
      <c r="C3724"/>
      <c r="M3724"/>
    </row>
    <row r="3725" spans="3:13" ht="12.75" customHeight="1" x14ac:dyDescent="0.25">
      <c r="C3725"/>
      <c r="M3725"/>
    </row>
    <row r="3726" spans="3:13" ht="12.75" customHeight="1" x14ac:dyDescent="0.25">
      <c r="C3726"/>
      <c r="M3726"/>
    </row>
    <row r="3727" spans="3:13" ht="12.75" customHeight="1" x14ac:dyDescent="0.25">
      <c r="C3727"/>
      <c r="M3727"/>
    </row>
    <row r="3728" spans="3:13" ht="12.75" customHeight="1" x14ac:dyDescent="0.25">
      <c r="C3728"/>
      <c r="M3728"/>
    </row>
    <row r="3729" spans="3:13" ht="12.75" customHeight="1" x14ac:dyDescent="0.25">
      <c r="C3729"/>
      <c r="M3729"/>
    </row>
    <row r="3730" spans="3:13" ht="12.75" customHeight="1" x14ac:dyDescent="0.25">
      <c r="C3730"/>
      <c r="M3730"/>
    </row>
    <row r="3731" spans="3:13" ht="12.75" customHeight="1" x14ac:dyDescent="0.25">
      <c r="C3731"/>
      <c r="M3731"/>
    </row>
    <row r="3732" spans="3:13" ht="12.75" customHeight="1" x14ac:dyDescent="0.25">
      <c r="C3732"/>
      <c r="M3732"/>
    </row>
    <row r="3733" spans="3:13" ht="12.75" customHeight="1" x14ac:dyDescent="0.25">
      <c r="C3733"/>
      <c r="M3733"/>
    </row>
    <row r="3734" spans="3:13" ht="12.75" customHeight="1" x14ac:dyDescent="0.25">
      <c r="C3734"/>
      <c r="M3734"/>
    </row>
    <row r="3735" spans="3:13" ht="12.75" customHeight="1" x14ac:dyDescent="0.25">
      <c r="C3735"/>
      <c r="M3735"/>
    </row>
    <row r="3736" spans="3:13" ht="12.75" customHeight="1" x14ac:dyDescent="0.25">
      <c r="C3736"/>
      <c r="M3736"/>
    </row>
    <row r="3737" spans="3:13" ht="12.75" customHeight="1" x14ac:dyDescent="0.25">
      <c r="C3737"/>
      <c r="M3737"/>
    </row>
    <row r="3738" spans="3:13" ht="12.75" customHeight="1" x14ac:dyDescent="0.25">
      <c r="C3738"/>
      <c r="M3738"/>
    </row>
    <row r="3739" spans="3:13" ht="12.75" customHeight="1" x14ac:dyDescent="0.25">
      <c r="C3739"/>
      <c r="M3739"/>
    </row>
    <row r="3740" spans="3:13" ht="12.75" customHeight="1" x14ac:dyDescent="0.25">
      <c r="C3740"/>
      <c r="M3740"/>
    </row>
    <row r="3741" spans="3:13" ht="12.75" customHeight="1" x14ac:dyDescent="0.25">
      <c r="C3741"/>
      <c r="M3741"/>
    </row>
    <row r="3742" spans="3:13" ht="12.75" customHeight="1" x14ac:dyDescent="0.25">
      <c r="C3742"/>
      <c r="M3742"/>
    </row>
    <row r="3743" spans="3:13" ht="12.75" customHeight="1" x14ac:dyDescent="0.25">
      <c r="C3743"/>
      <c r="M3743"/>
    </row>
    <row r="3744" spans="3:13" ht="12.75" customHeight="1" x14ac:dyDescent="0.25">
      <c r="C3744"/>
      <c r="M3744"/>
    </row>
    <row r="3745" spans="3:13" ht="12.75" customHeight="1" x14ac:dyDescent="0.25">
      <c r="C3745"/>
      <c r="M3745"/>
    </row>
    <row r="3746" spans="3:13" ht="12.75" customHeight="1" x14ac:dyDescent="0.25">
      <c r="C3746"/>
      <c r="M3746"/>
    </row>
    <row r="3747" spans="3:13" ht="12.75" customHeight="1" x14ac:dyDescent="0.25">
      <c r="C3747"/>
      <c r="M3747"/>
    </row>
    <row r="3748" spans="3:13" ht="12.75" customHeight="1" x14ac:dyDescent="0.25">
      <c r="C3748"/>
      <c r="M3748"/>
    </row>
    <row r="3749" spans="3:13" ht="12.75" customHeight="1" x14ac:dyDescent="0.25">
      <c r="C3749"/>
      <c r="M3749"/>
    </row>
    <row r="3750" spans="3:13" ht="12.75" customHeight="1" x14ac:dyDescent="0.25">
      <c r="C3750"/>
      <c r="M3750"/>
    </row>
    <row r="3751" spans="3:13" ht="12.75" customHeight="1" x14ac:dyDescent="0.25">
      <c r="C3751"/>
      <c r="M3751"/>
    </row>
    <row r="3752" spans="3:13" ht="12.75" customHeight="1" x14ac:dyDescent="0.25">
      <c r="C3752"/>
      <c r="M3752"/>
    </row>
    <row r="3753" spans="3:13" ht="12.75" customHeight="1" x14ac:dyDescent="0.25">
      <c r="C3753"/>
      <c r="M3753"/>
    </row>
    <row r="3754" spans="3:13" ht="12.75" customHeight="1" x14ac:dyDescent="0.25">
      <c r="C3754"/>
      <c r="M3754"/>
    </row>
    <row r="3755" spans="3:13" ht="12.75" customHeight="1" x14ac:dyDescent="0.25">
      <c r="C3755"/>
      <c r="M3755"/>
    </row>
    <row r="3756" spans="3:13" ht="12.75" customHeight="1" x14ac:dyDescent="0.25">
      <c r="C3756"/>
      <c r="M3756"/>
    </row>
    <row r="3757" spans="3:13" ht="12.75" customHeight="1" x14ac:dyDescent="0.25">
      <c r="C3757"/>
      <c r="M3757"/>
    </row>
    <row r="3758" spans="3:13" ht="12.75" customHeight="1" x14ac:dyDescent="0.25">
      <c r="C3758"/>
      <c r="M3758"/>
    </row>
    <row r="3759" spans="3:13" ht="12.75" customHeight="1" x14ac:dyDescent="0.25">
      <c r="C3759"/>
      <c r="M3759"/>
    </row>
    <row r="3760" spans="3:13" ht="12.75" customHeight="1" x14ac:dyDescent="0.25">
      <c r="C3760"/>
      <c r="M3760"/>
    </row>
    <row r="3761" spans="3:13" ht="12.75" customHeight="1" x14ac:dyDescent="0.25">
      <c r="C3761"/>
      <c r="M3761"/>
    </row>
    <row r="3762" spans="3:13" ht="12.75" customHeight="1" x14ac:dyDescent="0.25">
      <c r="C3762"/>
      <c r="M3762"/>
    </row>
    <row r="3763" spans="3:13" ht="12.75" customHeight="1" x14ac:dyDescent="0.25">
      <c r="C3763"/>
      <c r="M3763"/>
    </row>
    <row r="3764" spans="3:13" ht="12.75" customHeight="1" x14ac:dyDescent="0.25">
      <c r="C3764"/>
      <c r="M3764"/>
    </row>
    <row r="3765" spans="3:13" ht="12.75" customHeight="1" x14ac:dyDescent="0.25">
      <c r="C3765"/>
      <c r="M3765"/>
    </row>
    <row r="3766" spans="3:13" ht="12.75" customHeight="1" x14ac:dyDescent="0.25">
      <c r="C3766"/>
      <c r="M3766"/>
    </row>
    <row r="3767" spans="3:13" ht="12.75" customHeight="1" x14ac:dyDescent="0.25">
      <c r="C3767"/>
      <c r="M3767"/>
    </row>
    <row r="3768" spans="3:13" ht="12.75" customHeight="1" x14ac:dyDescent="0.25">
      <c r="C3768"/>
      <c r="M3768"/>
    </row>
    <row r="3769" spans="3:13" ht="12.75" customHeight="1" x14ac:dyDescent="0.25">
      <c r="C3769"/>
      <c r="M3769"/>
    </row>
    <row r="3770" spans="3:13" ht="12.75" customHeight="1" x14ac:dyDescent="0.25">
      <c r="C3770"/>
      <c r="M3770"/>
    </row>
    <row r="3771" spans="3:13" ht="12.75" customHeight="1" x14ac:dyDescent="0.25">
      <c r="C3771"/>
      <c r="M3771"/>
    </row>
    <row r="3772" spans="3:13" ht="12.75" customHeight="1" x14ac:dyDescent="0.25">
      <c r="C3772"/>
      <c r="M3772"/>
    </row>
    <row r="3773" spans="3:13" ht="12.75" customHeight="1" x14ac:dyDescent="0.25">
      <c r="C3773"/>
      <c r="M3773"/>
    </row>
    <row r="3774" spans="3:13" ht="12.75" customHeight="1" x14ac:dyDescent="0.25">
      <c r="C3774"/>
      <c r="M3774"/>
    </row>
    <row r="3775" spans="3:13" ht="12.75" customHeight="1" x14ac:dyDescent="0.25">
      <c r="C3775"/>
      <c r="M3775"/>
    </row>
    <row r="3776" spans="3:13" ht="12.75" customHeight="1" x14ac:dyDescent="0.25">
      <c r="C3776"/>
      <c r="M3776"/>
    </row>
    <row r="3777" spans="3:13" ht="12.75" customHeight="1" x14ac:dyDescent="0.25">
      <c r="C3777"/>
      <c r="M3777"/>
    </row>
    <row r="3778" spans="3:13" ht="12.75" customHeight="1" x14ac:dyDescent="0.25">
      <c r="C3778"/>
      <c r="M3778"/>
    </row>
    <row r="3779" spans="3:13" ht="12.75" customHeight="1" x14ac:dyDescent="0.25">
      <c r="C3779"/>
      <c r="M3779"/>
    </row>
    <row r="3780" spans="3:13" ht="12.75" customHeight="1" x14ac:dyDescent="0.25">
      <c r="C3780"/>
      <c r="M3780"/>
    </row>
    <row r="3781" spans="3:13" ht="12.75" customHeight="1" x14ac:dyDescent="0.25">
      <c r="C3781"/>
      <c r="M3781"/>
    </row>
    <row r="3782" spans="3:13" ht="12.75" customHeight="1" x14ac:dyDescent="0.25">
      <c r="C3782"/>
      <c r="M3782"/>
    </row>
    <row r="3783" spans="3:13" ht="12.75" customHeight="1" x14ac:dyDescent="0.25">
      <c r="C3783"/>
      <c r="M3783"/>
    </row>
    <row r="3784" spans="3:13" ht="12.75" customHeight="1" x14ac:dyDescent="0.25">
      <c r="C3784"/>
      <c r="M3784"/>
    </row>
    <row r="3785" spans="3:13" ht="12.75" customHeight="1" x14ac:dyDescent="0.25">
      <c r="C3785"/>
      <c r="M3785"/>
    </row>
    <row r="3786" spans="3:13" ht="12.75" customHeight="1" x14ac:dyDescent="0.25">
      <c r="C3786"/>
      <c r="M3786"/>
    </row>
    <row r="3787" spans="3:13" ht="12.75" customHeight="1" x14ac:dyDescent="0.25">
      <c r="C3787"/>
      <c r="M3787"/>
    </row>
    <row r="3788" spans="3:13" ht="12.75" customHeight="1" x14ac:dyDescent="0.25">
      <c r="C3788"/>
      <c r="M3788"/>
    </row>
    <row r="3789" spans="3:13" ht="12.75" customHeight="1" x14ac:dyDescent="0.25">
      <c r="C3789"/>
      <c r="M3789"/>
    </row>
    <row r="3790" spans="3:13" ht="12.75" customHeight="1" x14ac:dyDescent="0.25">
      <c r="C3790"/>
      <c r="M3790"/>
    </row>
    <row r="3791" spans="3:13" ht="12.75" customHeight="1" x14ac:dyDescent="0.25">
      <c r="C3791"/>
      <c r="M3791"/>
    </row>
    <row r="3792" spans="3:13" ht="12.75" customHeight="1" x14ac:dyDescent="0.25">
      <c r="C3792"/>
      <c r="M3792"/>
    </row>
    <row r="3793" spans="3:13" ht="12.75" customHeight="1" x14ac:dyDescent="0.25">
      <c r="C3793"/>
      <c r="M3793"/>
    </row>
    <row r="3794" spans="3:13" ht="12.75" customHeight="1" x14ac:dyDescent="0.25">
      <c r="C3794"/>
      <c r="M3794"/>
    </row>
    <row r="3795" spans="3:13" ht="12.75" customHeight="1" x14ac:dyDescent="0.25">
      <c r="C3795"/>
      <c r="M3795"/>
    </row>
    <row r="3796" spans="3:13" ht="12.75" customHeight="1" x14ac:dyDescent="0.25">
      <c r="C3796"/>
      <c r="M3796"/>
    </row>
    <row r="3797" spans="3:13" ht="12.75" customHeight="1" x14ac:dyDescent="0.25">
      <c r="C3797"/>
      <c r="M3797"/>
    </row>
    <row r="3798" spans="3:13" ht="12.75" customHeight="1" x14ac:dyDescent="0.25">
      <c r="C3798"/>
      <c r="M3798"/>
    </row>
    <row r="3799" spans="3:13" ht="12.75" customHeight="1" x14ac:dyDescent="0.25">
      <c r="C3799"/>
      <c r="M3799"/>
    </row>
    <row r="3800" spans="3:13" ht="12.75" customHeight="1" x14ac:dyDescent="0.25">
      <c r="C3800"/>
      <c r="M3800"/>
    </row>
    <row r="3801" spans="3:13" ht="12.75" customHeight="1" x14ac:dyDescent="0.25">
      <c r="C3801"/>
      <c r="M3801"/>
    </row>
    <row r="3802" spans="3:13" ht="12.75" customHeight="1" x14ac:dyDescent="0.25">
      <c r="C3802"/>
      <c r="M3802"/>
    </row>
    <row r="3803" spans="3:13" ht="12.75" customHeight="1" x14ac:dyDescent="0.25">
      <c r="C3803"/>
      <c r="M3803"/>
    </row>
    <row r="3804" spans="3:13" ht="12.75" customHeight="1" x14ac:dyDescent="0.25">
      <c r="C3804"/>
      <c r="M3804"/>
    </row>
    <row r="3805" spans="3:13" ht="12.75" customHeight="1" x14ac:dyDescent="0.25">
      <c r="C3805"/>
      <c r="M3805"/>
    </row>
    <row r="3806" spans="3:13" ht="12.75" customHeight="1" x14ac:dyDescent="0.25">
      <c r="C3806"/>
      <c r="M3806"/>
    </row>
    <row r="3807" spans="3:13" ht="12.75" customHeight="1" x14ac:dyDescent="0.25">
      <c r="C3807"/>
      <c r="M3807"/>
    </row>
    <row r="3808" spans="3:13" ht="12.75" customHeight="1" x14ac:dyDescent="0.25">
      <c r="C3808"/>
      <c r="M3808"/>
    </row>
    <row r="3809" spans="3:13" ht="12.75" customHeight="1" x14ac:dyDescent="0.25">
      <c r="C3809"/>
      <c r="M3809"/>
    </row>
    <row r="3810" spans="3:13" ht="12.75" customHeight="1" x14ac:dyDescent="0.25">
      <c r="C3810"/>
      <c r="M3810"/>
    </row>
    <row r="3811" spans="3:13" ht="12.75" customHeight="1" x14ac:dyDescent="0.25">
      <c r="C3811"/>
      <c r="M3811"/>
    </row>
    <row r="3812" spans="3:13" ht="12.75" customHeight="1" x14ac:dyDescent="0.25">
      <c r="C3812"/>
      <c r="M3812"/>
    </row>
    <row r="3813" spans="3:13" ht="12.75" customHeight="1" x14ac:dyDescent="0.25">
      <c r="C3813"/>
      <c r="M3813"/>
    </row>
    <row r="3814" spans="3:13" ht="12.75" customHeight="1" x14ac:dyDescent="0.25">
      <c r="C3814"/>
      <c r="M3814"/>
    </row>
    <row r="3815" spans="3:13" ht="12.75" customHeight="1" x14ac:dyDescent="0.25">
      <c r="C3815"/>
      <c r="M3815"/>
    </row>
    <row r="3816" spans="3:13" ht="12.75" customHeight="1" x14ac:dyDescent="0.25">
      <c r="C3816"/>
      <c r="M3816"/>
    </row>
    <row r="3817" spans="3:13" ht="12.75" customHeight="1" x14ac:dyDescent="0.25">
      <c r="C3817"/>
      <c r="M3817"/>
    </row>
    <row r="3818" spans="3:13" ht="12.75" customHeight="1" x14ac:dyDescent="0.25">
      <c r="C3818"/>
      <c r="M3818"/>
    </row>
    <row r="3819" spans="3:13" ht="12.75" customHeight="1" x14ac:dyDescent="0.25">
      <c r="C3819"/>
      <c r="M3819"/>
    </row>
    <row r="3820" spans="3:13" ht="12.75" customHeight="1" x14ac:dyDescent="0.25">
      <c r="C3820"/>
      <c r="M3820"/>
    </row>
    <row r="3821" spans="3:13" ht="12.75" customHeight="1" x14ac:dyDescent="0.25">
      <c r="C3821"/>
      <c r="M3821"/>
    </row>
    <row r="3822" spans="3:13" ht="12.75" customHeight="1" x14ac:dyDescent="0.25">
      <c r="C3822"/>
      <c r="M3822"/>
    </row>
    <row r="3823" spans="3:13" ht="12.75" customHeight="1" x14ac:dyDescent="0.25">
      <c r="C3823"/>
      <c r="M3823"/>
    </row>
    <row r="3824" spans="3:13" ht="12.75" customHeight="1" x14ac:dyDescent="0.25">
      <c r="C3824"/>
      <c r="M3824"/>
    </row>
    <row r="3825" spans="3:13" ht="12.75" customHeight="1" x14ac:dyDescent="0.25">
      <c r="C3825"/>
      <c r="M3825"/>
    </row>
    <row r="3826" spans="3:13" ht="12.75" customHeight="1" x14ac:dyDescent="0.25">
      <c r="C3826"/>
      <c r="M3826"/>
    </row>
    <row r="3827" spans="3:13" ht="12.75" customHeight="1" x14ac:dyDescent="0.25">
      <c r="C3827"/>
      <c r="M3827"/>
    </row>
    <row r="3828" spans="3:13" ht="12.75" customHeight="1" x14ac:dyDescent="0.25">
      <c r="C3828"/>
      <c r="M3828"/>
    </row>
    <row r="3829" spans="3:13" ht="12.75" customHeight="1" x14ac:dyDescent="0.25">
      <c r="C3829"/>
      <c r="M3829"/>
    </row>
    <row r="3830" spans="3:13" ht="12.75" customHeight="1" x14ac:dyDescent="0.25">
      <c r="C3830"/>
      <c r="M3830"/>
    </row>
    <row r="3831" spans="3:13" ht="12.75" customHeight="1" x14ac:dyDescent="0.25">
      <c r="C3831"/>
      <c r="M3831"/>
    </row>
    <row r="3832" spans="3:13" ht="12.75" customHeight="1" x14ac:dyDescent="0.25">
      <c r="C3832"/>
      <c r="M3832"/>
    </row>
    <row r="3833" spans="3:13" ht="12.75" customHeight="1" x14ac:dyDescent="0.25">
      <c r="C3833"/>
      <c r="M3833"/>
    </row>
    <row r="3834" spans="3:13" ht="12.75" customHeight="1" x14ac:dyDescent="0.25">
      <c r="C3834"/>
      <c r="M3834"/>
    </row>
    <row r="3835" spans="3:13" ht="12.75" customHeight="1" x14ac:dyDescent="0.25">
      <c r="C3835"/>
      <c r="M3835"/>
    </row>
    <row r="3836" spans="3:13" ht="12.75" customHeight="1" x14ac:dyDescent="0.25">
      <c r="C3836"/>
      <c r="M3836"/>
    </row>
    <row r="3837" spans="3:13" ht="12.75" customHeight="1" x14ac:dyDescent="0.25">
      <c r="C3837"/>
      <c r="M3837"/>
    </row>
    <row r="3838" spans="3:13" ht="12.75" customHeight="1" x14ac:dyDescent="0.25">
      <c r="C3838"/>
      <c r="M3838"/>
    </row>
    <row r="3839" spans="3:13" ht="12.75" customHeight="1" x14ac:dyDescent="0.25">
      <c r="C3839"/>
      <c r="M3839"/>
    </row>
    <row r="3840" spans="3:13" ht="12.75" customHeight="1" x14ac:dyDescent="0.25">
      <c r="C3840"/>
      <c r="M3840"/>
    </row>
    <row r="3841" spans="3:13" ht="12.75" customHeight="1" x14ac:dyDescent="0.25">
      <c r="C3841"/>
      <c r="M3841"/>
    </row>
    <row r="3842" spans="3:13" ht="12.75" customHeight="1" x14ac:dyDescent="0.25">
      <c r="C3842"/>
      <c r="M3842"/>
    </row>
    <row r="3843" spans="3:13" ht="12.75" customHeight="1" x14ac:dyDescent="0.25">
      <c r="C3843"/>
      <c r="M3843"/>
    </row>
    <row r="3844" spans="3:13" ht="12.75" customHeight="1" x14ac:dyDescent="0.25">
      <c r="C3844"/>
      <c r="M3844"/>
    </row>
    <row r="3845" spans="3:13" ht="12.75" customHeight="1" x14ac:dyDescent="0.25">
      <c r="C3845"/>
      <c r="M3845"/>
    </row>
    <row r="3846" spans="3:13" ht="12.75" customHeight="1" x14ac:dyDescent="0.25">
      <c r="C3846"/>
      <c r="M3846"/>
    </row>
    <row r="3847" spans="3:13" ht="12.75" customHeight="1" x14ac:dyDescent="0.25">
      <c r="C3847"/>
      <c r="M3847"/>
    </row>
    <row r="3848" spans="3:13" ht="12.75" customHeight="1" x14ac:dyDescent="0.25">
      <c r="C3848"/>
      <c r="M3848"/>
    </row>
    <row r="3849" spans="3:13" ht="12.75" customHeight="1" x14ac:dyDescent="0.25">
      <c r="C3849"/>
      <c r="M3849"/>
    </row>
    <row r="3850" spans="3:13" ht="12.75" customHeight="1" x14ac:dyDescent="0.25">
      <c r="C3850"/>
      <c r="M3850"/>
    </row>
    <row r="3851" spans="3:13" ht="12.75" customHeight="1" x14ac:dyDescent="0.25">
      <c r="C3851"/>
      <c r="M3851"/>
    </row>
    <row r="3852" spans="3:13" ht="12.75" customHeight="1" x14ac:dyDescent="0.25">
      <c r="C3852"/>
      <c r="M3852"/>
    </row>
    <row r="3853" spans="3:13" ht="12.75" customHeight="1" x14ac:dyDescent="0.25">
      <c r="C3853"/>
      <c r="M3853"/>
    </row>
    <row r="3854" spans="3:13" ht="12.75" customHeight="1" x14ac:dyDescent="0.25">
      <c r="C3854"/>
      <c r="M3854"/>
    </row>
    <row r="3855" spans="3:13" ht="12.75" customHeight="1" x14ac:dyDescent="0.25">
      <c r="C3855"/>
      <c r="M3855"/>
    </row>
    <row r="3856" spans="3:13" ht="12.75" customHeight="1" x14ac:dyDescent="0.25">
      <c r="C3856"/>
      <c r="M3856"/>
    </row>
    <row r="3857" spans="3:13" ht="12.75" customHeight="1" x14ac:dyDescent="0.25">
      <c r="C3857"/>
      <c r="M3857"/>
    </row>
    <row r="3858" spans="3:13" ht="12.75" customHeight="1" x14ac:dyDescent="0.25">
      <c r="C3858"/>
      <c r="M3858"/>
    </row>
    <row r="3859" spans="3:13" ht="12.75" customHeight="1" x14ac:dyDescent="0.25">
      <c r="C3859"/>
      <c r="M3859"/>
    </row>
    <row r="3860" spans="3:13" ht="12.75" customHeight="1" x14ac:dyDescent="0.25">
      <c r="C3860"/>
      <c r="M3860"/>
    </row>
    <row r="3861" spans="3:13" ht="12.75" customHeight="1" x14ac:dyDescent="0.25">
      <c r="C3861"/>
      <c r="M3861"/>
    </row>
    <row r="3862" spans="3:13" ht="12.75" customHeight="1" x14ac:dyDescent="0.25">
      <c r="C3862"/>
      <c r="M3862"/>
    </row>
    <row r="3863" spans="3:13" ht="12.75" customHeight="1" x14ac:dyDescent="0.25">
      <c r="C3863"/>
      <c r="M3863"/>
    </row>
    <row r="3864" spans="3:13" ht="12.75" customHeight="1" x14ac:dyDescent="0.25">
      <c r="C3864"/>
      <c r="M3864"/>
    </row>
    <row r="3865" spans="3:13" ht="12.75" customHeight="1" x14ac:dyDescent="0.25">
      <c r="C3865"/>
      <c r="M3865"/>
    </row>
    <row r="3866" spans="3:13" ht="12.75" customHeight="1" x14ac:dyDescent="0.25">
      <c r="C3866"/>
      <c r="M3866"/>
    </row>
    <row r="3867" spans="3:13" ht="12.75" customHeight="1" x14ac:dyDescent="0.25">
      <c r="C3867"/>
      <c r="M3867"/>
    </row>
    <row r="3868" spans="3:13" ht="12.75" customHeight="1" x14ac:dyDescent="0.25">
      <c r="C3868"/>
      <c r="M3868"/>
    </row>
    <row r="3869" spans="3:13" ht="12.75" customHeight="1" x14ac:dyDescent="0.25">
      <c r="C3869"/>
      <c r="M3869"/>
    </row>
    <row r="3870" spans="3:13" ht="12.75" customHeight="1" x14ac:dyDescent="0.25">
      <c r="C3870"/>
      <c r="M3870"/>
    </row>
    <row r="3871" spans="3:13" ht="12.75" customHeight="1" x14ac:dyDescent="0.25">
      <c r="C3871"/>
      <c r="M3871"/>
    </row>
    <row r="3872" spans="3:13" ht="12.75" customHeight="1" x14ac:dyDescent="0.25">
      <c r="C3872"/>
      <c r="M3872"/>
    </row>
    <row r="3873" spans="3:13" ht="12.75" customHeight="1" x14ac:dyDescent="0.25">
      <c r="C3873"/>
      <c r="M3873"/>
    </row>
    <row r="3874" spans="3:13" ht="12.75" customHeight="1" x14ac:dyDescent="0.25">
      <c r="C3874"/>
      <c r="M3874"/>
    </row>
    <row r="3875" spans="3:13" ht="12.75" customHeight="1" x14ac:dyDescent="0.25">
      <c r="C3875"/>
      <c r="M3875"/>
    </row>
    <row r="3876" spans="3:13" ht="12.75" customHeight="1" x14ac:dyDescent="0.25">
      <c r="C3876"/>
      <c r="M3876"/>
    </row>
    <row r="3877" spans="3:13" ht="12.75" customHeight="1" x14ac:dyDescent="0.25">
      <c r="C3877"/>
      <c r="M3877"/>
    </row>
    <row r="3878" spans="3:13" ht="12.75" customHeight="1" x14ac:dyDescent="0.25">
      <c r="C3878"/>
      <c r="M3878"/>
    </row>
    <row r="3879" spans="3:13" ht="12.75" customHeight="1" x14ac:dyDescent="0.25">
      <c r="C3879"/>
      <c r="M3879"/>
    </row>
    <row r="3880" spans="3:13" ht="12.75" customHeight="1" x14ac:dyDescent="0.25">
      <c r="C3880"/>
      <c r="M3880"/>
    </row>
    <row r="3881" spans="3:13" ht="12.75" customHeight="1" x14ac:dyDescent="0.25">
      <c r="C3881"/>
      <c r="M3881"/>
    </row>
    <row r="3882" spans="3:13" ht="12.75" customHeight="1" x14ac:dyDescent="0.25">
      <c r="C3882"/>
      <c r="M3882"/>
    </row>
    <row r="3883" spans="3:13" ht="12.75" customHeight="1" x14ac:dyDescent="0.25">
      <c r="C3883"/>
      <c r="M3883"/>
    </row>
    <row r="3884" spans="3:13" ht="12.75" customHeight="1" x14ac:dyDescent="0.25">
      <c r="C3884"/>
      <c r="M3884"/>
    </row>
    <row r="3885" spans="3:13" ht="12.75" customHeight="1" x14ac:dyDescent="0.25">
      <c r="C3885"/>
      <c r="M3885"/>
    </row>
    <row r="3886" spans="3:13" ht="12.75" customHeight="1" x14ac:dyDescent="0.25">
      <c r="C3886"/>
      <c r="M3886"/>
    </row>
    <row r="3887" spans="3:13" ht="12.75" customHeight="1" x14ac:dyDescent="0.25">
      <c r="C3887"/>
      <c r="M3887"/>
    </row>
    <row r="3888" spans="3:13" ht="12.75" customHeight="1" x14ac:dyDescent="0.25">
      <c r="C3888"/>
      <c r="M3888"/>
    </row>
    <row r="3889" spans="3:13" ht="12.75" customHeight="1" x14ac:dyDescent="0.25">
      <c r="C3889"/>
      <c r="M3889"/>
    </row>
    <row r="3890" spans="3:13" ht="12.75" customHeight="1" x14ac:dyDescent="0.25">
      <c r="C3890"/>
      <c r="M3890"/>
    </row>
    <row r="3891" spans="3:13" ht="12.75" customHeight="1" x14ac:dyDescent="0.25">
      <c r="C3891"/>
      <c r="M3891"/>
    </row>
    <row r="3892" spans="3:13" ht="12.75" customHeight="1" x14ac:dyDescent="0.25">
      <c r="C3892"/>
      <c r="M3892"/>
    </row>
    <row r="3893" spans="3:13" ht="12.75" customHeight="1" x14ac:dyDescent="0.25">
      <c r="C3893"/>
      <c r="M3893"/>
    </row>
    <row r="3894" spans="3:13" ht="12.75" customHeight="1" x14ac:dyDescent="0.25">
      <c r="C3894"/>
      <c r="M3894"/>
    </row>
    <row r="3895" spans="3:13" ht="12.75" customHeight="1" x14ac:dyDescent="0.25">
      <c r="C3895"/>
      <c r="M3895"/>
    </row>
    <row r="3896" spans="3:13" ht="12.75" customHeight="1" x14ac:dyDescent="0.25">
      <c r="C3896"/>
      <c r="M3896"/>
    </row>
    <row r="3897" spans="3:13" ht="12.75" customHeight="1" x14ac:dyDescent="0.25">
      <c r="C3897"/>
      <c r="M3897"/>
    </row>
    <row r="3898" spans="3:13" ht="12.75" customHeight="1" x14ac:dyDescent="0.25">
      <c r="C3898"/>
      <c r="M3898"/>
    </row>
    <row r="3899" spans="3:13" ht="12.75" customHeight="1" x14ac:dyDescent="0.25">
      <c r="C3899"/>
      <c r="M3899"/>
    </row>
    <row r="3900" spans="3:13" ht="12.75" customHeight="1" x14ac:dyDescent="0.25">
      <c r="C3900"/>
      <c r="M3900"/>
    </row>
    <row r="3901" spans="3:13" ht="12.75" customHeight="1" x14ac:dyDescent="0.25">
      <c r="C3901"/>
      <c r="M3901"/>
    </row>
    <row r="3902" spans="3:13" ht="12.75" customHeight="1" x14ac:dyDescent="0.25">
      <c r="C3902"/>
      <c r="M3902"/>
    </row>
    <row r="3903" spans="3:13" ht="12.75" customHeight="1" x14ac:dyDescent="0.25">
      <c r="C3903"/>
      <c r="M3903"/>
    </row>
    <row r="3904" spans="3:13" ht="12.75" customHeight="1" x14ac:dyDescent="0.25">
      <c r="C3904"/>
      <c r="M3904"/>
    </row>
    <row r="3905" spans="3:13" ht="12.75" customHeight="1" x14ac:dyDescent="0.25">
      <c r="C3905"/>
      <c r="M3905"/>
    </row>
    <row r="3906" spans="3:13" ht="12.75" customHeight="1" x14ac:dyDescent="0.25">
      <c r="C3906"/>
      <c r="M3906"/>
    </row>
    <row r="3907" spans="3:13" ht="12.75" customHeight="1" x14ac:dyDescent="0.25">
      <c r="C3907"/>
      <c r="M3907"/>
    </row>
    <row r="3908" spans="3:13" ht="12.75" customHeight="1" x14ac:dyDescent="0.25">
      <c r="C3908"/>
      <c r="M3908"/>
    </row>
    <row r="3909" spans="3:13" ht="12.75" customHeight="1" x14ac:dyDescent="0.25">
      <c r="C3909"/>
      <c r="M3909"/>
    </row>
    <row r="3910" spans="3:13" ht="12.75" customHeight="1" x14ac:dyDescent="0.25">
      <c r="C3910"/>
      <c r="M3910"/>
    </row>
    <row r="3911" spans="3:13" ht="12.75" customHeight="1" x14ac:dyDescent="0.25">
      <c r="C3911"/>
      <c r="M3911"/>
    </row>
    <row r="3912" spans="3:13" ht="12.75" customHeight="1" x14ac:dyDescent="0.25">
      <c r="C3912"/>
      <c r="M3912"/>
    </row>
    <row r="3913" spans="3:13" ht="12.75" customHeight="1" x14ac:dyDescent="0.25">
      <c r="C3913"/>
      <c r="M3913"/>
    </row>
    <row r="3914" spans="3:13" ht="12.75" customHeight="1" x14ac:dyDescent="0.25">
      <c r="C3914"/>
      <c r="M3914"/>
    </row>
    <row r="3915" spans="3:13" ht="12.75" customHeight="1" x14ac:dyDescent="0.25">
      <c r="C3915"/>
      <c r="M3915"/>
    </row>
    <row r="3916" spans="3:13" ht="12.75" customHeight="1" x14ac:dyDescent="0.25">
      <c r="C3916"/>
      <c r="M3916"/>
    </row>
    <row r="3917" spans="3:13" ht="12.75" customHeight="1" x14ac:dyDescent="0.25">
      <c r="C3917"/>
      <c r="M3917"/>
    </row>
    <row r="3918" spans="3:13" ht="12.75" customHeight="1" x14ac:dyDescent="0.25">
      <c r="C3918"/>
      <c r="M3918"/>
    </row>
    <row r="3919" spans="3:13" ht="12.75" customHeight="1" x14ac:dyDescent="0.25">
      <c r="C3919"/>
      <c r="M3919"/>
    </row>
    <row r="3920" spans="3:13" ht="12.75" customHeight="1" x14ac:dyDescent="0.25">
      <c r="C3920"/>
      <c r="M3920"/>
    </row>
    <row r="3921" spans="3:13" ht="12.75" customHeight="1" x14ac:dyDescent="0.25">
      <c r="C3921"/>
      <c r="M3921"/>
    </row>
    <row r="3922" spans="3:13" ht="12.75" customHeight="1" x14ac:dyDescent="0.25">
      <c r="C3922"/>
      <c r="M3922"/>
    </row>
    <row r="3923" spans="3:13" ht="12.75" customHeight="1" x14ac:dyDescent="0.25">
      <c r="C3923"/>
      <c r="M3923"/>
    </row>
    <row r="3924" spans="3:13" ht="12.75" customHeight="1" x14ac:dyDescent="0.25">
      <c r="C3924"/>
      <c r="M3924"/>
    </row>
    <row r="3925" spans="3:13" ht="12.75" customHeight="1" x14ac:dyDescent="0.25">
      <c r="C3925"/>
      <c r="M3925"/>
    </row>
    <row r="3926" spans="3:13" ht="12.75" customHeight="1" x14ac:dyDescent="0.25">
      <c r="C3926"/>
      <c r="M3926"/>
    </row>
    <row r="3927" spans="3:13" ht="12.75" customHeight="1" x14ac:dyDescent="0.25">
      <c r="C3927"/>
      <c r="M3927"/>
    </row>
    <row r="3928" spans="3:13" ht="12.75" customHeight="1" x14ac:dyDescent="0.25">
      <c r="C3928"/>
      <c r="M3928"/>
    </row>
    <row r="3929" spans="3:13" ht="12.75" customHeight="1" x14ac:dyDescent="0.25">
      <c r="C3929"/>
      <c r="M3929"/>
    </row>
    <row r="3930" spans="3:13" ht="12.75" customHeight="1" x14ac:dyDescent="0.25">
      <c r="C3930"/>
      <c r="M3930"/>
    </row>
    <row r="3931" spans="3:13" ht="12.75" customHeight="1" x14ac:dyDescent="0.25">
      <c r="C3931"/>
      <c r="M3931"/>
    </row>
    <row r="3932" spans="3:13" ht="12.75" customHeight="1" x14ac:dyDescent="0.25">
      <c r="C3932"/>
      <c r="M3932"/>
    </row>
    <row r="3933" spans="3:13" ht="12.75" customHeight="1" x14ac:dyDescent="0.25">
      <c r="C3933"/>
      <c r="M3933"/>
    </row>
    <row r="3934" spans="3:13" ht="12.75" customHeight="1" x14ac:dyDescent="0.25">
      <c r="C3934"/>
      <c r="M3934"/>
    </row>
    <row r="3935" spans="3:13" ht="12.75" customHeight="1" x14ac:dyDescent="0.25">
      <c r="C3935"/>
      <c r="M3935"/>
    </row>
    <row r="3936" spans="3:13" ht="12.75" customHeight="1" x14ac:dyDescent="0.25">
      <c r="C3936"/>
      <c r="M3936"/>
    </row>
    <row r="3937" spans="3:13" ht="12.75" customHeight="1" x14ac:dyDescent="0.25">
      <c r="C3937"/>
      <c r="M3937"/>
    </row>
    <row r="3938" spans="3:13" ht="12.75" customHeight="1" x14ac:dyDescent="0.25">
      <c r="C3938"/>
      <c r="M3938"/>
    </row>
    <row r="3939" spans="3:13" ht="12.75" customHeight="1" x14ac:dyDescent="0.25">
      <c r="C3939"/>
      <c r="M3939"/>
    </row>
    <row r="3940" spans="3:13" ht="12.75" customHeight="1" x14ac:dyDescent="0.25">
      <c r="C3940"/>
      <c r="M3940"/>
    </row>
    <row r="3941" spans="3:13" ht="12.75" customHeight="1" x14ac:dyDescent="0.25">
      <c r="C3941"/>
      <c r="M3941"/>
    </row>
    <row r="3942" spans="3:13" ht="12.75" customHeight="1" x14ac:dyDescent="0.25">
      <c r="C3942"/>
      <c r="M3942"/>
    </row>
    <row r="3943" spans="3:13" ht="12.75" customHeight="1" x14ac:dyDescent="0.25">
      <c r="C3943"/>
      <c r="M3943"/>
    </row>
    <row r="3944" spans="3:13" ht="12.75" customHeight="1" x14ac:dyDescent="0.25">
      <c r="C3944"/>
      <c r="M3944"/>
    </row>
    <row r="3945" spans="3:13" ht="12.75" customHeight="1" x14ac:dyDescent="0.25">
      <c r="C3945"/>
      <c r="M3945"/>
    </row>
    <row r="3946" spans="3:13" ht="12.75" customHeight="1" x14ac:dyDescent="0.25">
      <c r="C3946"/>
      <c r="M3946"/>
    </row>
    <row r="3947" spans="3:13" ht="12.75" customHeight="1" x14ac:dyDescent="0.25">
      <c r="C3947"/>
      <c r="M3947"/>
    </row>
    <row r="3948" spans="3:13" ht="12.75" customHeight="1" x14ac:dyDescent="0.25">
      <c r="C3948"/>
      <c r="M3948"/>
    </row>
    <row r="3949" spans="3:13" ht="12.75" customHeight="1" x14ac:dyDescent="0.25">
      <c r="C3949"/>
      <c r="M3949"/>
    </row>
    <row r="3950" spans="3:13" ht="12.75" customHeight="1" x14ac:dyDescent="0.25">
      <c r="C3950"/>
      <c r="M3950"/>
    </row>
    <row r="3951" spans="3:13" ht="12.75" customHeight="1" x14ac:dyDescent="0.25">
      <c r="C3951"/>
      <c r="M3951"/>
    </row>
    <row r="3952" spans="3:13" ht="12.75" customHeight="1" x14ac:dyDescent="0.25">
      <c r="C3952"/>
      <c r="M3952"/>
    </row>
    <row r="3953" spans="3:13" ht="12.75" customHeight="1" x14ac:dyDescent="0.25">
      <c r="C3953"/>
      <c r="M3953"/>
    </row>
    <row r="3954" spans="3:13" ht="12.75" customHeight="1" x14ac:dyDescent="0.25">
      <c r="C3954"/>
      <c r="M3954"/>
    </row>
    <row r="3955" spans="3:13" ht="12.75" customHeight="1" x14ac:dyDescent="0.25">
      <c r="C3955"/>
      <c r="M3955"/>
    </row>
    <row r="3956" spans="3:13" ht="12.75" customHeight="1" x14ac:dyDescent="0.25">
      <c r="C3956"/>
      <c r="M3956"/>
    </row>
    <row r="3957" spans="3:13" ht="12.75" customHeight="1" x14ac:dyDescent="0.25">
      <c r="C3957"/>
      <c r="M3957"/>
    </row>
    <row r="3958" spans="3:13" ht="12.75" customHeight="1" x14ac:dyDescent="0.25">
      <c r="C3958"/>
      <c r="M3958"/>
    </row>
    <row r="3959" spans="3:13" ht="12.75" customHeight="1" x14ac:dyDescent="0.25">
      <c r="C3959"/>
      <c r="M3959"/>
    </row>
    <row r="3960" spans="3:13" ht="12.75" customHeight="1" x14ac:dyDescent="0.25">
      <c r="C3960"/>
      <c r="M3960"/>
    </row>
    <row r="3961" spans="3:13" ht="12.75" customHeight="1" x14ac:dyDescent="0.25">
      <c r="C3961"/>
      <c r="M3961"/>
    </row>
    <row r="3962" spans="3:13" ht="12.75" customHeight="1" x14ac:dyDescent="0.25">
      <c r="C3962"/>
      <c r="M3962"/>
    </row>
    <row r="3963" spans="3:13" ht="12.75" customHeight="1" x14ac:dyDescent="0.25">
      <c r="C3963"/>
      <c r="M3963"/>
    </row>
    <row r="3964" spans="3:13" ht="12.75" customHeight="1" x14ac:dyDescent="0.25">
      <c r="C3964"/>
      <c r="M3964"/>
    </row>
    <row r="3965" spans="3:13" ht="12.75" customHeight="1" x14ac:dyDescent="0.25">
      <c r="C3965"/>
      <c r="M3965"/>
    </row>
    <row r="3966" spans="3:13" ht="12.75" customHeight="1" x14ac:dyDescent="0.25">
      <c r="C3966"/>
      <c r="M3966"/>
    </row>
    <row r="3967" spans="3:13" ht="12.75" customHeight="1" x14ac:dyDescent="0.25">
      <c r="C3967"/>
      <c r="M3967"/>
    </row>
    <row r="3968" spans="3:13" ht="12.75" customHeight="1" x14ac:dyDescent="0.25">
      <c r="C3968"/>
      <c r="M3968"/>
    </row>
    <row r="3969" spans="3:13" ht="12.75" customHeight="1" x14ac:dyDescent="0.25">
      <c r="C3969"/>
      <c r="M3969"/>
    </row>
    <row r="3970" spans="3:13" ht="12.75" customHeight="1" x14ac:dyDescent="0.25">
      <c r="C3970"/>
      <c r="M3970"/>
    </row>
    <row r="3971" spans="3:13" ht="12.75" customHeight="1" x14ac:dyDescent="0.25">
      <c r="C3971"/>
      <c r="M3971"/>
    </row>
    <row r="3972" spans="3:13" ht="12.75" customHeight="1" x14ac:dyDescent="0.25">
      <c r="C3972"/>
      <c r="M3972"/>
    </row>
    <row r="3973" spans="3:13" ht="12.75" customHeight="1" x14ac:dyDescent="0.25">
      <c r="C3973"/>
      <c r="M3973"/>
    </row>
    <row r="3974" spans="3:13" ht="12.75" customHeight="1" x14ac:dyDescent="0.25">
      <c r="C3974"/>
      <c r="M3974"/>
    </row>
    <row r="3975" spans="3:13" ht="12.75" customHeight="1" x14ac:dyDescent="0.25">
      <c r="C3975"/>
      <c r="M3975"/>
    </row>
    <row r="3976" spans="3:13" ht="12.75" customHeight="1" x14ac:dyDescent="0.25">
      <c r="C3976"/>
      <c r="M3976"/>
    </row>
    <row r="3977" spans="3:13" ht="12.75" customHeight="1" x14ac:dyDescent="0.25">
      <c r="C3977"/>
      <c r="M3977"/>
    </row>
    <row r="3978" spans="3:13" ht="12.75" customHeight="1" x14ac:dyDescent="0.25">
      <c r="C3978"/>
      <c r="M3978"/>
    </row>
    <row r="3979" spans="3:13" ht="12.75" customHeight="1" x14ac:dyDescent="0.25">
      <c r="C3979"/>
      <c r="M3979"/>
    </row>
    <row r="3980" spans="3:13" ht="12.75" customHeight="1" x14ac:dyDescent="0.25">
      <c r="C3980"/>
      <c r="M3980"/>
    </row>
    <row r="3981" spans="3:13" ht="12.75" customHeight="1" x14ac:dyDescent="0.25">
      <c r="C3981"/>
      <c r="M3981"/>
    </row>
    <row r="3982" spans="3:13" ht="12.75" customHeight="1" x14ac:dyDescent="0.25">
      <c r="C3982"/>
      <c r="M3982"/>
    </row>
    <row r="3983" spans="3:13" ht="12.75" customHeight="1" x14ac:dyDescent="0.25">
      <c r="C3983"/>
      <c r="M3983"/>
    </row>
    <row r="3984" spans="3:13" ht="12.75" customHeight="1" x14ac:dyDescent="0.25">
      <c r="C3984"/>
      <c r="M3984"/>
    </row>
    <row r="3985" spans="3:13" ht="12.75" customHeight="1" x14ac:dyDescent="0.25">
      <c r="C3985"/>
      <c r="M3985"/>
    </row>
    <row r="3986" spans="3:13" ht="12.75" customHeight="1" x14ac:dyDescent="0.25">
      <c r="C3986"/>
      <c r="M3986"/>
    </row>
    <row r="3987" spans="3:13" ht="12.75" customHeight="1" x14ac:dyDescent="0.25">
      <c r="C3987"/>
      <c r="M3987"/>
    </row>
    <row r="3988" spans="3:13" ht="12.75" customHeight="1" x14ac:dyDescent="0.25">
      <c r="C3988"/>
      <c r="M3988"/>
    </row>
    <row r="3989" spans="3:13" ht="12.75" customHeight="1" x14ac:dyDescent="0.25">
      <c r="C3989"/>
      <c r="M3989"/>
    </row>
    <row r="3990" spans="3:13" ht="12.75" customHeight="1" x14ac:dyDescent="0.25">
      <c r="C3990"/>
      <c r="M3990"/>
    </row>
    <row r="3991" spans="3:13" ht="12.75" customHeight="1" x14ac:dyDescent="0.25">
      <c r="C3991"/>
      <c r="M3991"/>
    </row>
    <row r="3992" spans="3:13" ht="12.75" customHeight="1" x14ac:dyDescent="0.25">
      <c r="C3992"/>
      <c r="M3992"/>
    </row>
    <row r="3993" spans="3:13" ht="12.75" customHeight="1" x14ac:dyDescent="0.25">
      <c r="C3993"/>
      <c r="M3993"/>
    </row>
    <row r="3994" spans="3:13" ht="12.75" customHeight="1" x14ac:dyDescent="0.25">
      <c r="C3994"/>
      <c r="M3994"/>
    </row>
    <row r="3995" spans="3:13" ht="12.75" customHeight="1" x14ac:dyDescent="0.25">
      <c r="C3995"/>
      <c r="M3995"/>
    </row>
    <row r="3996" spans="3:13" ht="12.75" customHeight="1" x14ac:dyDescent="0.25">
      <c r="C3996"/>
      <c r="M3996"/>
    </row>
    <row r="3997" spans="3:13" ht="12.75" customHeight="1" x14ac:dyDescent="0.25">
      <c r="C3997"/>
      <c r="M3997"/>
    </row>
    <row r="3998" spans="3:13" ht="12.75" customHeight="1" x14ac:dyDescent="0.25">
      <c r="C3998"/>
      <c r="M3998"/>
    </row>
    <row r="3999" spans="3:13" ht="12.75" customHeight="1" x14ac:dyDescent="0.25">
      <c r="C3999"/>
      <c r="M3999"/>
    </row>
    <row r="4000" spans="3:13" ht="12.75" customHeight="1" x14ac:dyDescent="0.25">
      <c r="C4000"/>
      <c r="M4000"/>
    </row>
    <row r="4001" spans="3:13" ht="12.75" customHeight="1" x14ac:dyDescent="0.25">
      <c r="C4001"/>
      <c r="M4001"/>
    </row>
    <row r="4002" spans="3:13" ht="12.75" customHeight="1" x14ac:dyDescent="0.25">
      <c r="C4002"/>
      <c r="M4002"/>
    </row>
    <row r="4003" spans="3:13" ht="12.75" customHeight="1" x14ac:dyDescent="0.25">
      <c r="C4003"/>
      <c r="M4003"/>
    </row>
    <row r="4004" spans="3:13" ht="12.75" customHeight="1" x14ac:dyDescent="0.25">
      <c r="C4004"/>
      <c r="M4004"/>
    </row>
    <row r="4005" spans="3:13" ht="12.75" customHeight="1" x14ac:dyDescent="0.25">
      <c r="C4005"/>
      <c r="M4005"/>
    </row>
    <row r="4006" spans="3:13" ht="12.75" customHeight="1" x14ac:dyDescent="0.25">
      <c r="C4006"/>
      <c r="M4006"/>
    </row>
    <row r="4007" spans="3:13" ht="12.75" customHeight="1" x14ac:dyDescent="0.25">
      <c r="C4007"/>
      <c r="M4007"/>
    </row>
    <row r="4008" spans="3:13" ht="12.75" customHeight="1" x14ac:dyDescent="0.25">
      <c r="C4008"/>
      <c r="M4008"/>
    </row>
    <row r="4009" spans="3:13" ht="12.75" customHeight="1" x14ac:dyDescent="0.25">
      <c r="C4009"/>
      <c r="M4009"/>
    </row>
    <row r="4010" spans="3:13" ht="12.75" customHeight="1" x14ac:dyDescent="0.25">
      <c r="C4010"/>
      <c r="M4010"/>
    </row>
    <row r="4011" spans="3:13" ht="12.75" customHeight="1" x14ac:dyDescent="0.25">
      <c r="C4011"/>
      <c r="M4011"/>
    </row>
    <row r="4012" spans="3:13" ht="12.75" customHeight="1" x14ac:dyDescent="0.25">
      <c r="C4012"/>
      <c r="M4012"/>
    </row>
    <row r="4013" spans="3:13" ht="12.75" customHeight="1" x14ac:dyDescent="0.25">
      <c r="C4013"/>
      <c r="M4013"/>
    </row>
    <row r="4014" spans="3:13" ht="12.75" customHeight="1" x14ac:dyDescent="0.25">
      <c r="C4014"/>
      <c r="M4014"/>
    </row>
    <row r="4015" spans="3:13" ht="12.75" customHeight="1" x14ac:dyDescent="0.25">
      <c r="C4015"/>
      <c r="M4015"/>
    </row>
    <row r="4016" spans="3:13" ht="12.75" customHeight="1" x14ac:dyDescent="0.25">
      <c r="C4016"/>
      <c r="M4016"/>
    </row>
    <row r="4017" spans="3:13" ht="12.75" customHeight="1" x14ac:dyDescent="0.25">
      <c r="C4017"/>
      <c r="M4017"/>
    </row>
    <row r="4018" spans="3:13" ht="12.75" customHeight="1" x14ac:dyDescent="0.25">
      <c r="C4018"/>
      <c r="M4018"/>
    </row>
    <row r="4019" spans="3:13" ht="12.75" customHeight="1" x14ac:dyDescent="0.25">
      <c r="C4019"/>
      <c r="M4019"/>
    </row>
    <row r="4020" spans="3:13" ht="12.75" customHeight="1" x14ac:dyDescent="0.25">
      <c r="C4020"/>
      <c r="M4020"/>
    </row>
    <row r="4021" spans="3:13" ht="12.75" customHeight="1" x14ac:dyDescent="0.25">
      <c r="C4021"/>
      <c r="M4021"/>
    </row>
    <row r="4022" spans="3:13" ht="12.75" customHeight="1" x14ac:dyDescent="0.25">
      <c r="C4022"/>
      <c r="M4022"/>
    </row>
    <row r="4023" spans="3:13" ht="12.75" customHeight="1" x14ac:dyDescent="0.25">
      <c r="C4023"/>
      <c r="M4023"/>
    </row>
    <row r="4024" spans="3:13" ht="12.75" customHeight="1" x14ac:dyDescent="0.25">
      <c r="C4024"/>
      <c r="M4024"/>
    </row>
    <row r="4025" spans="3:13" ht="12.75" customHeight="1" x14ac:dyDescent="0.25">
      <c r="C4025"/>
      <c r="M4025"/>
    </row>
    <row r="4026" spans="3:13" ht="12.75" customHeight="1" x14ac:dyDescent="0.25">
      <c r="C4026"/>
      <c r="M4026"/>
    </row>
    <row r="4027" spans="3:13" ht="12.75" customHeight="1" x14ac:dyDescent="0.25">
      <c r="C4027"/>
      <c r="M4027"/>
    </row>
    <row r="4028" spans="3:13" ht="12.75" customHeight="1" x14ac:dyDescent="0.25">
      <c r="C4028"/>
      <c r="M4028"/>
    </row>
    <row r="4029" spans="3:13" ht="12.75" customHeight="1" x14ac:dyDescent="0.25">
      <c r="C4029"/>
      <c r="M4029"/>
    </row>
    <row r="4030" spans="3:13" ht="12.75" customHeight="1" x14ac:dyDescent="0.25">
      <c r="C4030"/>
      <c r="M4030"/>
    </row>
    <row r="4031" spans="3:13" ht="12.75" customHeight="1" x14ac:dyDescent="0.25">
      <c r="C4031"/>
      <c r="M4031"/>
    </row>
    <row r="4032" spans="3:13" ht="12.75" customHeight="1" x14ac:dyDescent="0.25">
      <c r="C4032"/>
      <c r="M4032"/>
    </row>
    <row r="4033" spans="3:13" ht="12.75" customHeight="1" x14ac:dyDescent="0.25">
      <c r="C4033"/>
      <c r="M4033"/>
    </row>
    <row r="4034" spans="3:13" ht="12.75" customHeight="1" x14ac:dyDescent="0.25">
      <c r="C4034"/>
      <c r="M4034"/>
    </row>
    <row r="4035" spans="3:13" ht="12.75" customHeight="1" x14ac:dyDescent="0.25">
      <c r="C4035"/>
      <c r="M4035"/>
    </row>
    <row r="4036" spans="3:13" ht="12.75" customHeight="1" x14ac:dyDescent="0.25">
      <c r="C4036"/>
      <c r="M4036"/>
    </row>
    <row r="4037" spans="3:13" ht="12.75" customHeight="1" x14ac:dyDescent="0.25">
      <c r="C4037"/>
      <c r="M4037"/>
    </row>
    <row r="4038" spans="3:13" ht="12.75" customHeight="1" x14ac:dyDescent="0.25">
      <c r="C4038"/>
      <c r="M4038"/>
    </row>
    <row r="4039" spans="3:13" ht="12.75" customHeight="1" x14ac:dyDescent="0.25">
      <c r="C4039"/>
      <c r="M4039"/>
    </row>
    <row r="4040" spans="3:13" ht="12.75" customHeight="1" x14ac:dyDescent="0.25">
      <c r="C4040"/>
      <c r="M4040"/>
    </row>
    <row r="4041" spans="3:13" ht="12.75" customHeight="1" x14ac:dyDescent="0.25">
      <c r="C4041"/>
      <c r="M4041"/>
    </row>
    <row r="4042" spans="3:13" ht="12.75" customHeight="1" x14ac:dyDescent="0.25">
      <c r="C4042"/>
      <c r="M4042"/>
    </row>
    <row r="4043" spans="3:13" ht="12.75" customHeight="1" x14ac:dyDescent="0.25">
      <c r="C4043"/>
      <c r="M4043"/>
    </row>
    <row r="4044" spans="3:13" ht="12.75" customHeight="1" x14ac:dyDescent="0.25">
      <c r="C4044"/>
      <c r="M4044"/>
    </row>
    <row r="4045" spans="3:13" ht="12.75" customHeight="1" x14ac:dyDescent="0.25">
      <c r="C4045"/>
      <c r="M4045"/>
    </row>
    <row r="4046" spans="3:13" ht="12.75" customHeight="1" x14ac:dyDescent="0.25">
      <c r="C4046"/>
      <c r="M4046"/>
    </row>
    <row r="4047" spans="3:13" ht="12.75" customHeight="1" x14ac:dyDescent="0.25">
      <c r="C4047"/>
      <c r="M4047"/>
    </row>
    <row r="4048" spans="3:13" ht="12.75" customHeight="1" x14ac:dyDescent="0.25">
      <c r="C4048"/>
      <c r="M4048"/>
    </row>
    <row r="4049" spans="3:13" ht="12.75" customHeight="1" x14ac:dyDescent="0.25">
      <c r="C4049"/>
      <c r="M4049"/>
    </row>
    <row r="4050" spans="3:13" ht="12.75" customHeight="1" x14ac:dyDescent="0.25">
      <c r="C4050"/>
      <c r="M4050"/>
    </row>
    <row r="4051" spans="3:13" ht="12.75" customHeight="1" x14ac:dyDescent="0.25">
      <c r="C4051"/>
      <c r="M4051"/>
    </row>
    <row r="4052" spans="3:13" ht="12.75" customHeight="1" x14ac:dyDescent="0.25">
      <c r="C4052"/>
      <c r="M4052"/>
    </row>
    <row r="4053" spans="3:13" ht="12.75" customHeight="1" x14ac:dyDescent="0.25">
      <c r="C4053"/>
      <c r="M4053"/>
    </row>
    <row r="4054" spans="3:13" ht="12.75" customHeight="1" x14ac:dyDescent="0.25">
      <c r="C4054"/>
      <c r="M4054"/>
    </row>
    <row r="4055" spans="3:13" ht="12.75" customHeight="1" x14ac:dyDescent="0.25">
      <c r="C4055"/>
      <c r="M4055"/>
    </row>
    <row r="4056" spans="3:13" ht="12.75" customHeight="1" x14ac:dyDescent="0.25">
      <c r="C4056"/>
      <c r="M4056"/>
    </row>
    <row r="4057" spans="3:13" ht="12.75" customHeight="1" x14ac:dyDescent="0.25">
      <c r="C4057"/>
      <c r="M4057"/>
    </row>
    <row r="4058" spans="3:13" ht="12.75" customHeight="1" x14ac:dyDescent="0.25">
      <c r="C4058"/>
      <c r="M4058"/>
    </row>
    <row r="4059" spans="3:13" ht="12.75" customHeight="1" x14ac:dyDescent="0.25">
      <c r="C4059"/>
      <c r="M4059"/>
    </row>
    <row r="4060" spans="3:13" ht="12.75" customHeight="1" x14ac:dyDescent="0.25">
      <c r="C4060"/>
      <c r="M4060"/>
    </row>
    <row r="4061" spans="3:13" ht="12.75" customHeight="1" x14ac:dyDescent="0.25">
      <c r="C4061"/>
      <c r="M4061"/>
    </row>
    <row r="4062" spans="3:13" ht="12.75" customHeight="1" x14ac:dyDescent="0.25">
      <c r="C4062"/>
      <c r="M4062"/>
    </row>
    <row r="4063" spans="3:13" ht="12.75" customHeight="1" x14ac:dyDescent="0.25">
      <c r="C4063"/>
      <c r="M4063"/>
    </row>
    <row r="4064" spans="3:13" ht="12.75" customHeight="1" x14ac:dyDescent="0.25">
      <c r="C4064"/>
      <c r="M4064"/>
    </row>
    <row r="4065" spans="3:13" ht="12.75" customHeight="1" x14ac:dyDescent="0.25">
      <c r="C4065"/>
      <c r="M4065"/>
    </row>
    <row r="4066" spans="3:13" ht="12.75" customHeight="1" x14ac:dyDescent="0.25">
      <c r="C4066"/>
      <c r="M4066"/>
    </row>
    <row r="4067" spans="3:13" ht="12.75" customHeight="1" x14ac:dyDescent="0.25">
      <c r="C4067"/>
      <c r="M4067"/>
    </row>
    <row r="4068" spans="3:13" ht="12.75" customHeight="1" x14ac:dyDescent="0.25">
      <c r="C4068"/>
      <c r="M4068"/>
    </row>
    <row r="4069" spans="3:13" ht="12.75" customHeight="1" x14ac:dyDescent="0.25">
      <c r="C4069"/>
      <c r="M4069"/>
    </row>
    <row r="4070" spans="3:13" ht="12.75" customHeight="1" x14ac:dyDescent="0.25">
      <c r="C4070"/>
      <c r="M4070"/>
    </row>
    <row r="4071" spans="3:13" ht="12.75" customHeight="1" x14ac:dyDescent="0.25">
      <c r="C4071"/>
      <c r="M4071"/>
    </row>
    <row r="4072" spans="3:13" ht="12.75" customHeight="1" x14ac:dyDescent="0.25">
      <c r="C4072"/>
      <c r="M4072"/>
    </row>
    <row r="4073" spans="3:13" ht="12.75" customHeight="1" x14ac:dyDescent="0.25">
      <c r="C4073"/>
      <c r="M4073"/>
    </row>
    <row r="4074" spans="3:13" ht="12.75" customHeight="1" x14ac:dyDescent="0.25">
      <c r="C4074"/>
      <c r="M4074"/>
    </row>
    <row r="4075" spans="3:13" ht="12.75" customHeight="1" x14ac:dyDescent="0.25">
      <c r="C4075"/>
      <c r="M4075"/>
    </row>
    <row r="4076" spans="3:13" ht="12.75" customHeight="1" x14ac:dyDescent="0.25">
      <c r="C4076"/>
      <c r="M4076"/>
    </row>
    <row r="4077" spans="3:13" ht="12.75" customHeight="1" x14ac:dyDescent="0.25">
      <c r="C4077"/>
      <c r="M4077"/>
    </row>
    <row r="4078" spans="3:13" ht="12.75" customHeight="1" x14ac:dyDescent="0.25">
      <c r="C4078"/>
      <c r="M4078"/>
    </row>
    <row r="4079" spans="3:13" ht="12.75" customHeight="1" x14ac:dyDescent="0.25">
      <c r="C4079"/>
      <c r="M4079"/>
    </row>
    <row r="4080" spans="3:13" ht="12.75" customHeight="1" x14ac:dyDescent="0.25">
      <c r="C4080"/>
      <c r="M4080"/>
    </row>
    <row r="4081" spans="3:13" ht="12.75" customHeight="1" x14ac:dyDescent="0.25">
      <c r="C4081"/>
      <c r="M4081"/>
    </row>
    <row r="4082" spans="3:13" ht="12.75" customHeight="1" x14ac:dyDescent="0.25">
      <c r="C4082"/>
      <c r="M4082"/>
    </row>
    <row r="4083" spans="3:13" ht="12.75" customHeight="1" x14ac:dyDescent="0.25">
      <c r="C4083"/>
      <c r="M4083"/>
    </row>
    <row r="4084" spans="3:13" ht="12.75" customHeight="1" x14ac:dyDescent="0.25">
      <c r="C4084"/>
      <c r="M4084"/>
    </row>
    <row r="4085" spans="3:13" ht="12.75" customHeight="1" x14ac:dyDescent="0.25">
      <c r="C4085"/>
      <c r="M4085"/>
    </row>
    <row r="4086" spans="3:13" ht="12.75" customHeight="1" x14ac:dyDescent="0.25">
      <c r="C4086"/>
      <c r="M4086"/>
    </row>
    <row r="4087" spans="3:13" ht="12.75" customHeight="1" x14ac:dyDescent="0.25">
      <c r="C4087"/>
      <c r="M4087"/>
    </row>
    <row r="4088" spans="3:13" ht="12.75" customHeight="1" x14ac:dyDescent="0.25">
      <c r="C4088"/>
      <c r="M4088"/>
    </row>
    <row r="4089" spans="3:13" ht="12.75" customHeight="1" x14ac:dyDescent="0.25">
      <c r="C4089"/>
      <c r="M4089"/>
    </row>
    <row r="4090" spans="3:13" ht="12.75" customHeight="1" x14ac:dyDescent="0.25">
      <c r="C4090"/>
      <c r="M4090"/>
    </row>
    <row r="4091" spans="3:13" ht="12.75" customHeight="1" x14ac:dyDescent="0.25">
      <c r="C4091"/>
      <c r="M4091"/>
    </row>
    <row r="4092" spans="3:13" ht="12.75" customHeight="1" x14ac:dyDescent="0.25">
      <c r="C4092"/>
      <c r="M4092"/>
    </row>
    <row r="4093" spans="3:13" ht="12.75" customHeight="1" x14ac:dyDescent="0.25">
      <c r="C4093"/>
      <c r="M4093"/>
    </row>
    <row r="4094" spans="3:13" ht="12.75" customHeight="1" x14ac:dyDescent="0.25">
      <c r="C4094"/>
      <c r="M4094"/>
    </row>
    <row r="4095" spans="3:13" ht="12.75" customHeight="1" x14ac:dyDescent="0.25">
      <c r="C4095"/>
      <c r="M4095"/>
    </row>
    <row r="4096" spans="3:13" ht="12.75" customHeight="1" x14ac:dyDescent="0.25">
      <c r="C4096"/>
      <c r="M4096"/>
    </row>
    <row r="4097" spans="3:13" ht="12.75" customHeight="1" x14ac:dyDescent="0.25">
      <c r="C4097"/>
      <c r="M4097"/>
    </row>
    <row r="4098" spans="3:13" ht="12.75" customHeight="1" x14ac:dyDescent="0.25">
      <c r="C4098"/>
      <c r="M4098"/>
    </row>
    <row r="4099" spans="3:13" ht="12.75" customHeight="1" x14ac:dyDescent="0.25">
      <c r="C4099"/>
      <c r="M4099"/>
    </row>
    <row r="4100" spans="3:13" ht="12.75" customHeight="1" x14ac:dyDescent="0.25">
      <c r="C4100"/>
      <c r="M4100"/>
    </row>
    <row r="4101" spans="3:13" ht="12.75" customHeight="1" x14ac:dyDescent="0.25">
      <c r="C4101"/>
      <c r="M4101"/>
    </row>
    <row r="4102" spans="3:13" ht="12.75" customHeight="1" x14ac:dyDescent="0.25">
      <c r="C4102"/>
      <c r="M4102"/>
    </row>
    <row r="4103" spans="3:13" ht="12.75" customHeight="1" x14ac:dyDescent="0.25">
      <c r="C4103"/>
      <c r="M4103"/>
    </row>
    <row r="4104" spans="3:13" ht="12.75" customHeight="1" x14ac:dyDescent="0.25">
      <c r="C4104"/>
      <c r="M4104"/>
    </row>
    <row r="4105" spans="3:13" ht="12.75" customHeight="1" x14ac:dyDescent="0.25">
      <c r="C4105"/>
      <c r="M4105"/>
    </row>
    <row r="4106" spans="3:13" ht="12.75" customHeight="1" x14ac:dyDescent="0.25">
      <c r="C4106"/>
      <c r="M4106"/>
    </row>
    <row r="4107" spans="3:13" ht="12.75" customHeight="1" x14ac:dyDescent="0.25">
      <c r="C4107"/>
      <c r="M4107"/>
    </row>
    <row r="4108" spans="3:13" ht="12.75" customHeight="1" x14ac:dyDescent="0.25">
      <c r="C4108"/>
      <c r="M4108"/>
    </row>
    <row r="4109" spans="3:13" ht="12.75" customHeight="1" x14ac:dyDescent="0.25">
      <c r="C4109"/>
      <c r="M4109"/>
    </row>
    <row r="4110" spans="3:13" ht="12.75" customHeight="1" x14ac:dyDescent="0.25">
      <c r="C4110"/>
      <c r="M4110"/>
    </row>
    <row r="4111" spans="3:13" ht="12.75" customHeight="1" x14ac:dyDescent="0.25">
      <c r="C4111"/>
      <c r="M4111"/>
    </row>
    <row r="4112" spans="3:13" ht="12.75" customHeight="1" x14ac:dyDescent="0.25">
      <c r="C4112"/>
      <c r="M4112"/>
    </row>
    <row r="4113" spans="3:13" ht="12.75" customHeight="1" x14ac:dyDescent="0.25">
      <c r="C4113"/>
      <c r="M4113"/>
    </row>
    <row r="4114" spans="3:13" ht="12.75" customHeight="1" x14ac:dyDescent="0.25">
      <c r="C4114"/>
      <c r="M4114"/>
    </row>
    <row r="4115" spans="3:13" ht="12.75" customHeight="1" x14ac:dyDescent="0.25">
      <c r="C4115"/>
      <c r="M4115"/>
    </row>
    <row r="4116" spans="3:13" ht="12.75" customHeight="1" x14ac:dyDescent="0.25">
      <c r="C4116"/>
      <c r="M4116"/>
    </row>
    <row r="4117" spans="3:13" ht="12.75" customHeight="1" x14ac:dyDescent="0.25">
      <c r="C4117"/>
      <c r="M4117"/>
    </row>
    <row r="4118" spans="3:13" ht="12.75" customHeight="1" x14ac:dyDescent="0.25">
      <c r="C4118"/>
      <c r="M4118"/>
    </row>
    <row r="4119" spans="3:13" ht="12.75" customHeight="1" x14ac:dyDescent="0.25">
      <c r="C4119"/>
      <c r="M4119"/>
    </row>
    <row r="4120" spans="3:13" ht="12.75" customHeight="1" x14ac:dyDescent="0.25">
      <c r="C4120"/>
      <c r="M4120"/>
    </row>
    <row r="4121" spans="3:13" ht="12.75" customHeight="1" x14ac:dyDescent="0.25">
      <c r="C4121"/>
      <c r="M4121"/>
    </row>
    <row r="4122" spans="3:13" ht="12.75" customHeight="1" x14ac:dyDescent="0.25">
      <c r="C4122"/>
      <c r="M4122"/>
    </row>
    <row r="4123" spans="3:13" ht="12.75" customHeight="1" x14ac:dyDescent="0.25">
      <c r="C4123"/>
      <c r="M4123"/>
    </row>
    <row r="4124" spans="3:13" ht="12.75" customHeight="1" x14ac:dyDescent="0.25">
      <c r="C4124"/>
      <c r="M4124"/>
    </row>
    <row r="4125" spans="3:13" ht="12.75" customHeight="1" x14ac:dyDescent="0.25">
      <c r="C4125"/>
      <c r="M4125"/>
    </row>
    <row r="4126" spans="3:13" ht="12.75" customHeight="1" x14ac:dyDescent="0.25">
      <c r="C4126"/>
      <c r="M4126"/>
    </row>
    <row r="4127" spans="3:13" ht="12.75" customHeight="1" x14ac:dyDescent="0.25">
      <c r="C4127"/>
      <c r="M4127"/>
    </row>
    <row r="4128" spans="3:13" ht="12.75" customHeight="1" x14ac:dyDescent="0.25">
      <c r="C4128"/>
      <c r="M4128"/>
    </row>
    <row r="4129" spans="3:13" ht="12.75" customHeight="1" x14ac:dyDescent="0.25">
      <c r="C4129"/>
      <c r="M4129"/>
    </row>
    <row r="4130" spans="3:13" ht="12.75" customHeight="1" x14ac:dyDescent="0.25">
      <c r="C4130"/>
      <c r="M4130"/>
    </row>
    <row r="4131" spans="3:13" ht="12.75" customHeight="1" x14ac:dyDescent="0.25">
      <c r="C4131"/>
      <c r="M4131"/>
    </row>
    <row r="4132" spans="3:13" ht="12.75" customHeight="1" x14ac:dyDescent="0.25">
      <c r="C4132"/>
      <c r="M4132"/>
    </row>
    <row r="4133" spans="3:13" ht="12.75" customHeight="1" x14ac:dyDescent="0.25">
      <c r="C4133"/>
      <c r="M4133"/>
    </row>
    <row r="4134" spans="3:13" ht="12.75" customHeight="1" x14ac:dyDescent="0.25">
      <c r="C4134"/>
      <c r="M4134"/>
    </row>
    <row r="4135" spans="3:13" ht="12.75" customHeight="1" x14ac:dyDescent="0.25">
      <c r="C4135"/>
      <c r="M4135"/>
    </row>
    <row r="4136" spans="3:13" ht="12.75" customHeight="1" x14ac:dyDescent="0.25">
      <c r="C4136"/>
      <c r="M4136"/>
    </row>
    <row r="4137" spans="3:13" ht="12.75" customHeight="1" x14ac:dyDescent="0.25">
      <c r="C4137"/>
      <c r="M4137"/>
    </row>
    <row r="4138" spans="3:13" ht="12.75" customHeight="1" x14ac:dyDescent="0.25">
      <c r="C4138"/>
      <c r="M4138"/>
    </row>
    <row r="4139" spans="3:13" ht="12.75" customHeight="1" x14ac:dyDescent="0.25">
      <c r="C4139"/>
      <c r="M4139"/>
    </row>
    <row r="4140" spans="3:13" ht="12.75" customHeight="1" x14ac:dyDescent="0.25">
      <c r="C4140"/>
      <c r="M4140"/>
    </row>
    <row r="4141" spans="3:13" ht="12.75" customHeight="1" x14ac:dyDescent="0.25">
      <c r="C4141"/>
      <c r="M4141"/>
    </row>
    <row r="4142" spans="3:13" ht="12.75" customHeight="1" x14ac:dyDescent="0.25">
      <c r="C4142"/>
      <c r="M4142"/>
    </row>
    <row r="4143" spans="3:13" ht="12.75" customHeight="1" x14ac:dyDescent="0.25">
      <c r="C4143"/>
      <c r="M4143"/>
    </row>
    <row r="4144" spans="3:13" ht="12.75" customHeight="1" x14ac:dyDescent="0.25">
      <c r="C4144"/>
      <c r="M4144"/>
    </row>
    <row r="4145" spans="3:13" ht="12.75" customHeight="1" x14ac:dyDescent="0.25">
      <c r="C4145"/>
      <c r="M4145"/>
    </row>
    <row r="4146" spans="3:13" ht="12.75" customHeight="1" x14ac:dyDescent="0.25">
      <c r="C4146"/>
      <c r="M4146"/>
    </row>
    <row r="4147" spans="3:13" ht="12.75" customHeight="1" x14ac:dyDescent="0.25">
      <c r="C4147"/>
      <c r="M4147"/>
    </row>
    <row r="4148" spans="3:13" ht="12.75" customHeight="1" x14ac:dyDescent="0.25">
      <c r="C4148"/>
      <c r="M4148"/>
    </row>
    <row r="4149" spans="3:13" ht="12.75" customHeight="1" x14ac:dyDescent="0.25">
      <c r="C4149"/>
      <c r="M4149"/>
    </row>
    <row r="4150" spans="3:13" ht="12.75" customHeight="1" x14ac:dyDescent="0.25">
      <c r="C4150"/>
      <c r="M4150"/>
    </row>
    <row r="4151" spans="3:13" ht="12.75" customHeight="1" x14ac:dyDescent="0.25">
      <c r="C4151"/>
      <c r="M4151"/>
    </row>
    <row r="4152" spans="3:13" ht="12.75" customHeight="1" x14ac:dyDescent="0.25">
      <c r="C4152"/>
      <c r="M4152"/>
    </row>
    <row r="4153" spans="3:13" ht="12.75" customHeight="1" x14ac:dyDescent="0.25">
      <c r="C4153"/>
      <c r="M4153"/>
    </row>
    <row r="4154" spans="3:13" ht="12.75" customHeight="1" x14ac:dyDescent="0.25">
      <c r="C4154"/>
      <c r="M4154"/>
    </row>
    <row r="4155" spans="3:13" ht="12.75" customHeight="1" x14ac:dyDescent="0.25">
      <c r="C4155"/>
      <c r="M4155"/>
    </row>
    <row r="4156" spans="3:13" ht="12.75" customHeight="1" x14ac:dyDescent="0.25">
      <c r="C4156"/>
      <c r="M4156"/>
    </row>
    <row r="4157" spans="3:13" ht="12.75" customHeight="1" x14ac:dyDescent="0.25">
      <c r="C4157"/>
      <c r="M4157"/>
    </row>
    <row r="4158" spans="3:13" ht="12.75" customHeight="1" x14ac:dyDescent="0.25">
      <c r="C4158"/>
      <c r="M4158"/>
    </row>
    <row r="4159" spans="3:13" ht="12.75" customHeight="1" x14ac:dyDescent="0.25">
      <c r="C4159"/>
      <c r="M4159"/>
    </row>
    <row r="4160" spans="3:13" ht="12.75" customHeight="1" x14ac:dyDescent="0.25">
      <c r="C4160"/>
      <c r="M4160"/>
    </row>
    <row r="4161" spans="3:13" ht="12.75" customHeight="1" x14ac:dyDescent="0.25">
      <c r="C4161"/>
      <c r="M4161"/>
    </row>
    <row r="4162" spans="3:13" ht="12.75" customHeight="1" x14ac:dyDescent="0.25">
      <c r="C4162"/>
      <c r="M4162"/>
    </row>
    <row r="4163" spans="3:13" ht="12.75" customHeight="1" x14ac:dyDescent="0.25">
      <c r="C4163"/>
      <c r="M4163"/>
    </row>
    <row r="4164" spans="3:13" ht="12.75" customHeight="1" x14ac:dyDescent="0.25">
      <c r="C4164"/>
      <c r="M4164"/>
    </row>
    <row r="4165" spans="3:13" ht="12.75" customHeight="1" x14ac:dyDescent="0.25">
      <c r="C4165"/>
      <c r="M4165"/>
    </row>
    <row r="4166" spans="3:13" ht="12.75" customHeight="1" x14ac:dyDescent="0.25">
      <c r="C4166"/>
      <c r="M4166"/>
    </row>
    <row r="4167" spans="3:13" ht="12.75" customHeight="1" x14ac:dyDescent="0.25">
      <c r="C4167"/>
      <c r="M4167"/>
    </row>
    <row r="4168" spans="3:13" ht="12.75" customHeight="1" x14ac:dyDescent="0.25">
      <c r="C4168"/>
      <c r="M4168"/>
    </row>
    <row r="4169" spans="3:13" ht="12.75" customHeight="1" x14ac:dyDescent="0.25">
      <c r="C4169"/>
      <c r="M4169"/>
    </row>
    <row r="4170" spans="3:13" ht="12.75" customHeight="1" x14ac:dyDescent="0.25">
      <c r="C4170"/>
      <c r="M4170"/>
    </row>
    <row r="4171" spans="3:13" ht="12.75" customHeight="1" x14ac:dyDescent="0.25">
      <c r="C4171"/>
      <c r="M4171"/>
    </row>
    <row r="4172" spans="3:13" ht="12.75" customHeight="1" x14ac:dyDescent="0.25">
      <c r="C4172"/>
      <c r="M4172"/>
    </row>
    <row r="4173" spans="3:13" ht="12.75" customHeight="1" x14ac:dyDescent="0.25">
      <c r="C4173"/>
      <c r="M4173"/>
    </row>
    <row r="4174" spans="3:13" ht="12.75" customHeight="1" x14ac:dyDescent="0.25">
      <c r="C4174"/>
      <c r="M4174"/>
    </row>
    <row r="4175" spans="3:13" ht="12.75" customHeight="1" x14ac:dyDescent="0.25">
      <c r="C4175"/>
      <c r="M4175"/>
    </row>
    <row r="4176" spans="3:13" ht="12.75" customHeight="1" x14ac:dyDescent="0.25">
      <c r="C4176"/>
      <c r="M4176"/>
    </row>
    <row r="4177" spans="3:13" ht="12.75" customHeight="1" x14ac:dyDescent="0.25">
      <c r="C4177"/>
      <c r="M4177"/>
    </row>
    <row r="4178" spans="3:13" ht="12.75" customHeight="1" x14ac:dyDescent="0.25">
      <c r="C4178"/>
      <c r="M4178"/>
    </row>
    <row r="4179" spans="3:13" ht="12.75" customHeight="1" x14ac:dyDescent="0.25">
      <c r="C4179"/>
      <c r="M4179"/>
    </row>
    <row r="4180" spans="3:13" ht="12.75" customHeight="1" x14ac:dyDescent="0.25">
      <c r="C4180"/>
      <c r="M4180"/>
    </row>
    <row r="4181" spans="3:13" ht="12.75" customHeight="1" x14ac:dyDescent="0.25">
      <c r="C4181"/>
      <c r="M4181"/>
    </row>
    <row r="4182" spans="3:13" ht="12.75" customHeight="1" x14ac:dyDescent="0.25">
      <c r="C4182"/>
      <c r="M4182"/>
    </row>
    <row r="4183" spans="3:13" ht="12.75" customHeight="1" x14ac:dyDescent="0.25">
      <c r="C4183"/>
      <c r="M4183"/>
    </row>
    <row r="4184" spans="3:13" ht="12.75" customHeight="1" x14ac:dyDescent="0.25">
      <c r="C4184"/>
      <c r="M4184"/>
    </row>
    <row r="4185" spans="3:13" ht="12.75" customHeight="1" x14ac:dyDescent="0.25">
      <c r="C4185"/>
      <c r="M4185"/>
    </row>
    <row r="4186" spans="3:13" ht="12.75" customHeight="1" x14ac:dyDescent="0.25">
      <c r="C4186"/>
      <c r="M4186"/>
    </row>
    <row r="4187" spans="3:13" ht="12.75" customHeight="1" x14ac:dyDescent="0.25">
      <c r="C4187"/>
      <c r="M4187"/>
    </row>
    <row r="4188" spans="3:13" ht="12.75" customHeight="1" x14ac:dyDescent="0.25">
      <c r="C4188"/>
      <c r="M4188"/>
    </row>
    <row r="4189" spans="3:13" ht="12.75" customHeight="1" x14ac:dyDescent="0.25">
      <c r="C4189"/>
      <c r="M4189"/>
    </row>
    <row r="4190" spans="3:13" ht="12.75" customHeight="1" x14ac:dyDescent="0.25">
      <c r="C4190"/>
      <c r="M4190"/>
    </row>
    <row r="4191" spans="3:13" ht="12.75" customHeight="1" x14ac:dyDescent="0.25">
      <c r="C4191"/>
      <c r="M4191"/>
    </row>
    <row r="4192" spans="3:13" ht="12.75" customHeight="1" x14ac:dyDescent="0.25">
      <c r="C4192"/>
      <c r="M4192"/>
    </row>
    <row r="4193" spans="3:13" ht="12.75" customHeight="1" x14ac:dyDescent="0.25">
      <c r="C4193"/>
      <c r="M4193"/>
    </row>
    <row r="4194" spans="3:13" ht="12.75" customHeight="1" x14ac:dyDescent="0.25">
      <c r="C4194"/>
      <c r="M4194"/>
    </row>
    <row r="4195" spans="3:13" ht="12.75" customHeight="1" x14ac:dyDescent="0.25">
      <c r="C4195"/>
      <c r="M4195"/>
    </row>
    <row r="4196" spans="3:13" ht="12.75" customHeight="1" x14ac:dyDescent="0.25">
      <c r="C4196"/>
      <c r="M4196"/>
    </row>
    <row r="4197" spans="3:13" ht="12.75" customHeight="1" x14ac:dyDescent="0.25">
      <c r="C4197"/>
      <c r="M4197"/>
    </row>
    <row r="4198" spans="3:13" ht="12.75" customHeight="1" x14ac:dyDescent="0.25">
      <c r="C4198"/>
      <c r="M4198"/>
    </row>
    <row r="4199" spans="3:13" ht="12.75" customHeight="1" x14ac:dyDescent="0.25">
      <c r="C4199"/>
      <c r="M4199"/>
    </row>
    <row r="4200" spans="3:13" ht="12.75" customHeight="1" x14ac:dyDescent="0.25">
      <c r="C4200"/>
      <c r="M4200"/>
    </row>
    <row r="4201" spans="3:13" ht="12.75" customHeight="1" x14ac:dyDescent="0.25">
      <c r="C4201"/>
      <c r="M4201"/>
    </row>
    <row r="4202" spans="3:13" ht="12.75" customHeight="1" x14ac:dyDescent="0.25">
      <c r="C4202"/>
      <c r="M4202"/>
    </row>
    <row r="4203" spans="3:13" ht="12.75" customHeight="1" x14ac:dyDescent="0.25">
      <c r="C4203"/>
      <c r="M4203"/>
    </row>
    <row r="4204" spans="3:13" ht="12.75" customHeight="1" x14ac:dyDescent="0.25">
      <c r="C4204"/>
      <c r="M4204"/>
    </row>
    <row r="4205" spans="3:13" ht="12.75" customHeight="1" x14ac:dyDescent="0.25">
      <c r="C4205"/>
      <c r="M4205"/>
    </row>
    <row r="4206" spans="3:13" ht="12.75" customHeight="1" x14ac:dyDescent="0.25">
      <c r="C4206"/>
      <c r="M4206"/>
    </row>
    <row r="4207" spans="3:13" ht="12.75" customHeight="1" x14ac:dyDescent="0.25">
      <c r="C4207"/>
      <c r="M4207"/>
    </row>
    <row r="4208" spans="3:13" ht="12.75" customHeight="1" x14ac:dyDescent="0.25">
      <c r="C4208"/>
      <c r="M4208"/>
    </row>
    <row r="4209" spans="3:13" ht="12.75" customHeight="1" x14ac:dyDescent="0.25">
      <c r="C4209"/>
      <c r="M4209"/>
    </row>
    <row r="4210" spans="3:13" ht="12.75" customHeight="1" x14ac:dyDescent="0.25">
      <c r="C4210"/>
      <c r="M4210"/>
    </row>
    <row r="4211" spans="3:13" ht="12.75" customHeight="1" x14ac:dyDescent="0.25">
      <c r="C4211"/>
      <c r="M4211"/>
    </row>
    <row r="4212" spans="3:13" ht="12.75" customHeight="1" x14ac:dyDescent="0.25">
      <c r="C4212"/>
      <c r="M4212"/>
    </row>
    <row r="4213" spans="3:13" ht="12.75" customHeight="1" x14ac:dyDescent="0.25">
      <c r="C4213"/>
      <c r="M4213"/>
    </row>
    <row r="4214" spans="3:13" ht="12.75" customHeight="1" x14ac:dyDescent="0.25">
      <c r="C4214"/>
      <c r="M4214"/>
    </row>
    <row r="4215" spans="3:13" ht="12.75" customHeight="1" x14ac:dyDescent="0.25">
      <c r="C4215"/>
      <c r="M4215"/>
    </row>
    <row r="4216" spans="3:13" ht="12.75" customHeight="1" x14ac:dyDescent="0.25">
      <c r="C4216"/>
      <c r="M4216"/>
    </row>
    <row r="4217" spans="3:13" ht="12.75" customHeight="1" x14ac:dyDescent="0.25">
      <c r="C4217"/>
      <c r="M4217"/>
    </row>
    <row r="4218" spans="3:13" ht="12.75" customHeight="1" x14ac:dyDescent="0.25">
      <c r="C4218"/>
      <c r="M4218"/>
    </row>
    <row r="4219" spans="3:13" ht="12.75" customHeight="1" x14ac:dyDescent="0.25">
      <c r="C4219"/>
      <c r="M4219"/>
    </row>
    <row r="4220" spans="3:13" ht="12.75" customHeight="1" x14ac:dyDescent="0.25">
      <c r="C4220"/>
      <c r="M4220"/>
    </row>
    <row r="4221" spans="3:13" ht="12.75" customHeight="1" x14ac:dyDescent="0.25">
      <c r="C4221"/>
      <c r="M4221"/>
    </row>
    <row r="4222" spans="3:13" ht="12.75" customHeight="1" x14ac:dyDescent="0.25">
      <c r="C4222"/>
      <c r="M4222"/>
    </row>
    <row r="4223" spans="3:13" ht="12.75" customHeight="1" x14ac:dyDescent="0.25">
      <c r="C4223"/>
      <c r="M4223"/>
    </row>
    <row r="4224" spans="3:13" ht="12.75" customHeight="1" x14ac:dyDescent="0.25">
      <c r="C4224"/>
      <c r="M4224"/>
    </row>
    <row r="4225" spans="3:13" ht="12.75" customHeight="1" x14ac:dyDescent="0.25">
      <c r="C4225"/>
      <c r="M4225"/>
    </row>
    <row r="4226" spans="3:13" ht="12.75" customHeight="1" x14ac:dyDescent="0.25">
      <c r="C4226"/>
      <c r="M4226"/>
    </row>
    <row r="4227" spans="3:13" ht="12.75" customHeight="1" x14ac:dyDescent="0.25">
      <c r="C4227"/>
      <c r="M4227"/>
    </row>
    <row r="4228" spans="3:13" ht="12.75" customHeight="1" x14ac:dyDescent="0.25">
      <c r="C4228"/>
      <c r="M4228"/>
    </row>
    <row r="4229" spans="3:13" ht="12.75" customHeight="1" x14ac:dyDescent="0.25">
      <c r="C4229"/>
      <c r="M4229"/>
    </row>
    <row r="4230" spans="3:13" ht="12.75" customHeight="1" x14ac:dyDescent="0.25">
      <c r="C4230"/>
      <c r="M4230"/>
    </row>
    <row r="4231" spans="3:13" ht="12.75" customHeight="1" x14ac:dyDescent="0.25">
      <c r="C4231"/>
      <c r="M4231"/>
    </row>
    <row r="4232" spans="3:13" ht="12.75" customHeight="1" x14ac:dyDescent="0.25">
      <c r="C4232"/>
      <c r="M4232"/>
    </row>
    <row r="4233" spans="3:13" ht="12.75" customHeight="1" x14ac:dyDescent="0.25">
      <c r="C4233"/>
      <c r="M4233"/>
    </row>
    <row r="4234" spans="3:13" ht="12.75" customHeight="1" x14ac:dyDescent="0.25">
      <c r="C4234"/>
      <c r="M4234"/>
    </row>
    <row r="4235" spans="3:13" ht="12.75" customHeight="1" x14ac:dyDescent="0.25">
      <c r="C4235"/>
      <c r="M4235"/>
    </row>
    <row r="4236" spans="3:13" ht="12.75" customHeight="1" x14ac:dyDescent="0.25">
      <c r="C4236"/>
      <c r="M4236"/>
    </row>
    <row r="4237" spans="3:13" ht="12.75" customHeight="1" x14ac:dyDescent="0.25">
      <c r="C4237"/>
      <c r="M4237"/>
    </row>
    <row r="4238" spans="3:13" ht="12.75" customHeight="1" x14ac:dyDescent="0.25">
      <c r="C4238"/>
      <c r="M4238"/>
    </row>
    <row r="4239" spans="3:13" ht="12.75" customHeight="1" x14ac:dyDescent="0.25">
      <c r="C4239"/>
      <c r="M4239"/>
    </row>
    <row r="4240" spans="3:13" ht="12.75" customHeight="1" x14ac:dyDescent="0.25">
      <c r="C4240"/>
      <c r="M4240"/>
    </row>
    <row r="4241" spans="3:13" ht="12.75" customHeight="1" x14ac:dyDescent="0.25">
      <c r="C4241"/>
      <c r="M4241"/>
    </row>
    <row r="4242" spans="3:13" ht="12.75" customHeight="1" x14ac:dyDescent="0.25">
      <c r="C4242"/>
      <c r="M4242"/>
    </row>
    <row r="4243" spans="3:13" ht="12.75" customHeight="1" x14ac:dyDescent="0.25">
      <c r="C4243"/>
      <c r="M4243"/>
    </row>
    <row r="4244" spans="3:13" ht="12.75" customHeight="1" x14ac:dyDescent="0.25">
      <c r="C4244"/>
      <c r="M4244"/>
    </row>
    <row r="4245" spans="3:13" ht="12.75" customHeight="1" x14ac:dyDescent="0.25">
      <c r="C4245"/>
      <c r="M4245"/>
    </row>
    <row r="4246" spans="3:13" ht="12.75" customHeight="1" x14ac:dyDescent="0.25">
      <c r="C4246"/>
      <c r="M4246"/>
    </row>
    <row r="4247" spans="3:13" ht="12.75" customHeight="1" x14ac:dyDescent="0.25">
      <c r="C4247"/>
      <c r="M4247"/>
    </row>
    <row r="4248" spans="3:13" ht="12.75" customHeight="1" x14ac:dyDescent="0.25">
      <c r="C4248"/>
      <c r="M4248"/>
    </row>
    <row r="4249" spans="3:13" ht="12.75" customHeight="1" x14ac:dyDescent="0.25">
      <c r="C4249"/>
      <c r="M4249"/>
    </row>
    <row r="4250" spans="3:13" ht="12.75" customHeight="1" x14ac:dyDescent="0.25">
      <c r="C4250"/>
      <c r="M4250"/>
    </row>
    <row r="4251" spans="3:13" ht="12.75" customHeight="1" x14ac:dyDescent="0.25">
      <c r="C4251"/>
      <c r="M4251"/>
    </row>
    <row r="4252" spans="3:13" ht="12.75" customHeight="1" x14ac:dyDescent="0.25">
      <c r="C4252"/>
      <c r="M4252"/>
    </row>
    <row r="4253" spans="3:13" ht="12.75" customHeight="1" x14ac:dyDescent="0.25">
      <c r="C4253"/>
      <c r="M4253"/>
    </row>
    <row r="4254" spans="3:13" ht="12.75" customHeight="1" x14ac:dyDescent="0.25">
      <c r="C4254"/>
      <c r="M4254"/>
    </row>
    <row r="4255" spans="3:13" ht="12.75" customHeight="1" x14ac:dyDescent="0.25">
      <c r="C4255"/>
      <c r="M4255"/>
    </row>
    <row r="4256" spans="3:13" ht="12.75" customHeight="1" x14ac:dyDescent="0.25">
      <c r="C4256"/>
      <c r="M4256"/>
    </row>
    <row r="4257" spans="3:13" ht="12.75" customHeight="1" x14ac:dyDescent="0.25">
      <c r="C4257"/>
      <c r="M4257"/>
    </row>
    <row r="4258" spans="3:13" ht="12.75" customHeight="1" x14ac:dyDescent="0.25">
      <c r="C4258"/>
      <c r="M4258"/>
    </row>
    <row r="4259" spans="3:13" ht="12.75" customHeight="1" x14ac:dyDescent="0.25">
      <c r="C4259"/>
      <c r="M4259"/>
    </row>
    <row r="4260" spans="3:13" ht="12.75" customHeight="1" x14ac:dyDescent="0.25">
      <c r="C4260"/>
      <c r="M4260"/>
    </row>
    <row r="4261" spans="3:13" ht="12.75" customHeight="1" x14ac:dyDescent="0.25">
      <c r="C4261"/>
      <c r="M4261"/>
    </row>
    <row r="4262" spans="3:13" ht="12.75" customHeight="1" x14ac:dyDescent="0.25">
      <c r="C4262"/>
      <c r="M4262"/>
    </row>
    <row r="4263" spans="3:13" ht="12.75" customHeight="1" x14ac:dyDescent="0.25">
      <c r="C4263"/>
      <c r="M4263"/>
    </row>
    <row r="4264" spans="3:13" ht="12.75" customHeight="1" x14ac:dyDescent="0.25">
      <c r="C4264"/>
      <c r="M4264"/>
    </row>
    <row r="4265" spans="3:13" ht="12.75" customHeight="1" x14ac:dyDescent="0.25">
      <c r="C4265"/>
      <c r="M4265"/>
    </row>
    <row r="4266" spans="3:13" ht="12.75" customHeight="1" x14ac:dyDescent="0.25">
      <c r="C4266"/>
      <c r="M4266"/>
    </row>
    <row r="4267" spans="3:13" ht="12.75" customHeight="1" x14ac:dyDescent="0.25">
      <c r="C4267"/>
      <c r="M4267"/>
    </row>
    <row r="4268" spans="3:13" ht="12.75" customHeight="1" x14ac:dyDescent="0.25">
      <c r="C4268"/>
      <c r="M4268"/>
    </row>
    <row r="4269" spans="3:13" ht="12.75" customHeight="1" x14ac:dyDescent="0.25">
      <c r="C4269"/>
      <c r="M4269"/>
    </row>
    <row r="4270" spans="3:13" ht="12.75" customHeight="1" x14ac:dyDescent="0.25">
      <c r="C4270"/>
      <c r="M4270"/>
    </row>
    <row r="4271" spans="3:13" ht="12.75" customHeight="1" x14ac:dyDescent="0.25">
      <c r="C4271"/>
      <c r="M4271"/>
    </row>
    <row r="4272" spans="3:13" ht="12.75" customHeight="1" x14ac:dyDescent="0.25">
      <c r="C4272"/>
      <c r="M4272"/>
    </row>
    <row r="4273" spans="3:13" ht="12.75" customHeight="1" x14ac:dyDescent="0.25">
      <c r="C4273"/>
      <c r="M4273"/>
    </row>
    <row r="4283" spans="3:13" ht="12.75" customHeight="1" x14ac:dyDescent="0.25">
      <c r="C4283"/>
      <c r="M4283"/>
    </row>
    <row r="4284" spans="3:13" ht="12.75" customHeight="1" x14ac:dyDescent="0.25">
      <c r="C4284"/>
      <c r="M4284"/>
    </row>
    <row r="4285" spans="3:13" ht="12.75" customHeight="1" x14ac:dyDescent="0.25">
      <c r="C4285"/>
      <c r="M4285"/>
    </row>
    <row r="4286" spans="3:13" ht="12.75" customHeight="1" x14ac:dyDescent="0.25">
      <c r="C4286"/>
      <c r="M4286"/>
    </row>
    <row r="60944" spans="3:13" ht="12.75" customHeight="1" x14ac:dyDescent="0.25">
      <c r="C60944"/>
      <c r="M60944"/>
    </row>
    <row r="60960" spans="3:13" ht="12.75" customHeight="1" x14ac:dyDescent="0.25">
      <c r="C60960"/>
      <c r="M60960"/>
    </row>
    <row r="60976" spans="3:13" ht="12.75" customHeight="1" x14ac:dyDescent="0.25">
      <c r="C60976"/>
      <c r="M60976"/>
    </row>
    <row r="60992" spans="3:13" ht="12.75" customHeight="1" x14ac:dyDescent="0.25">
      <c r="C60992"/>
      <c r="M60992"/>
    </row>
    <row r="61005" spans="3:13" ht="12.75" customHeight="1" x14ac:dyDescent="0.25">
      <c r="C61005"/>
      <c r="M61005"/>
    </row>
    <row r="61006" spans="3:13" ht="12.75" customHeight="1" x14ac:dyDescent="0.25">
      <c r="C61006"/>
      <c r="M61006"/>
    </row>
    <row r="61008" spans="3:13" ht="12.75" customHeight="1" x14ac:dyDescent="0.25">
      <c r="C61008"/>
      <c r="M61008"/>
    </row>
    <row r="61019" spans="3:13" ht="12.75" customHeight="1" x14ac:dyDescent="0.25">
      <c r="C61019"/>
      <c r="M61019"/>
    </row>
    <row r="61020" spans="3:13" ht="12.75" customHeight="1" x14ac:dyDescent="0.25">
      <c r="C61020"/>
      <c r="M61020"/>
    </row>
    <row r="61021" spans="3:13" ht="12.75" customHeight="1" x14ac:dyDescent="0.25">
      <c r="C61021"/>
      <c r="M61021"/>
    </row>
    <row r="61022" spans="3:13" ht="12.75" customHeight="1" x14ac:dyDescent="0.25">
      <c r="C61022"/>
      <c r="M61022"/>
    </row>
    <row r="61024" spans="3:13" ht="12.75" customHeight="1" x14ac:dyDescent="0.25">
      <c r="C61024"/>
      <c r="M61024"/>
    </row>
    <row r="61035" spans="3:13" ht="12.75" customHeight="1" x14ac:dyDescent="0.25">
      <c r="C61035"/>
      <c r="M61035"/>
    </row>
    <row r="61036" spans="3:13" ht="12.75" customHeight="1" x14ac:dyDescent="0.25">
      <c r="C61036"/>
      <c r="M61036"/>
    </row>
    <row r="61037" spans="3:13" ht="12.75" customHeight="1" x14ac:dyDescent="0.25">
      <c r="C61037"/>
      <c r="M61037"/>
    </row>
    <row r="61038" spans="3:13" ht="12.75" customHeight="1" x14ac:dyDescent="0.25">
      <c r="C61038"/>
      <c r="M61038"/>
    </row>
    <row r="61040" spans="3:13" ht="12.75" customHeight="1" x14ac:dyDescent="0.25">
      <c r="C61040"/>
      <c r="M61040"/>
    </row>
    <row r="61051" spans="3:13" ht="12.75" customHeight="1" x14ac:dyDescent="0.25">
      <c r="C61051"/>
      <c r="M61051"/>
    </row>
    <row r="61052" spans="3:13" ht="12.75" customHeight="1" x14ac:dyDescent="0.25">
      <c r="C61052"/>
      <c r="M61052"/>
    </row>
    <row r="61053" spans="3:13" ht="12.75" customHeight="1" x14ac:dyDescent="0.25">
      <c r="C61053"/>
      <c r="M61053"/>
    </row>
    <row r="61054" spans="3:13" ht="12.75" customHeight="1" x14ac:dyDescent="0.25">
      <c r="C61054"/>
      <c r="M61054"/>
    </row>
    <row r="61056" spans="3:13" ht="12.75" customHeight="1" x14ac:dyDescent="0.25">
      <c r="C61056"/>
      <c r="M61056"/>
    </row>
    <row r="61067" spans="3:13" ht="12.75" customHeight="1" x14ac:dyDescent="0.25">
      <c r="C61067"/>
      <c r="M61067"/>
    </row>
    <row r="61068" spans="3:13" ht="12.75" customHeight="1" x14ac:dyDescent="0.25">
      <c r="C61068"/>
      <c r="M61068"/>
    </row>
    <row r="61069" spans="3:13" ht="12.75" customHeight="1" x14ac:dyDescent="0.25">
      <c r="C61069"/>
      <c r="M61069"/>
    </row>
    <row r="61070" spans="3:13" ht="12.75" customHeight="1" x14ac:dyDescent="0.25">
      <c r="C61070"/>
      <c r="M61070"/>
    </row>
    <row r="61072" spans="3:13" ht="12.75" customHeight="1" x14ac:dyDescent="0.25">
      <c r="C61072"/>
      <c r="M61072"/>
    </row>
    <row r="61083" spans="3:13" ht="12.75" customHeight="1" x14ac:dyDescent="0.25">
      <c r="C61083"/>
      <c r="M61083"/>
    </row>
    <row r="61084" spans="3:13" ht="12.75" customHeight="1" x14ac:dyDescent="0.25">
      <c r="C61084"/>
      <c r="M61084"/>
    </row>
    <row r="61085" spans="3:13" ht="12.75" customHeight="1" x14ac:dyDescent="0.25">
      <c r="C61085"/>
      <c r="M61085"/>
    </row>
    <row r="61086" spans="3:13" ht="12.75" customHeight="1" x14ac:dyDescent="0.25">
      <c r="C61086"/>
      <c r="M61086"/>
    </row>
    <row r="61088" spans="3:13" ht="12.75" customHeight="1" x14ac:dyDescent="0.25">
      <c r="C61088"/>
      <c r="M61088"/>
    </row>
    <row r="61099" spans="3:13" ht="12.75" customHeight="1" x14ac:dyDescent="0.25">
      <c r="C61099"/>
      <c r="M61099"/>
    </row>
    <row r="61100" spans="3:13" ht="12.75" customHeight="1" x14ac:dyDescent="0.25">
      <c r="C61100"/>
      <c r="M61100"/>
    </row>
    <row r="61101" spans="3:13" ht="12.75" customHeight="1" x14ac:dyDescent="0.25">
      <c r="C61101"/>
      <c r="M61101"/>
    </row>
    <row r="61102" spans="3:13" ht="12.75" customHeight="1" x14ac:dyDescent="0.25">
      <c r="C61102"/>
      <c r="M61102"/>
    </row>
    <row r="61104" spans="3:13" ht="12.75" customHeight="1" x14ac:dyDescent="0.25">
      <c r="C61104"/>
      <c r="M61104"/>
    </row>
    <row r="61115" spans="3:13" ht="12.75" customHeight="1" x14ac:dyDescent="0.25">
      <c r="C61115"/>
      <c r="M61115"/>
    </row>
    <row r="61116" spans="3:13" ht="12.75" customHeight="1" x14ac:dyDescent="0.25">
      <c r="C61116"/>
      <c r="M61116"/>
    </row>
    <row r="61117" spans="3:13" ht="12.75" customHeight="1" x14ac:dyDescent="0.25">
      <c r="C61117"/>
      <c r="M61117"/>
    </row>
    <row r="61118" spans="3:13" ht="12.75" customHeight="1" x14ac:dyDescent="0.25">
      <c r="C61118"/>
      <c r="M61118"/>
    </row>
    <row r="61120" spans="3:13" ht="12.75" customHeight="1" x14ac:dyDescent="0.25">
      <c r="C61120"/>
      <c r="M61120"/>
    </row>
    <row r="61131" spans="3:13" ht="12.75" customHeight="1" x14ac:dyDescent="0.25">
      <c r="C61131"/>
      <c r="M61131"/>
    </row>
    <row r="61132" spans="3:13" ht="12.75" customHeight="1" x14ac:dyDescent="0.25">
      <c r="C61132"/>
      <c r="M61132"/>
    </row>
    <row r="61133" spans="3:13" ht="12.75" customHeight="1" x14ac:dyDescent="0.25">
      <c r="C61133"/>
      <c r="M61133"/>
    </row>
    <row r="61134" spans="3:13" ht="12.75" customHeight="1" x14ac:dyDescent="0.25">
      <c r="C61134"/>
      <c r="M61134"/>
    </row>
    <row r="61136" spans="3:13" ht="12.75" customHeight="1" x14ac:dyDescent="0.25">
      <c r="C61136"/>
      <c r="M61136"/>
    </row>
    <row r="61144" spans="3:13" ht="12.75" customHeight="1" x14ac:dyDescent="0.25">
      <c r="C61144"/>
      <c r="M61144"/>
    </row>
    <row r="61147" spans="3:13" ht="12.75" customHeight="1" x14ac:dyDescent="0.25">
      <c r="C61147"/>
      <c r="M61147"/>
    </row>
    <row r="61148" spans="3:13" ht="12.75" customHeight="1" x14ac:dyDescent="0.25">
      <c r="C61148"/>
      <c r="M61148"/>
    </row>
    <row r="61149" spans="3:13" ht="12.75" customHeight="1" x14ac:dyDescent="0.25">
      <c r="C61149"/>
      <c r="M61149"/>
    </row>
    <row r="61150" spans="3:13" ht="12.75" customHeight="1" x14ac:dyDescent="0.25">
      <c r="C61150"/>
      <c r="M61150"/>
    </row>
    <row r="61152" spans="3:13" ht="12.75" customHeight="1" x14ac:dyDescent="0.25">
      <c r="C61152"/>
      <c r="M61152"/>
    </row>
    <row r="61160" spans="3:13" ht="12.75" customHeight="1" x14ac:dyDescent="0.25">
      <c r="C61160"/>
      <c r="M61160"/>
    </row>
    <row r="61163" spans="3:13" ht="12.75" customHeight="1" x14ac:dyDescent="0.25">
      <c r="C61163"/>
      <c r="M61163"/>
    </row>
    <row r="61164" spans="3:13" ht="12.75" customHeight="1" x14ac:dyDescent="0.25">
      <c r="C61164"/>
      <c r="M61164"/>
    </row>
    <row r="61165" spans="3:13" ht="12.75" customHeight="1" x14ac:dyDescent="0.25">
      <c r="C61165"/>
      <c r="M61165"/>
    </row>
    <row r="61166" spans="3:13" ht="12.75" customHeight="1" x14ac:dyDescent="0.25">
      <c r="C61166"/>
      <c r="M61166"/>
    </row>
    <row r="61168" spans="3:13" ht="12.75" customHeight="1" x14ac:dyDescent="0.25">
      <c r="C61168"/>
      <c r="M61168"/>
    </row>
    <row r="61176" spans="3:13" ht="12.75" customHeight="1" x14ac:dyDescent="0.25">
      <c r="C61176"/>
      <c r="M61176"/>
    </row>
    <row r="61177" spans="3:13" ht="12.75" customHeight="1" x14ac:dyDescent="0.25">
      <c r="C61177"/>
      <c r="M61177"/>
    </row>
    <row r="61179" spans="3:13" ht="12.75" customHeight="1" x14ac:dyDescent="0.25">
      <c r="C61179"/>
      <c r="M61179"/>
    </row>
    <row r="61180" spans="3:13" ht="12.75" customHeight="1" x14ac:dyDescent="0.25">
      <c r="C61180"/>
      <c r="M61180"/>
    </row>
    <row r="61181" spans="3:13" ht="12.75" customHeight="1" x14ac:dyDescent="0.25">
      <c r="C61181"/>
      <c r="M61181"/>
    </row>
    <row r="61182" spans="3:13" ht="12.75" customHeight="1" x14ac:dyDescent="0.25">
      <c r="C61182"/>
      <c r="M61182"/>
    </row>
    <row r="61184" spans="3:13" ht="12.75" customHeight="1" x14ac:dyDescent="0.25">
      <c r="C61184"/>
      <c r="M61184"/>
    </row>
    <row r="61192" spans="3:13" ht="12.75" customHeight="1" x14ac:dyDescent="0.25">
      <c r="C61192"/>
      <c r="M61192"/>
    </row>
    <row r="61193" spans="3:13" ht="12.75" customHeight="1" x14ac:dyDescent="0.25">
      <c r="C61193"/>
      <c r="M61193"/>
    </row>
    <row r="61194" spans="3:13" ht="12.75" customHeight="1" x14ac:dyDescent="0.25">
      <c r="C61194"/>
      <c r="M61194"/>
    </row>
    <row r="61195" spans="3:13" ht="12.75" customHeight="1" x14ac:dyDescent="0.25">
      <c r="C61195"/>
      <c r="M61195"/>
    </row>
    <row r="61196" spans="3:13" ht="12.75" customHeight="1" x14ac:dyDescent="0.25">
      <c r="C61196"/>
      <c r="M61196"/>
    </row>
    <row r="61197" spans="3:13" ht="12.75" customHeight="1" x14ac:dyDescent="0.25">
      <c r="C61197"/>
      <c r="M61197"/>
    </row>
    <row r="61198" spans="3:13" ht="12.75" customHeight="1" x14ac:dyDescent="0.25">
      <c r="C61198"/>
      <c r="M61198"/>
    </row>
    <row r="61200" spans="3:13" ht="12.75" customHeight="1" x14ac:dyDescent="0.25">
      <c r="C61200"/>
      <c r="M61200"/>
    </row>
    <row r="61208" spans="3:13" ht="12.75" customHeight="1" x14ac:dyDescent="0.25">
      <c r="C61208"/>
      <c r="M61208"/>
    </row>
    <row r="61209" spans="3:13" ht="12.75" customHeight="1" x14ac:dyDescent="0.25">
      <c r="C61209"/>
      <c r="M61209"/>
    </row>
    <row r="61210" spans="3:13" ht="12.75" customHeight="1" x14ac:dyDescent="0.25">
      <c r="C61210"/>
      <c r="M61210"/>
    </row>
    <row r="61211" spans="3:13" ht="12.75" customHeight="1" x14ac:dyDescent="0.25">
      <c r="C61211"/>
      <c r="M61211"/>
    </row>
    <row r="61212" spans="3:13" ht="12.75" customHeight="1" x14ac:dyDescent="0.25">
      <c r="C61212"/>
      <c r="M61212"/>
    </row>
    <row r="61213" spans="3:13" ht="12.75" customHeight="1" x14ac:dyDescent="0.25">
      <c r="C61213"/>
      <c r="M61213"/>
    </row>
    <row r="61214" spans="3:13" ht="12.75" customHeight="1" x14ac:dyDescent="0.25">
      <c r="C61214"/>
      <c r="M61214"/>
    </row>
    <row r="61216" spans="3:13" ht="12.75" customHeight="1" x14ac:dyDescent="0.25">
      <c r="C61216"/>
      <c r="M61216"/>
    </row>
    <row r="61222" spans="3:13" ht="12.75" customHeight="1" x14ac:dyDescent="0.25">
      <c r="C61222"/>
      <c r="M61222"/>
    </row>
    <row r="61223" spans="3:13" ht="12.75" customHeight="1" x14ac:dyDescent="0.25">
      <c r="C61223"/>
      <c r="M61223"/>
    </row>
    <row r="61224" spans="3:13" ht="12.75" customHeight="1" x14ac:dyDescent="0.25">
      <c r="C61224"/>
      <c r="M61224"/>
    </row>
    <row r="61225" spans="3:13" ht="12.75" customHeight="1" x14ac:dyDescent="0.25">
      <c r="C61225"/>
      <c r="M61225"/>
    </row>
    <row r="61226" spans="3:13" ht="12.75" customHeight="1" x14ac:dyDescent="0.25">
      <c r="C61226"/>
      <c r="M61226"/>
    </row>
    <row r="61227" spans="3:13" ht="12.75" customHeight="1" x14ac:dyDescent="0.25">
      <c r="C61227"/>
      <c r="M61227"/>
    </row>
    <row r="61228" spans="3:13" ht="12.75" customHeight="1" x14ac:dyDescent="0.25">
      <c r="C61228"/>
      <c r="M61228"/>
    </row>
    <row r="61229" spans="3:13" ht="12.75" customHeight="1" x14ac:dyDescent="0.25">
      <c r="C61229"/>
      <c r="M61229"/>
    </row>
    <row r="61230" spans="3:13" ht="12.75" customHeight="1" x14ac:dyDescent="0.25">
      <c r="C61230"/>
      <c r="M61230"/>
    </row>
    <row r="61231" spans="3:13" ht="12.75" customHeight="1" x14ac:dyDescent="0.25">
      <c r="C61231"/>
      <c r="M61231"/>
    </row>
    <row r="61232" spans="3:13" ht="12.75" customHeight="1" x14ac:dyDescent="0.25">
      <c r="C61232"/>
      <c r="M61232"/>
    </row>
    <row r="61233" spans="3:13" ht="12.75" customHeight="1" x14ac:dyDescent="0.25">
      <c r="C61233"/>
      <c r="M61233"/>
    </row>
    <row r="61238" spans="3:13" ht="12.75" customHeight="1" x14ac:dyDescent="0.25">
      <c r="C61238"/>
      <c r="M61238"/>
    </row>
    <row r="61239" spans="3:13" ht="12.75" customHeight="1" x14ac:dyDescent="0.25">
      <c r="C61239"/>
      <c r="M61239"/>
    </row>
    <row r="61240" spans="3:13" ht="12.75" customHeight="1" x14ac:dyDescent="0.25">
      <c r="C61240"/>
      <c r="M61240"/>
    </row>
    <row r="61241" spans="3:13" ht="12.75" customHeight="1" x14ac:dyDescent="0.25">
      <c r="C61241"/>
      <c r="M61241"/>
    </row>
    <row r="61242" spans="3:13" ht="12.75" customHeight="1" x14ac:dyDescent="0.25">
      <c r="C61242"/>
      <c r="M61242"/>
    </row>
    <row r="61243" spans="3:13" ht="12.75" customHeight="1" x14ac:dyDescent="0.25">
      <c r="C61243"/>
      <c r="M61243"/>
    </row>
    <row r="61244" spans="3:13" ht="12.75" customHeight="1" x14ac:dyDescent="0.25">
      <c r="C61244"/>
      <c r="M61244"/>
    </row>
    <row r="61245" spans="3:13" ht="12.75" customHeight="1" x14ac:dyDescent="0.25">
      <c r="C61245"/>
      <c r="M61245"/>
    </row>
    <row r="61246" spans="3:13" ht="12.75" customHeight="1" x14ac:dyDescent="0.25">
      <c r="C61246"/>
      <c r="M61246"/>
    </row>
    <row r="61247" spans="3:13" ht="12.75" customHeight="1" x14ac:dyDescent="0.25">
      <c r="C61247"/>
      <c r="M61247"/>
    </row>
    <row r="61248" spans="3:13" ht="12.75" customHeight="1" x14ac:dyDescent="0.25">
      <c r="C61248"/>
      <c r="M61248"/>
    </row>
    <row r="61249" spans="3:13" ht="12.75" customHeight="1" x14ac:dyDescent="0.25">
      <c r="C61249"/>
      <c r="M61249"/>
    </row>
    <row r="61254" spans="3:13" ht="12.75" customHeight="1" x14ac:dyDescent="0.25">
      <c r="C61254"/>
      <c r="M61254"/>
    </row>
    <row r="61255" spans="3:13" ht="12.75" customHeight="1" x14ac:dyDescent="0.25">
      <c r="C61255"/>
      <c r="M61255"/>
    </row>
    <row r="61256" spans="3:13" ht="12.75" customHeight="1" x14ac:dyDescent="0.25">
      <c r="C61256"/>
      <c r="M61256"/>
    </row>
    <row r="61257" spans="3:13" ht="12.75" customHeight="1" x14ac:dyDescent="0.25">
      <c r="C61257"/>
      <c r="M61257"/>
    </row>
    <row r="61258" spans="3:13" ht="12.75" customHeight="1" x14ac:dyDescent="0.25">
      <c r="C61258"/>
      <c r="M61258"/>
    </row>
    <row r="61259" spans="3:13" ht="12.75" customHeight="1" x14ac:dyDescent="0.25">
      <c r="C61259"/>
      <c r="M61259"/>
    </row>
    <row r="61260" spans="3:13" ht="12.75" customHeight="1" x14ac:dyDescent="0.25">
      <c r="C61260"/>
      <c r="M61260"/>
    </row>
    <row r="61261" spans="3:13" ht="12.75" customHeight="1" x14ac:dyDescent="0.25">
      <c r="C61261"/>
      <c r="M61261"/>
    </row>
    <row r="61262" spans="3:13" ht="12.75" customHeight="1" x14ac:dyDescent="0.25">
      <c r="C61262"/>
      <c r="M61262"/>
    </row>
    <row r="61263" spans="3:13" ht="12.75" customHeight="1" x14ac:dyDescent="0.25">
      <c r="C61263"/>
      <c r="M61263"/>
    </row>
    <row r="61264" spans="3:13" ht="12.75" customHeight="1" x14ac:dyDescent="0.25">
      <c r="C61264"/>
      <c r="M61264"/>
    </row>
    <row r="61265" spans="3:13" ht="12.75" customHeight="1" x14ac:dyDescent="0.25">
      <c r="C61265"/>
      <c r="M61265"/>
    </row>
    <row r="61270" spans="3:13" ht="12.75" customHeight="1" x14ac:dyDescent="0.25">
      <c r="C61270"/>
      <c r="M61270"/>
    </row>
    <row r="61271" spans="3:13" ht="12.75" customHeight="1" x14ac:dyDescent="0.25">
      <c r="C61271"/>
      <c r="M61271"/>
    </row>
    <row r="61272" spans="3:13" ht="12.75" customHeight="1" x14ac:dyDescent="0.25">
      <c r="C61272"/>
      <c r="M61272"/>
    </row>
    <row r="61273" spans="3:13" ht="12.75" customHeight="1" x14ac:dyDescent="0.25">
      <c r="C61273"/>
      <c r="M61273"/>
    </row>
    <row r="61274" spans="3:13" ht="12.75" customHeight="1" x14ac:dyDescent="0.25">
      <c r="C61274"/>
      <c r="M61274"/>
    </row>
    <row r="61275" spans="3:13" ht="12.75" customHeight="1" x14ac:dyDescent="0.25">
      <c r="C61275"/>
      <c r="M61275"/>
    </row>
    <row r="61276" spans="3:13" ht="12.75" customHeight="1" x14ac:dyDescent="0.25">
      <c r="C61276"/>
      <c r="M61276"/>
    </row>
    <row r="61277" spans="3:13" ht="12.75" customHeight="1" x14ac:dyDescent="0.25">
      <c r="C61277"/>
      <c r="M61277"/>
    </row>
    <row r="61278" spans="3:13" ht="12.75" customHeight="1" x14ac:dyDescent="0.25">
      <c r="C61278"/>
      <c r="M61278"/>
    </row>
    <row r="61279" spans="3:13" ht="12.75" customHeight="1" x14ac:dyDescent="0.25">
      <c r="C61279"/>
      <c r="M61279"/>
    </row>
    <row r="61280" spans="3:13" ht="12.75" customHeight="1" x14ac:dyDescent="0.25">
      <c r="C61280"/>
      <c r="M61280"/>
    </row>
    <row r="61281" spans="3:13" ht="12.75" customHeight="1" x14ac:dyDescent="0.25">
      <c r="C61281"/>
      <c r="M61281"/>
    </row>
    <row r="61285" spans="3:13" ht="12.75" customHeight="1" x14ac:dyDescent="0.25">
      <c r="C61285"/>
      <c r="M61285"/>
    </row>
    <row r="61286" spans="3:13" ht="12.75" customHeight="1" x14ac:dyDescent="0.25">
      <c r="C61286"/>
      <c r="M61286"/>
    </row>
    <row r="61287" spans="3:13" ht="12.75" customHeight="1" x14ac:dyDescent="0.25">
      <c r="C61287"/>
      <c r="M61287"/>
    </row>
    <row r="61288" spans="3:13" ht="12.75" customHeight="1" x14ac:dyDescent="0.25">
      <c r="C61288"/>
      <c r="M61288"/>
    </row>
    <row r="61289" spans="3:13" ht="12.75" customHeight="1" x14ac:dyDescent="0.25">
      <c r="C61289"/>
      <c r="M61289"/>
    </row>
    <row r="61290" spans="3:13" ht="12.75" customHeight="1" x14ac:dyDescent="0.25">
      <c r="C61290"/>
      <c r="M61290"/>
    </row>
    <row r="61291" spans="3:13" ht="12.75" customHeight="1" x14ac:dyDescent="0.25">
      <c r="C61291"/>
      <c r="M61291"/>
    </row>
    <row r="61292" spans="3:13" ht="12.75" customHeight="1" x14ac:dyDescent="0.25">
      <c r="C61292"/>
      <c r="M61292"/>
    </row>
    <row r="61293" spans="3:13" ht="12.75" customHeight="1" x14ac:dyDescent="0.25">
      <c r="C61293"/>
      <c r="M61293"/>
    </row>
    <row r="61294" spans="3:13" ht="12.75" customHeight="1" x14ac:dyDescent="0.25">
      <c r="C61294"/>
      <c r="M61294"/>
    </row>
    <row r="61295" spans="3:13" ht="12.75" customHeight="1" x14ac:dyDescent="0.25">
      <c r="C61295"/>
      <c r="M61295"/>
    </row>
    <row r="61296" spans="3:13" ht="12.75" customHeight="1" x14ac:dyDescent="0.25">
      <c r="C61296"/>
      <c r="M61296"/>
    </row>
    <row r="61297" spans="3:13" ht="12.75" customHeight="1" x14ac:dyDescent="0.25">
      <c r="C61297"/>
      <c r="M61297"/>
    </row>
    <row r="61301" spans="3:13" ht="12.75" customHeight="1" x14ac:dyDescent="0.25">
      <c r="C61301"/>
      <c r="M61301"/>
    </row>
    <row r="61302" spans="3:13" ht="12.75" customHeight="1" x14ac:dyDescent="0.25">
      <c r="C61302"/>
      <c r="M61302"/>
    </row>
    <row r="61303" spans="3:13" ht="12.75" customHeight="1" x14ac:dyDescent="0.25">
      <c r="C61303"/>
      <c r="M61303"/>
    </row>
    <row r="61304" spans="3:13" ht="12.75" customHeight="1" x14ac:dyDescent="0.25">
      <c r="C61304"/>
      <c r="M61304"/>
    </row>
    <row r="61305" spans="3:13" ht="12.75" customHeight="1" x14ac:dyDescent="0.25">
      <c r="C61305"/>
      <c r="M61305"/>
    </row>
    <row r="61306" spans="3:13" ht="12.75" customHeight="1" x14ac:dyDescent="0.25">
      <c r="C61306"/>
      <c r="M61306"/>
    </row>
    <row r="61307" spans="3:13" ht="12.75" customHeight="1" x14ac:dyDescent="0.25">
      <c r="C61307"/>
      <c r="M61307"/>
    </row>
    <row r="61308" spans="3:13" ht="12.75" customHeight="1" x14ac:dyDescent="0.25">
      <c r="C61308"/>
      <c r="M61308"/>
    </row>
    <row r="61309" spans="3:13" ht="12.75" customHeight="1" x14ac:dyDescent="0.25">
      <c r="C61309"/>
      <c r="M61309"/>
    </row>
    <row r="61310" spans="3:13" ht="12.75" customHeight="1" x14ac:dyDescent="0.25">
      <c r="C61310"/>
      <c r="M61310"/>
    </row>
    <row r="61311" spans="3:13" ht="12.75" customHeight="1" x14ac:dyDescent="0.25">
      <c r="C61311"/>
      <c r="M61311"/>
    </row>
    <row r="61312" spans="3:13" ht="12.75" customHeight="1" x14ac:dyDescent="0.25">
      <c r="C61312"/>
      <c r="M61312"/>
    </row>
    <row r="61313" spans="3:13" ht="12.75" customHeight="1" x14ac:dyDescent="0.25">
      <c r="C61313"/>
      <c r="M61313"/>
    </row>
    <row r="61317" spans="3:13" ht="12.75" customHeight="1" x14ac:dyDescent="0.25">
      <c r="C61317"/>
      <c r="M61317"/>
    </row>
    <row r="61318" spans="3:13" ht="12.75" customHeight="1" x14ac:dyDescent="0.25">
      <c r="C61318"/>
      <c r="M61318"/>
    </row>
    <row r="61319" spans="3:13" ht="12.75" customHeight="1" x14ac:dyDescent="0.25">
      <c r="C61319"/>
      <c r="M61319"/>
    </row>
    <row r="61320" spans="3:13" ht="12.75" customHeight="1" x14ac:dyDescent="0.25">
      <c r="C61320"/>
      <c r="M61320"/>
    </row>
    <row r="61321" spans="3:13" ht="12.75" customHeight="1" x14ac:dyDescent="0.25">
      <c r="C61321"/>
      <c r="M61321"/>
    </row>
    <row r="61322" spans="3:13" ht="12.75" customHeight="1" x14ac:dyDescent="0.25">
      <c r="C61322"/>
      <c r="M61322"/>
    </row>
    <row r="61323" spans="3:13" ht="12.75" customHeight="1" x14ac:dyDescent="0.25">
      <c r="C61323"/>
      <c r="M61323"/>
    </row>
    <row r="61324" spans="3:13" ht="12.75" customHeight="1" x14ac:dyDescent="0.25">
      <c r="C61324"/>
      <c r="M61324"/>
    </row>
    <row r="61325" spans="3:13" ht="12.75" customHeight="1" x14ac:dyDescent="0.25">
      <c r="C61325"/>
      <c r="M61325"/>
    </row>
    <row r="61326" spans="3:13" ht="12.75" customHeight="1" x14ac:dyDescent="0.25">
      <c r="C61326"/>
      <c r="M61326"/>
    </row>
    <row r="61327" spans="3:13" ht="12.75" customHeight="1" x14ac:dyDescent="0.25">
      <c r="C61327"/>
      <c r="M61327"/>
    </row>
    <row r="61328" spans="3:13" ht="12.75" customHeight="1" x14ac:dyDescent="0.25">
      <c r="C61328"/>
      <c r="M61328"/>
    </row>
    <row r="61329" spans="3:13" ht="12.75" customHeight="1" x14ac:dyDescent="0.25">
      <c r="C61329"/>
      <c r="M61329"/>
    </row>
    <row r="61333" spans="3:13" ht="12.75" customHeight="1" x14ac:dyDescent="0.25">
      <c r="C61333"/>
      <c r="M61333"/>
    </row>
    <row r="61334" spans="3:13" ht="12.75" customHeight="1" x14ac:dyDescent="0.25">
      <c r="C61334"/>
      <c r="M61334"/>
    </row>
    <row r="61335" spans="3:13" ht="12.75" customHeight="1" x14ac:dyDescent="0.25">
      <c r="C61335"/>
      <c r="M61335"/>
    </row>
    <row r="61336" spans="3:13" ht="12.75" customHeight="1" x14ac:dyDescent="0.25">
      <c r="C61336"/>
      <c r="M61336"/>
    </row>
    <row r="61337" spans="3:13" ht="12.75" customHeight="1" x14ac:dyDescent="0.25">
      <c r="C61337"/>
      <c r="M61337"/>
    </row>
    <row r="61338" spans="3:13" ht="12.75" customHeight="1" x14ac:dyDescent="0.25">
      <c r="C61338"/>
      <c r="M61338"/>
    </row>
    <row r="61339" spans="3:13" ht="12.75" customHeight="1" x14ac:dyDescent="0.25">
      <c r="C61339"/>
      <c r="M61339"/>
    </row>
    <row r="61340" spans="3:13" ht="12.75" customHeight="1" x14ac:dyDescent="0.25">
      <c r="C61340"/>
      <c r="M61340"/>
    </row>
    <row r="61341" spans="3:13" ht="12.75" customHeight="1" x14ac:dyDescent="0.25">
      <c r="C61341"/>
      <c r="M61341"/>
    </row>
    <row r="61342" spans="3:13" ht="12.75" customHeight="1" x14ac:dyDescent="0.25">
      <c r="C61342"/>
      <c r="M61342"/>
    </row>
    <row r="61343" spans="3:13" ht="12.75" customHeight="1" x14ac:dyDescent="0.25">
      <c r="C61343"/>
      <c r="M61343"/>
    </row>
    <row r="61344" spans="3:13" ht="12.75" customHeight="1" x14ac:dyDescent="0.25">
      <c r="C61344"/>
      <c r="M61344"/>
    </row>
    <row r="61345" spans="3:13" ht="12.75" customHeight="1" x14ac:dyDescent="0.25">
      <c r="C61345"/>
      <c r="M61345"/>
    </row>
    <row r="61349" spans="3:13" ht="12.75" customHeight="1" x14ac:dyDescent="0.25">
      <c r="C61349"/>
      <c r="M61349"/>
    </row>
    <row r="61350" spans="3:13" ht="12.75" customHeight="1" x14ac:dyDescent="0.25">
      <c r="C61350"/>
      <c r="M61350"/>
    </row>
    <row r="61351" spans="3:13" ht="12.75" customHeight="1" x14ac:dyDescent="0.25">
      <c r="C61351"/>
      <c r="M61351"/>
    </row>
    <row r="61352" spans="3:13" ht="12.75" customHeight="1" x14ac:dyDescent="0.25">
      <c r="C61352"/>
      <c r="M61352"/>
    </row>
    <row r="61353" spans="3:13" ht="12.75" customHeight="1" x14ac:dyDescent="0.25">
      <c r="C61353"/>
      <c r="M61353"/>
    </row>
    <row r="61354" spans="3:13" ht="12.75" customHeight="1" x14ac:dyDescent="0.25">
      <c r="C61354"/>
      <c r="M61354"/>
    </row>
    <row r="61355" spans="3:13" ht="12.75" customHeight="1" x14ac:dyDescent="0.25">
      <c r="C61355"/>
      <c r="M61355"/>
    </row>
    <row r="61356" spans="3:13" ht="12.75" customHeight="1" x14ac:dyDescent="0.25">
      <c r="C61356"/>
      <c r="M61356"/>
    </row>
    <row r="61357" spans="3:13" ht="12.75" customHeight="1" x14ac:dyDescent="0.25">
      <c r="C61357"/>
      <c r="M61357"/>
    </row>
    <row r="61358" spans="3:13" ht="12.75" customHeight="1" x14ac:dyDescent="0.25">
      <c r="C61358"/>
      <c r="M61358"/>
    </row>
    <row r="61359" spans="3:13" ht="12.75" customHeight="1" x14ac:dyDescent="0.25">
      <c r="C61359"/>
      <c r="M61359"/>
    </row>
    <row r="61360" spans="3:13" ht="12.75" customHeight="1" x14ac:dyDescent="0.25">
      <c r="C61360"/>
      <c r="M61360"/>
    </row>
    <row r="61361" spans="3:13" ht="12.75" customHeight="1" x14ac:dyDescent="0.25">
      <c r="C61361"/>
      <c r="M61361"/>
    </row>
    <row r="61365" spans="3:13" ht="12.75" customHeight="1" x14ac:dyDescent="0.25">
      <c r="C61365"/>
      <c r="M61365"/>
    </row>
    <row r="61366" spans="3:13" ht="12.75" customHeight="1" x14ac:dyDescent="0.25">
      <c r="C61366"/>
      <c r="M61366"/>
    </row>
    <row r="61367" spans="3:13" ht="12.75" customHeight="1" x14ac:dyDescent="0.25">
      <c r="C61367"/>
      <c r="M61367"/>
    </row>
    <row r="61368" spans="3:13" ht="12.75" customHeight="1" x14ac:dyDescent="0.25">
      <c r="C61368"/>
      <c r="M61368"/>
    </row>
    <row r="61369" spans="3:13" ht="12.75" customHeight="1" x14ac:dyDescent="0.25">
      <c r="C61369"/>
      <c r="M61369"/>
    </row>
    <row r="61370" spans="3:13" ht="12.75" customHeight="1" x14ac:dyDescent="0.25">
      <c r="C61370"/>
      <c r="M61370"/>
    </row>
    <row r="61371" spans="3:13" ht="12.75" customHeight="1" x14ac:dyDescent="0.25">
      <c r="C61371"/>
      <c r="M61371"/>
    </row>
    <row r="61372" spans="3:13" ht="12.75" customHeight="1" x14ac:dyDescent="0.25">
      <c r="C61372"/>
      <c r="M61372"/>
    </row>
    <row r="61373" spans="3:13" ht="12.75" customHeight="1" x14ac:dyDescent="0.25">
      <c r="C61373"/>
      <c r="M61373"/>
    </row>
    <row r="61374" spans="3:13" ht="12.75" customHeight="1" x14ac:dyDescent="0.25">
      <c r="C61374"/>
      <c r="M61374"/>
    </row>
    <row r="61375" spans="3:13" ht="12.75" customHeight="1" x14ac:dyDescent="0.25">
      <c r="C61375"/>
      <c r="M61375"/>
    </row>
    <row r="61376" spans="3:13" ht="12.75" customHeight="1" x14ac:dyDescent="0.25">
      <c r="C61376"/>
      <c r="M61376"/>
    </row>
    <row r="61377" spans="3:13" ht="12.75" customHeight="1" x14ac:dyDescent="0.25">
      <c r="C61377"/>
      <c r="M61377"/>
    </row>
    <row r="61381" spans="3:13" ht="12.75" customHeight="1" x14ac:dyDescent="0.25">
      <c r="C61381"/>
      <c r="M61381"/>
    </row>
    <row r="61382" spans="3:13" ht="12.75" customHeight="1" x14ac:dyDescent="0.25">
      <c r="C61382"/>
      <c r="M61382"/>
    </row>
    <row r="61383" spans="3:13" ht="12.75" customHeight="1" x14ac:dyDescent="0.25">
      <c r="C61383"/>
      <c r="M61383"/>
    </row>
    <row r="61384" spans="3:13" ht="12.75" customHeight="1" x14ac:dyDescent="0.25">
      <c r="C61384"/>
      <c r="M61384"/>
    </row>
    <row r="61385" spans="3:13" ht="12.75" customHeight="1" x14ac:dyDescent="0.25">
      <c r="C61385"/>
      <c r="M61385"/>
    </row>
    <row r="61386" spans="3:13" ht="12.75" customHeight="1" x14ac:dyDescent="0.25">
      <c r="C61386"/>
      <c r="M61386"/>
    </row>
    <row r="61387" spans="3:13" ht="12.75" customHeight="1" x14ac:dyDescent="0.25">
      <c r="C61387"/>
      <c r="M61387"/>
    </row>
    <row r="61388" spans="3:13" ht="12.75" customHeight="1" x14ac:dyDescent="0.25">
      <c r="C61388"/>
      <c r="M61388"/>
    </row>
    <row r="61389" spans="3:13" ht="12.75" customHeight="1" x14ac:dyDescent="0.25">
      <c r="C61389"/>
      <c r="M61389"/>
    </row>
    <row r="61390" spans="3:13" ht="12.75" customHeight="1" x14ac:dyDescent="0.25">
      <c r="C61390"/>
      <c r="M61390"/>
    </row>
    <row r="61391" spans="3:13" ht="12.75" customHeight="1" x14ac:dyDescent="0.25">
      <c r="C61391"/>
      <c r="M61391"/>
    </row>
    <row r="61392" spans="3:13" ht="12.75" customHeight="1" x14ac:dyDescent="0.25">
      <c r="C61392"/>
      <c r="M61392"/>
    </row>
    <row r="61393" spans="3:13" ht="12.75" customHeight="1" x14ac:dyDescent="0.25">
      <c r="C61393"/>
      <c r="M61393"/>
    </row>
    <row r="61397" spans="3:13" ht="12.75" customHeight="1" x14ac:dyDescent="0.25">
      <c r="C61397"/>
      <c r="M61397"/>
    </row>
    <row r="61398" spans="3:13" ht="12.75" customHeight="1" x14ac:dyDescent="0.25">
      <c r="C61398"/>
      <c r="M61398"/>
    </row>
    <row r="61399" spans="3:13" ht="12.75" customHeight="1" x14ac:dyDescent="0.25">
      <c r="C61399"/>
      <c r="M61399"/>
    </row>
    <row r="61400" spans="3:13" ht="12.75" customHeight="1" x14ac:dyDescent="0.25">
      <c r="C61400"/>
      <c r="M61400"/>
    </row>
    <row r="61401" spans="3:13" ht="12.75" customHeight="1" x14ac:dyDescent="0.25">
      <c r="C61401"/>
      <c r="M61401"/>
    </row>
    <row r="61402" spans="3:13" ht="12.75" customHeight="1" x14ac:dyDescent="0.25">
      <c r="C61402"/>
      <c r="M61402"/>
    </row>
    <row r="61403" spans="3:13" ht="12.75" customHeight="1" x14ac:dyDescent="0.25">
      <c r="C61403"/>
      <c r="M61403"/>
    </row>
    <row r="61404" spans="3:13" ht="12.75" customHeight="1" x14ac:dyDescent="0.25">
      <c r="C61404"/>
      <c r="M61404"/>
    </row>
    <row r="61405" spans="3:13" ht="12.75" customHeight="1" x14ac:dyDescent="0.25">
      <c r="C61405"/>
      <c r="M61405"/>
    </row>
    <row r="61406" spans="3:13" ht="12.75" customHeight="1" x14ac:dyDescent="0.25">
      <c r="C61406"/>
      <c r="M61406"/>
    </row>
    <row r="61407" spans="3:13" ht="12.75" customHeight="1" x14ac:dyDescent="0.25">
      <c r="C61407"/>
      <c r="M61407"/>
    </row>
    <row r="61408" spans="3:13" ht="12.75" customHeight="1" x14ac:dyDescent="0.25">
      <c r="C61408"/>
      <c r="M61408"/>
    </row>
    <row r="61409" spans="3:13" ht="12.75" customHeight="1" x14ac:dyDescent="0.25">
      <c r="C61409"/>
      <c r="M61409"/>
    </row>
    <row r="61410" spans="3:13" ht="12.75" customHeight="1" x14ac:dyDescent="0.25">
      <c r="C61410"/>
      <c r="M61410"/>
    </row>
    <row r="61413" spans="3:13" ht="12.75" customHeight="1" x14ac:dyDescent="0.25">
      <c r="C61413"/>
      <c r="M61413"/>
    </row>
    <row r="61414" spans="3:13" ht="12.75" customHeight="1" x14ac:dyDescent="0.25">
      <c r="C61414"/>
      <c r="M61414"/>
    </row>
    <row r="61415" spans="3:13" ht="12.75" customHeight="1" x14ac:dyDescent="0.25">
      <c r="C61415"/>
      <c r="M61415"/>
    </row>
    <row r="61416" spans="3:13" ht="12.75" customHeight="1" x14ac:dyDescent="0.25">
      <c r="C61416"/>
      <c r="M61416"/>
    </row>
    <row r="61417" spans="3:13" ht="12.75" customHeight="1" x14ac:dyDescent="0.25">
      <c r="C61417"/>
      <c r="M61417"/>
    </row>
    <row r="61418" spans="3:13" ht="12.75" customHeight="1" x14ac:dyDescent="0.25">
      <c r="C61418"/>
      <c r="M61418"/>
    </row>
    <row r="61419" spans="3:13" ht="12.75" customHeight="1" x14ac:dyDescent="0.25">
      <c r="C61419"/>
      <c r="M61419"/>
    </row>
    <row r="61420" spans="3:13" ht="12.75" customHeight="1" x14ac:dyDescent="0.25">
      <c r="C61420"/>
      <c r="M61420"/>
    </row>
    <row r="61421" spans="3:13" ht="12.75" customHeight="1" x14ac:dyDescent="0.25">
      <c r="C61421"/>
      <c r="M61421"/>
    </row>
    <row r="61422" spans="3:13" ht="12.75" customHeight="1" x14ac:dyDescent="0.25">
      <c r="C61422"/>
      <c r="M61422"/>
    </row>
    <row r="61423" spans="3:13" ht="12.75" customHeight="1" x14ac:dyDescent="0.25">
      <c r="C61423"/>
      <c r="M61423"/>
    </row>
    <row r="61424" spans="3:13" ht="12.75" customHeight="1" x14ac:dyDescent="0.25">
      <c r="C61424"/>
      <c r="M61424"/>
    </row>
    <row r="61425" spans="3:13" ht="12.75" customHeight="1" x14ac:dyDescent="0.25">
      <c r="C61425"/>
      <c r="M61425"/>
    </row>
    <row r="61426" spans="3:13" ht="12.75" customHeight="1" x14ac:dyDescent="0.25">
      <c r="C61426"/>
      <c r="M61426"/>
    </row>
    <row r="61429" spans="3:13" ht="12.75" customHeight="1" x14ac:dyDescent="0.25">
      <c r="C61429"/>
      <c r="M61429"/>
    </row>
    <row r="61430" spans="3:13" ht="12.75" customHeight="1" x14ac:dyDescent="0.25">
      <c r="C61430"/>
      <c r="M61430"/>
    </row>
    <row r="61431" spans="3:13" ht="12.75" customHeight="1" x14ac:dyDescent="0.25">
      <c r="C61431"/>
      <c r="M61431"/>
    </row>
    <row r="61432" spans="3:13" ht="12.75" customHeight="1" x14ac:dyDescent="0.25">
      <c r="C61432"/>
      <c r="M61432"/>
    </row>
    <row r="61433" spans="3:13" ht="12.75" customHeight="1" x14ac:dyDescent="0.25">
      <c r="C61433"/>
      <c r="M61433"/>
    </row>
    <row r="61434" spans="3:13" ht="12.75" customHeight="1" x14ac:dyDescent="0.25">
      <c r="C61434"/>
      <c r="M61434"/>
    </row>
    <row r="61435" spans="3:13" ht="12.75" customHeight="1" x14ac:dyDescent="0.25">
      <c r="C61435"/>
      <c r="M61435"/>
    </row>
    <row r="61436" spans="3:13" ht="12.75" customHeight="1" x14ac:dyDescent="0.25">
      <c r="C61436"/>
      <c r="M61436"/>
    </row>
    <row r="61437" spans="3:13" ht="12.75" customHeight="1" x14ac:dyDescent="0.25">
      <c r="C61437"/>
      <c r="M61437"/>
    </row>
    <row r="61438" spans="3:13" ht="12.75" customHeight="1" x14ac:dyDescent="0.25">
      <c r="C61438"/>
      <c r="M61438"/>
    </row>
    <row r="61439" spans="3:13" ht="12.75" customHeight="1" x14ac:dyDescent="0.25">
      <c r="C61439"/>
      <c r="M61439"/>
    </row>
    <row r="61440" spans="3:13" ht="12.75" customHeight="1" x14ac:dyDescent="0.25">
      <c r="C61440"/>
      <c r="M61440"/>
    </row>
    <row r="61441" spans="3:13" ht="12.75" customHeight="1" x14ac:dyDescent="0.25">
      <c r="C61441"/>
      <c r="M61441"/>
    </row>
    <row r="61442" spans="3:13" ht="12.75" customHeight="1" x14ac:dyDescent="0.25">
      <c r="C61442"/>
      <c r="M61442"/>
    </row>
    <row r="61443" spans="3:13" ht="12.75" customHeight="1" x14ac:dyDescent="0.25">
      <c r="C61443"/>
      <c r="M61443"/>
    </row>
    <row r="61445" spans="3:13" ht="12.75" customHeight="1" x14ac:dyDescent="0.25">
      <c r="C61445"/>
      <c r="M61445"/>
    </row>
    <row r="61446" spans="3:13" ht="12.75" customHeight="1" x14ac:dyDescent="0.25">
      <c r="C61446"/>
      <c r="M61446"/>
    </row>
    <row r="61447" spans="3:13" ht="12.75" customHeight="1" x14ac:dyDescent="0.25">
      <c r="C61447"/>
      <c r="M61447"/>
    </row>
    <row r="61448" spans="3:13" ht="12.75" customHeight="1" x14ac:dyDescent="0.25">
      <c r="C61448"/>
      <c r="M61448"/>
    </row>
    <row r="61449" spans="3:13" ht="12.75" customHeight="1" x14ac:dyDescent="0.25">
      <c r="C61449"/>
      <c r="M61449"/>
    </row>
    <row r="61450" spans="3:13" ht="12.75" customHeight="1" x14ac:dyDescent="0.25">
      <c r="C61450"/>
      <c r="M61450"/>
    </row>
    <row r="61451" spans="3:13" ht="12.75" customHeight="1" x14ac:dyDescent="0.25">
      <c r="C61451"/>
      <c r="M61451"/>
    </row>
    <row r="61452" spans="3:13" ht="12.75" customHeight="1" x14ac:dyDescent="0.25">
      <c r="C61452"/>
      <c r="M61452"/>
    </row>
    <row r="61453" spans="3:13" ht="12.75" customHeight="1" x14ac:dyDescent="0.25">
      <c r="C61453"/>
      <c r="M61453"/>
    </row>
    <row r="61454" spans="3:13" ht="12.75" customHeight="1" x14ac:dyDescent="0.25">
      <c r="C61454"/>
      <c r="M61454"/>
    </row>
    <row r="61455" spans="3:13" ht="12.75" customHeight="1" x14ac:dyDescent="0.25">
      <c r="C61455"/>
      <c r="M61455"/>
    </row>
    <row r="61456" spans="3:13" ht="12.75" customHeight="1" x14ac:dyDescent="0.25">
      <c r="C61456"/>
      <c r="M61456"/>
    </row>
    <row r="61457" spans="3:13" ht="12.75" customHeight="1" x14ac:dyDescent="0.25">
      <c r="C61457"/>
      <c r="M61457"/>
    </row>
    <row r="61458" spans="3:13" ht="12.75" customHeight="1" x14ac:dyDescent="0.25">
      <c r="C61458"/>
      <c r="M61458"/>
    </row>
    <row r="61459" spans="3:13" ht="12.75" customHeight="1" x14ac:dyDescent="0.25">
      <c r="C61459"/>
      <c r="M61459"/>
    </row>
    <row r="61460" spans="3:13" ht="12.75" customHeight="1" x14ac:dyDescent="0.25">
      <c r="C61460"/>
      <c r="M61460"/>
    </row>
    <row r="61461" spans="3:13" ht="12.75" customHeight="1" x14ac:dyDescent="0.25">
      <c r="C61461"/>
      <c r="M61461"/>
    </row>
    <row r="61462" spans="3:13" ht="12.75" customHeight="1" x14ac:dyDescent="0.25">
      <c r="C61462"/>
      <c r="M61462"/>
    </row>
    <row r="61463" spans="3:13" ht="12.75" customHeight="1" x14ac:dyDescent="0.25">
      <c r="C61463"/>
      <c r="M61463"/>
    </row>
    <row r="61464" spans="3:13" ht="12.75" customHeight="1" x14ac:dyDescent="0.25">
      <c r="C61464"/>
      <c r="M61464"/>
    </row>
    <row r="61465" spans="3:13" ht="12.75" customHeight="1" x14ac:dyDescent="0.25">
      <c r="C61465"/>
      <c r="M61465"/>
    </row>
    <row r="61466" spans="3:13" ht="12.75" customHeight="1" x14ac:dyDescent="0.25">
      <c r="C61466"/>
      <c r="M61466"/>
    </row>
    <row r="61467" spans="3:13" ht="12.75" customHeight="1" x14ac:dyDescent="0.25">
      <c r="C61467"/>
      <c r="M61467"/>
    </row>
    <row r="61468" spans="3:13" ht="12.75" customHeight="1" x14ac:dyDescent="0.25">
      <c r="C61468"/>
      <c r="M61468"/>
    </row>
    <row r="61469" spans="3:13" ht="12.75" customHeight="1" x14ac:dyDescent="0.25">
      <c r="C61469"/>
      <c r="M61469"/>
    </row>
    <row r="61470" spans="3:13" ht="12.75" customHeight="1" x14ac:dyDescent="0.25">
      <c r="C61470"/>
      <c r="M61470"/>
    </row>
    <row r="61471" spans="3:13" ht="12.75" customHeight="1" x14ac:dyDescent="0.25">
      <c r="C61471"/>
      <c r="M61471"/>
    </row>
    <row r="61472" spans="3:13" ht="12.75" customHeight="1" x14ac:dyDescent="0.25">
      <c r="C61472"/>
      <c r="M61472"/>
    </row>
    <row r="61473" spans="3:13" ht="12.75" customHeight="1" x14ac:dyDescent="0.25">
      <c r="C61473"/>
      <c r="M61473"/>
    </row>
    <row r="61474" spans="3:13" ht="12.75" customHeight="1" x14ac:dyDescent="0.25">
      <c r="C61474"/>
      <c r="M61474"/>
    </row>
    <row r="61475" spans="3:13" ht="12.75" customHeight="1" x14ac:dyDescent="0.25">
      <c r="C61475"/>
      <c r="M61475"/>
    </row>
    <row r="61476" spans="3:13" ht="12.75" customHeight="1" x14ac:dyDescent="0.25">
      <c r="C61476"/>
      <c r="M61476"/>
    </row>
    <row r="61477" spans="3:13" ht="12.75" customHeight="1" x14ac:dyDescent="0.25">
      <c r="C61477"/>
      <c r="M61477"/>
    </row>
    <row r="61478" spans="3:13" ht="12.75" customHeight="1" x14ac:dyDescent="0.25">
      <c r="C61478"/>
      <c r="M61478"/>
    </row>
    <row r="61479" spans="3:13" ht="12.75" customHeight="1" x14ac:dyDescent="0.25">
      <c r="C61479"/>
      <c r="M61479"/>
    </row>
    <row r="61480" spans="3:13" ht="12.75" customHeight="1" x14ac:dyDescent="0.25">
      <c r="C61480"/>
      <c r="M61480"/>
    </row>
    <row r="61481" spans="3:13" ht="12.75" customHeight="1" x14ac:dyDescent="0.25">
      <c r="C61481"/>
      <c r="M61481"/>
    </row>
    <row r="61482" spans="3:13" ht="12.75" customHeight="1" x14ac:dyDescent="0.25">
      <c r="C61482"/>
      <c r="M61482"/>
    </row>
    <row r="61483" spans="3:13" ht="12.75" customHeight="1" x14ac:dyDescent="0.25">
      <c r="C61483"/>
      <c r="M61483"/>
    </row>
    <row r="61484" spans="3:13" ht="12.75" customHeight="1" x14ac:dyDescent="0.25">
      <c r="C61484"/>
      <c r="M61484"/>
    </row>
    <row r="61485" spans="3:13" ht="12.75" customHeight="1" x14ac:dyDescent="0.25">
      <c r="C61485"/>
      <c r="M61485"/>
    </row>
    <row r="61486" spans="3:13" ht="12.75" customHeight="1" x14ac:dyDescent="0.25">
      <c r="C61486"/>
      <c r="M61486"/>
    </row>
    <row r="61487" spans="3:13" ht="12.75" customHeight="1" x14ac:dyDescent="0.25">
      <c r="C61487"/>
      <c r="M61487"/>
    </row>
    <row r="61488" spans="3:13" ht="12.75" customHeight="1" x14ac:dyDescent="0.25">
      <c r="C61488"/>
      <c r="M61488"/>
    </row>
    <row r="61489" spans="3:13" ht="12.75" customHeight="1" x14ac:dyDescent="0.25">
      <c r="C61489"/>
      <c r="M61489"/>
    </row>
    <row r="61490" spans="3:13" ht="12.75" customHeight="1" x14ac:dyDescent="0.25">
      <c r="C61490"/>
      <c r="M61490"/>
    </row>
    <row r="61491" spans="3:13" ht="12.75" customHeight="1" x14ac:dyDescent="0.25">
      <c r="C61491"/>
      <c r="M61491"/>
    </row>
    <row r="61492" spans="3:13" ht="12.75" customHeight="1" x14ac:dyDescent="0.25">
      <c r="C61492"/>
      <c r="M61492"/>
    </row>
    <row r="61493" spans="3:13" ht="12.75" customHeight="1" x14ac:dyDescent="0.25">
      <c r="C61493"/>
      <c r="M61493"/>
    </row>
    <row r="61494" spans="3:13" ht="12.75" customHeight="1" x14ac:dyDescent="0.25">
      <c r="C61494"/>
      <c r="M61494"/>
    </row>
    <row r="61495" spans="3:13" ht="12.75" customHeight="1" x14ac:dyDescent="0.25">
      <c r="C61495"/>
      <c r="M61495"/>
    </row>
    <row r="61496" spans="3:13" ht="12.75" customHeight="1" x14ac:dyDescent="0.25">
      <c r="C61496"/>
      <c r="M61496"/>
    </row>
    <row r="61497" spans="3:13" ht="12.75" customHeight="1" x14ac:dyDescent="0.25">
      <c r="C61497"/>
      <c r="M61497"/>
    </row>
    <row r="61498" spans="3:13" ht="12.75" customHeight="1" x14ac:dyDescent="0.25">
      <c r="C61498"/>
      <c r="M61498"/>
    </row>
    <row r="61499" spans="3:13" ht="12.75" customHeight="1" x14ac:dyDescent="0.25">
      <c r="C61499"/>
      <c r="M61499"/>
    </row>
    <row r="61500" spans="3:13" ht="12.75" customHeight="1" x14ac:dyDescent="0.25">
      <c r="C61500"/>
      <c r="M61500"/>
    </row>
    <row r="61501" spans="3:13" ht="12.75" customHeight="1" x14ac:dyDescent="0.25">
      <c r="C61501"/>
      <c r="M61501"/>
    </row>
    <row r="61502" spans="3:13" ht="12.75" customHeight="1" x14ac:dyDescent="0.25">
      <c r="C61502"/>
      <c r="M61502"/>
    </row>
    <row r="61503" spans="3:13" ht="12.75" customHeight="1" x14ac:dyDescent="0.25">
      <c r="C61503"/>
      <c r="M61503"/>
    </row>
    <row r="61504" spans="3:13" ht="12.75" customHeight="1" x14ac:dyDescent="0.25">
      <c r="C61504"/>
      <c r="M61504"/>
    </row>
    <row r="61505" spans="3:13" ht="12.75" customHeight="1" x14ac:dyDescent="0.25">
      <c r="C61505"/>
      <c r="M61505"/>
    </row>
    <row r="61506" spans="3:13" ht="12.75" customHeight="1" x14ac:dyDescent="0.25">
      <c r="C61506"/>
      <c r="M61506"/>
    </row>
    <row r="61507" spans="3:13" ht="12.75" customHeight="1" x14ac:dyDescent="0.25">
      <c r="C61507"/>
      <c r="M61507"/>
    </row>
    <row r="61508" spans="3:13" ht="12.75" customHeight="1" x14ac:dyDescent="0.25">
      <c r="C61508"/>
      <c r="M61508"/>
    </row>
    <row r="61509" spans="3:13" ht="12.75" customHeight="1" x14ac:dyDescent="0.25">
      <c r="C61509"/>
      <c r="M61509"/>
    </row>
    <row r="61510" spans="3:13" ht="12.75" customHeight="1" x14ac:dyDescent="0.25">
      <c r="C61510"/>
      <c r="M61510"/>
    </row>
    <row r="61511" spans="3:13" ht="12.75" customHeight="1" x14ac:dyDescent="0.25">
      <c r="C61511"/>
      <c r="M61511"/>
    </row>
    <row r="61512" spans="3:13" ht="12.75" customHeight="1" x14ac:dyDescent="0.25">
      <c r="C61512"/>
      <c r="M61512"/>
    </row>
    <row r="61513" spans="3:13" ht="12.75" customHeight="1" x14ac:dyDescent="0.25">
      <c r="C61513"/>
      <c r="M61513"/>
    </row>
    <row r="61514" spans="3:13" ht="12.75" customHeight="1" x14ac:dyDescent="0.25">
      <c r="C61514"/>
      <c r="M61514"/>
    </row>
    <row r="61515" spans="3:13" ht="12.75" customHeight="1" x14ac:dyDescent="0.25">
      <c r="C61515"/>
      <c r="M61515"/>
    </row>
    <row r="61516" spans="3:13" ht="12.75" customHeight="1" x14ac:dyDescent="0.25">
      <c r="C61516"/>
      <c r="M61516"/>
    </row>
    <row r="61517" spans="3:13" ht="12.75" customHeight="1" x14ac:dyDescent="0.25">
      <c r="C61517"/>
      <c r="M61517"/>
    </row>
    <row r="61518" spans="3:13" ht="12.75" customHeight="1" x14ac:dyDescent="0.25">
      <c r="C61518"/>
      <c r="M61518"/>
    </row>
    <row r="61519" spans="3:13" ht="12.75" customHeight="1" x14ac:dyDescent="0.25">
      <c r="C61519"/>
      <c r="M61519"/>
    </row>
    <row r="61520" spans="3:13" ht="12.75" customHeight="1" x14ac:dyDescent="0.25">
      <c r="C61520"/>
      <c r="M61520"/>
    </row>
    <row r="61521" spans="3:13" ht="12.75" customHeight="1" x14ac:dyDescent="0.25">
      <c r="C61521"/>
      <c r="M61521"/>
    </row>
    <row r="61522" spans="3:13" ht="12.75" customHeight="1" x14ac:dyDescent="0.25">
      <c r="C61522"/>
      <c r="M61522"/>
    </row>
    <row r="61523" spans="3:13" ht="12.75" customHeight="1" x14ac:dyDescent="0.25">
      <c r="C61523"/>
      <c r="M61523"/>
    </row>
    <row r="61524" spans="3:13" ht="12.75" customHeight="1" x14ac:dyDescent="0.25">
      <c r="C61524"/>
      <c r="M61524"/>
    </row>
    <row r="61525" spans="3:13" ht="12.75" customHeight="1" x14ac:dyDescent="0.25">
      <c r="C61525"/>
      <c r="M61525"/>
    </row>
    <row r="61526" spans="3:13" ht="12.75" customHeight="1" x14ac:dyDescent="0.25">
      <c r="C61526"/>
      <c r="M61526"/>
    </row>
    <row r="61527" spans="3:13" ht="12.75" customHeight="1" x14ac:dyDescent="0.25">
      <c r="C61527"/>
      <c r="M61527"/>
    </row>
    <row r="61528" spans="3:13" ht="12.75" customHeight="1" x14ac:dyDescent="0.25">
      <c r="C61528"/>
      <c r="M61528"/>
    </row>
    <row r="61529" spans="3:13" ht="12.75" customHeight="1" x14ac:dyDescent="0.25">
      <c r="C61529"/>
      <c r="M61529"/>
    </row>
    <row r="61530" spans="3:13" ht="12.75" customHeight="1" x14ac:dyDescent="0.25">
      <c r="C61530"/>
      <c r="M61530"/>
    </row>
    <row r="61531" spans="3:13" ht="12.75" customHeight="1" x14ac:dyDescent="0.25">
      <c r="C61531"/>
      <c r="M61531"/>
    </row>
    <row r="61532" spans="3:13" ht="12.75" customHeight="1" x14ac:dyDescent="0.25">
      <c r="C61532"/>
      <c r="M61532"/>
    </row>
    <row r="61533" spans="3:13" ht="12.75" customHeight="1" x14ac:dyDescent="0.25">
      <c r="C61533"/>
      <c r="M61533"/>
    </row>
    <row r="61534" spans="3:13" ht="12.75" customHeight="1" x14ac:dyDescent="0.25">
      <c r="C61534"/>
      <c r="M61534"/>
    </row>
    <row r="61535" spans="3:13" ht="12.75" customHeight="1" x14ac:dyDescent="0.25">
      <c r="C61535"/>
      <c r="M61535"/>
    </row>
    <row r="61536" spans="3:13" ht="12.75" customHeight="1" x14ac:dyDescent="0.25">
      <c r="C61536"/>
      <c r="M61536"/>
    </row>
    <row r="61537" spans="3:13" ht="12.75" customHeight="1" x14ac:dyDescent="0.25">
      <c r="C61537"/>
      <c r="M61537"/>
    </row>
    <row r="61538" spans="3:13" ht="12.75" customHeight="1" x14ac:dyDescent="0.25">
      <c r="C61538"/>
      <c r="M61538"/>
    </row>
    <row r="61539" spans="3:13" ht="12.75" customHeight="1" x14ac:dyDescent="0.25">
      <c r="C61539"/>
      <c r="M61539"/>
    </row>
    <row r="61540" spans="3:13" ht="12.75" customHeight="1" x14ac:dyDescent="0.25">
      <c r="C61540"/>
      <c r="M61540"/>
    </row>
    <row r="61541" spans="3:13" ht="12.75" customHeight="1" x14ac:dyDescent="0.25">
      <c r="C61541"/>
      <c r="M61541"/>
    </row>
    <row r="61542" spans="3:13" ht="12.75" customHeight="1" x14ac:dyDescent="0.25">
      <c r="C61542"/>
      <c r="M61542"/>
    </row>
    <row r="61543" spans="3:13" ht="12.75" customHeight="1" x14ac:dyDescent="0.25">
      <c r="C61543"/>
      <c r="M61543"/>
    </row>
    <row r="61544" spans="3:13" ht="12.75" customHeight="1" x14ac:dyDescent="0.25">
      <c r="C61544"/>
      <c r="M61544"/>
    </row>
    <row r="61545" spans="3:13" ht="12.75" customHeight="1" x14ac:dyDescent="0.25">
      <c r="C61545"/>
      <c r="M61545"/>
    </row>
    <row r="61546" spans="3:13" ht="12.75" customHeight="1" x14ac:dyDescent="0.25">
      <c r="C61546"/>
      <c r="M61546"/>
    </row>
    <row r="61547" spans="3:13" ht="12.75" customHeight="1" x14ac:dyDescent="0.25">
      <c r="C61547"/>
      <c r="M61547"/>
    </row>
    <row r="61548" spans="3:13" ht="12.75" customHeight="1" x14ac:dyDescent="0.25">
      <c r="C61548"/>
      <c r="M61548"/>
    </row>
    <row r="61549" spans="3:13" ht="12.75" customHeight="1" x14ac:dyDescent="0.25">
      <c r="C61549"/>
      <c r="M61549"/>
    </row>
    <row r="61550" spans="3:13" ht="12.75" customHeight="1" x14ac:dyDescent="0.25">
      <c r="C61550"/>
      <c r="M61550"/>
    </row>
    <row r="61551" spans="3:13" ht="12.75" customHeight="1" x14ac:dyDescent="0.25">
      <c r="C61551"/>
      <c r="M61551"/>
    </row>
    <row r="61552" spans="3:13" ht="12.75" customHeight="1" x14ac:dyDescent="0.25">
      <c r="C61552"/>
      <c r="M61552"/>
    </row>
    <row r="61553" spans="3:13" ht="12.75" customHeight="1" x14ac:dyDescent="0.25">
      <c r="C61553"/>
      <c r="M61553"/>
    </row>
    <row r="61554" spans="3:13" ht="12.75" customHeight="1" x14ac:dyDescent="0.25">
      <c r="C61554"/>
      <c r="M61554"/>
    </row>
    <row r="61555" spans="3:13" ht="12.75" customHeight="1" x14ac:dyDescent="0.25">
      <c r="C61555"/>
      <c r="M61555"/>
    </row>
    <row r="61556" spans="3:13" ht="12.75" customHeight="1" x14ac:dyDescent="0.25">
      <c r="C61556"/>
      <c r="M61556"/>
    </row>
    <row r="61557" spans="3:13" ht="12.75" customHeight="1" x14ac:dyDescent="0.25">
      <c r="C61557"/>
      <c r="M61557"/>
    </row>
    <row r="61558" spans="3:13" ht="12.75" customHeight="1" x14ac:dyDescent="0.25">
      <c r="C61558"/>
      <c r="M61558"/>
    </row>
    <row r="61559" spans="3:13" ht="12.75" customHeight="1" x14ac:dyDescent="0.25">
      <c r="C61559"/>
      <c r="M61559"/>
    </row>
    <row r="61560" spans="3:13" ht="12.75" customHeight="1" x14ac:dyDescent="0.25">
      <c r="C61560"/>
      <c r="M61560"/>
    </row>
    <row r="61561" spans="3:13" ht="12.75" customHeight="1" x14ac:dyDescent="0.25">
      <c r="C61561"/>
      <c r="M61561"/>
    </row>
    <row r="61562" spans="3:13" ht="12.75" customHeight="1" x14ac:dyDescent="0.25">
      <c r="C61562"/>
      <c r="M61562"/>
    </row>
    <row r="61563" spans="3:13" ht="12.75" customHeight="1" x14ac:dyDescent="0.25">
      <c r="C61563"/>
      <c r="M61563"/>
    </row>
    <row r="61564" spans="3:13" ht="12.75" customHeight="1" x14ac:dyDescent="0.25">
      <c r="C61564"/>
      <c r="M61564"/>
    </row>
    <row r="61565" spans="3:13" ht="12.75" customHeight="1" x14ac:dyDescent="0.25">
      <c r="C61565"/>
      <c r="M61565"/>
    </row>
    <row r="61566" spans="3:13" ht="12.75" customHeight="1" x14ac:dyDescent="0.25">
      <c r="C61566"/>
      <c r="M61566"/>
    </row>
    <row r="61567" spans="3:13" ht="12.75" customHeight="1" x14ac:dyDescent="0.25">
      <c r="C61567"/>
      <c r="M61567"/>
    </row>
    <row r="61568" spans="3:13" ht="12.75" customHeight="1" x14ac:dyDescent="0.25">
      <c r="C61568"/>
      <c r="M61568"/>
    </row>
    <row r="61569" spans="3:13" ht="12.75" customHeight="1" x14ac:dyDescent="0.25">
      <c r="C61569"/>
      <c r="M61569"/>
    </row>
    <row r="61570" spans="3:13" ht="12.75" customHeight="1" x14ac:dyDescent="0.25">
      <c r="C61570"/>
      <c r="M61570"/>
    </row>
    <row r="61571" spans="3:13" ht="12.75" customHeight="1" x14ac:dyDescent="0.25">
      <c r="C61571"/>
      <c r="M61571"/>
    </row>
    <row r="61572" spans="3:13" ht="12.75" customHeight="1" x14ac:dyDescent="0.25">
      <c r="C61572"/>
      <c r="M61572"/>
    </row>
    <row r="61573" spans="3:13" ht="12.75" customHeight="1" x14ac:dyDescent="0.25">
      <c r="C61573"/>
      <c r="M61573"/>
    </row>
    <row r="61574" spans="3:13" ht="12.75" customHeight="1" x14ac:dyDescent="0.25">
      <c r="C61574"/>
      <c r="M61574"/>
    </row>
    <row r="61575" spans="3:13" ht="12.75" customHeight="1" x14ac:dyDescent="0.25">
      <c r="C61575"/>
      <c r="M61575"/>
    </row>
    <row r="61576" spans="3:13" ht="12.75" customHeight="1" x14ac:dyDescent="0.25">
      <c r="C61576"/>
      <c r="M61576"/>
    </row>
    <row r="61577" spans="3:13" ht="12.75" customHeight="1" x14ac:dyDescent="0.25">
      <c r="C61577"/>
      <c r="M61577"/>
    </row>
    <row r="61578" spans="3:13" ht="12.75" customHeight="1" x14ac:dyDescent="0.25">
      <c r="C61578"/>
      <c r="M61578"/>
    </row>
    <row r="61579" spans="3:13" ht="12.75" customHeight="1" x14ac:dyDescent="0.25">
      <c r="C61579"/>
      <c r="M61579"/>
    </row>
    <row r="61580" spans="3:13" ht="12.75" customHeight="1" x14ac:dyDescent="0.25">
      <c r="C61580"/>
      <c r="M61580"/>
    </row>
    <row r="61581" spans="3:13" ht="12.75" customHeight="1" x14ac:dyDescent="0.25">
      <c r="C61581"/>
      <c r="M61581"/>
    </row>
    <row r="61582" spans="3:13" ht="12.75" customHeight="1" x14ac:dyDescent="0.25">
      <c r="C61582"/>
      <c r="M61582"/>
    </row>
    <row r="61583" spans="3:13" ht="12.75" customHeight="1" x14ac:dyDescent="0.25">
      <c r="C61583"/>
      <c r="M61583"/>
    </row>
    <row r="61584" spans="3:13" ht="12.75" customHeight="1" x14ac:dyDescent="0.25">
      <c r="C61584"/>
      <c r="M61584"/>
    </row>
    <row r="61585" spans="3:13" ht="12.75" customHeight="1" x14ac:dyDescent="0.25">
      <c r="C61585"/>
      <c r="M61585"/>
    </row>
    <row r="61586" spans="3:13" ht="12.75" customHeight="1" x14ac:dyDescent="0.25">
      <c r="C61586"/>
      <c r="M61586"/>
    </row>
    <row r="61587" spans="3:13" ht="12.75" customHeight="1" x14ac:dyDescent="0.25">
      <c r="C61587"/>
      <c r="M61587"/>
    </row>
    <row r="61588" spans="3:13" ht="12.75" customHeight="1" x14ac:dyDescent="0.25">
      <c r="C61588"/>
      <c r="M61588"/>
    </row>
    <row r="61589" spans="3:13" ht="12.75" customHeight="1" x14ac:dyDescent="0.25">
      <c r="C61589"/>
      <c r="M61589"/>
    </row>
    <row r="61590" spans="3:13" ht="12.75" customHeight="1" x14ac:dyDescent="0.25">
      <c r="C61590"/>
      <c r="M61590"/>
    </row>
    <row r="61591" spans="3:13" ht="12.75" customHeight="1" x14ac:dyDescent="0.25">
      <c r="C61591"/>
      <c r="M61591"/>
    </row>
    <row r="61592" spans="3:13" ht="12.75" customHeight="1" x14ac:dyDescent="0.25">
      <c r="C61592"/>
      <c r="M61592"/>
    </row>
    <row r="61593" spans="3:13" ht="12.75" customHeight="1" x14ac:dyDescent="0.25">
      <c r="C61593"/>
      <c r="M61593"/>
    </row>
    <row r="61594" spans="3:13" ht="12.75" customHeight="1" x14ac:dyDescent="0.25">
      <c r="C61594"/>
      <c r="M61594"/>
    </row>
    <row r="61595" spans="3:13" ht="12.75" customHeight="1" x14ac:dyDescent="0.25">
      <c r="C61595"/>
      <c r="M61595"/>
    </row>
    <row r="61596" spans="3:13" ht="12.75" customHeight="1" x14ac:dyDescent="0.25">
      <c r="C61596"/>
      <c r="M61596"/>
    </row>
    <row r="61597" spans="3:13" ht="12.75" customHeight="1" x14ac:dyDescent="0.25">
      <c r="C61597"/>
      <c r="M61597"/>
    </row>
    <row r="61598" spans="3:13" ht="12.75" customHeight="1" x14ac:dyDescent="0.25">
      <c r="C61598"/>
      <c r="M61598"/>
    </row>
    <row r="61599" spans="3:13" ht="12.75" customHeight="1" x14ac:dyDescent="0.25">
      <c r="C61599"/>
      <c r="M61599"/>
    </row>
    <row r="61600" spans="3:13" ht="12.75" customHeight="1" x14ac:dyDescent="0.25">
      <c r="C61600"/>
      <c r="M61600"/>
    </row>
    <row r="61601" spans="3:13" ht="12.75" customHeight="1" x14ac:dyDescent="0.25">
      <c r="C61601"/>
      <c r="M61601"/>
    </row>
    <row r="61602" spans="3:13" ht="12.75" customHeight="1" x14ac:dyDescent="0.25">
      <c r="C61602"/>
      <c r="M61602"/>
    </row>
    <row r="61603" spans="3:13" ht="12.75" customHeight="1" x14ac:dyDescent="0.25">
      <c r="C61603"/>
      <c r="M61603"/>
    </row>
    <row r="61604" spans="3:13" ht="12.75" customHeight="1" x14ac:dyDescent="0.25">
      <c r="C61604"/>
      <c r="M61604"/>
    </row>
    <row r="61605" spans="3:13" ht="12.75" customHeight="1" x14ac:dyDescent="0.25">
      <c r="C61605"/>
      <c r="M61605"/>
    </row>
    <row r="61606" spans="3:13" ht="12.75" customHeight="1" x14ac:dyDescent="0.25">
      <c r="C61606"/>
      <c r="M61606"/>
    </row>
    <row r="61607" spans="3:13" ht="12.75" customHeight="1" x14ac:dyDescent="0.25">
      <c r="C61607"/>
      <c r="M61607"/>
    </row>
    <row r="61608" spans="3:13" ht="12.75" customHeight="1" x14ac:dyDescent="0.25">
      <c r="C61608"/>
      <c r="M61608"/>
    </row>
    <row r="61609" spans="3:13" ht="12.75" customHeight="1" x14ac:dyDescent="0.25">
      <c r="C61609"/>
      <c r="M61609"/>
    </row>
    <row r="61610" spans="3:13" ht="12.75" customHeight="1" x14ac:dyDescent="0.25">
      <c r="C61610"/>
      <c r="M61610"/>
    </row>
    <row r="61611" spans="3:13" ht="12.75" customHeight="1" x14ac:dyDescent="0.25">
      <c r="C61611"/>
      <c r="M61611"/>
    </row>
    <row r="61612" spans="3:13" ht="12.75" customHeight="1" x14ac:dyDescent="0.25">
      <c r="C61612"/>
      <c r="M61612"/>
    </row>
    <row r="61613" spans="3:13" ht="12.75" customHeight="1" x14ac:dyDescent="0.25">
      <c r="C61613"/>
      <c r="M61613"/>
    </row>
    <row r="61614" spans="3:13" ht="12.75" customHeight="1" x14ac:dyDescent="0.25">
      <c r="C61614"/>
      <c r="M61614"/>
    </row>
    <row r="61615" spans="3:13" ht="12.75" customHeight="1" x14ac:dyDescent="0.25">
      <c r="C61615"/>
      <c r="M61615"/>
    </row>
    <row r="61616" spans="3:13" ht="12.75" customHeight="1" x14ac:dyDescent="0.25">
      <c r="C61616"/>
      <c r="M61616"/>
    </row>
    <row r="61617" spans="3:13" ht="12.75" customHeight="1" x14ac:dyDescent="0.25">
      <c r="C61617"/>
      <c r="M61617"/>
    </row>
    <row r="61618" spans="3:13" ht="12.75" customHeight="1" x14ac:dyDescent="0.25">
      <c r="C61618"/>
      <c r="M61618"/>
    </row>
    <row r="61619" spans="3:13" ht="12.75" customHeight="1" x14ac:dyDescent="0.25">
      <c r="C61619"/>
      <c r="M61619"/>
    </row>
    <row r="61620" spans="3:13" ht="12.75" customHeight="1" x14ac:dyDescent="0.25">
      <c r="C61620"/>
      <c r="M61620"/>
    </row>
    <row r="61621" spans="3:13" ht="12.75" customHeight="1" x14ac:dyDescent="0.25">
      <c r="C61621"/>
      <c r="M61621"/>
    </row>
    <row r="61622" spans="3:13" ht="12.75" customHeight="1" x14ac:dyDescent="0.25">
      <c r="C61622"/>
      <c r="M61622"/>
    </row>
    <row r="61623" spans="3:13" ht="12.75" customHeight="1" x14ac:dyDescent="0.25">
      <c r="C61623"/>
      <c r="M61623"/>
    </row>
    <row r="61624" spans="3:13" ht="12.75" customHeight="1" x14ac:dyDescent="0.25">
      <c r="C61624"/>
      <c r="M61624"/>
    </row>
    <row r="61625" spans="3:13" ht="12.75" customHeight="1" x14ac:dyDescent="0.25">
      <c r="C61625"/>
      <c r="M61625"/>
    </row>
    <row r="61626" spans="3:13" ht="12.75" customHeight="1" x14ac:dyDescent="0.25">
      <c r="C61626"/>
      <c r="M61626"/>
    </row>
    <row r="61627" spans="3:13" ht="12.75" customHeight="1" x14ac:dyDescent="0.25">
      <c r="C61627"/>
      <c r="M61627"/>
    </row>
    <row r="61628" spans="3:13" ht="12.75" customHeight="1" x14ac:dyDescent="0.25">
      <c r="C61628"/>
      <c r="M61628"/>
    </row>
    <row r="61629" spans="3:13" ht="12.75" customHeight="1" x14ac:dyDescent="0.25">
      <c r="C61629"/>
      <c r="M61629"/>
    </row>
    <row r="61630" spans="3:13" ht="12.75" customHeight="1" x14ac:dyDescent="0.25">
      <c r="C61630"/>
      <c r="M61630"/>
    </row>
    <row r="61631" spans="3:13" ht="12.75" customHeight="1" x14ac:dyDescent="0.25">
      <c r="C61631"/>
      <c r="M61631"/>
    </row>
    <row r="61632" spans="3:13" ht="12.75" customHeight="1" x14ac:dyDescent="0.25">
      <c r="C61632"/>
      <c r="M61632"/>
    </row>
    <row r="61633" spans="3:13" ht="12.75" customHeight="1" x14ac:dyDescent="0.25">
      <c r="C61633"/>
      <c r="M61633"/>
    </row>
    <row r="61634" spans="3:13" ht="12.75" customHeight="1" x14ac:dyDescent="0.25">
      <c r="C61634"/>
      <c r="M61634"/>
    </row>
    <row r="61635" spans="3:13" ht="12.75" customHeight="1" x14ac:dyDescent="0.25">
      <c r="C61635"/>
      <c r="M61635"/>
    </row>
    <row r="61636" spans="3:13" ht="12.75" customHeight="1" x14ac:dyDescent="0.25">
      <c r="C61636"/>
      <c r="M61636"/>
    </row>
    <row r="61637" spans="3:13" ht="12.75" customHeight="1" x14ac:dyDescent="0.25">
      <c r="C61637"/>
      <c r="M61637"/>
    </row>
    <row r="61638" spans="3:13" ht="12.75" customHeight="1" x14ac:dyDescent="0.25">
      <c r="C61638"/>
      <c r="M61638"/>
    </row>
    <row r="61639" spans="3:13" ht="12.75" customHeight="1" x14ac:dyDescent="0.25">
      <c r="C61639"/>
      <c r="M61639"/>
    </row>
    <row r="61640" spans="3:13" ht="12.75" customHeight="1" x14ac:dyDescent="0.25">
      <c r="C61640"/>
      <c r="M61640"/>
    </row>
    <row r="61641" spans="3:13" ht="12.75" customHeight="1" x14ac:dyDescent="0.25">
      <c r="C61641"/>
      <c r="M61641"/>
    </row>
    <row r="61642" spans="3:13" ht="12.75" customHeight="1" x14ac:dyDescent="0.25">
      <c r="C61642"/>
      <c r="M61642"/>
    </row>
    <row r="61643" spans="3:13" ht="12.75" customHeight="1" x14ac:dyDescent="0.25">
      <c r="C61643"/>
      <c r="M61643"/>
    </row>
    <row r="61644" spans="3:13" ht="12.75" customHeight="1" x14ac:dyDescent="0.25">
      <c r="C61644"/>
      <c r="M61644"/>
    </row>
    <row r="61645" spans="3:13" ht="12.75" customHeight="1" x14ac:dyDescent="0.25">
      <c r="C61645"/>
      <c r="M61645"/>
    </row>
    <row r="61646" spans="3:13" ht="12.75" customHeight="1" x14ac:dyDescent="0.25">
      <c r="C61646"/>
      <c r="M61646"/>
    </row>
    <row r="61647" spans="3:13" ht="12.75" customHeight="1" x14ac:dyDescent="0.25">
      <c r="C61647"/>
      <c r="M61647"/>
    </row>
    <row r="61648" spans="3:13" ht="12.75" customHeight="1" x14ac:dyDescent="0.25">
      <c r="C61648"/>
      <c r="M61648"/>
    </row>
    <row r="61649" spans="3:13" ht="12.75" customHeight="1" x14ac:dyDescent="0.25">
      <c r="C61649"/>
      <c r="M61649"/>
    </row>
    <row r="61650" spans="3:13" ht="12.75" customHeight="1" x14ac:dyDescent="0.25">
      <c r="C61650"/>
      <c r="M61650"/>
    </row>
    <row r="61651" spans="3:13" ht="12.75" customHeight="1" x14ac:dyDescent="0.25">
      <c r="C61651"/>
      <c r="M61651"/>
    </row>
    <row r="61652" spans="3:13" ht="12.75" customHeight="1" x14ac:dyDescent="0.25">
      <c r="C61652"/>
      <c r="M61652"/>
    </row>
    <row r="61653" spans="3:13" ht="12.75" customHeight="1" x14ac:dyDescent="0.25">
      <c r="C61653"/>
      <c r="M61653"/>
    </row>
    <row r="61654" spans="3:13" ht="12.75" customHeight="1" x14ac:dyDescent="0.25">
      <c r="C61654"/>
      <c r="M61654"/>
    </row>
    <row r="61655" spans="3:13" ht="12.75" customHeight="1" x14ac:dyDescent="0.25">
      <c r="C61655"/>
      <c r="M61655"/>
    </row>
    <row r="61656" spans="3:13" ht="12.75" customHeight="1" x14ac:dyDescent="0.25">
      <c r="C61656"/>
      <c r="M61656"/>
    </row>
    <row r="61657" spans="3:13" ht="12.75" customHeight="1" x14ac:dyDescent="0.25">
      <c r="C61657"/>
      <c r="M61657"/>
    </row>
    <row r="61658" spans="3:13" ht="12.75" customHeight="1" x14ac:dyDescent="0.25">
      <c r="C61658"/>
      <c r="M61658"/>
    </row>
    <row r="61659" spans="3:13" ht="12.75" customHeight="1" x14ac:dyDescent="0.25">
      <c r="C61659"/>
      <c r="M61659"/>
    </row>
    <row r="61660" spans="3:13" ht="12.75" customHeight="1" x14ac:dyDescent="0.25">
      <c r="C61660"/>
      <c r="M61660"/>
    </row>
    <row r="61661" spans="3:13" ht="12.75" customHeight="1" x14ac:dyDescent="0.25">
      <c r="C61661"/>
      <c r="M61661"/>
    </row>
    <row r="61662" spans="3:13" ht="12.75" customHeight="1" x14ac:dyDescent="0.25">
      <c r="C61662"/>
      <c r="M61662"/>
    </row>
    <row r="61663" spans="3:13" ht="12.75" customHeight="1" x14ac:dyDescent="0.25">
      <c r="C61663"/>
      <c r="M61663"/>
    </row>
    <row r="61664" spans="3:13" ht="12.75" customHeight="1" x14ac:dyDescent="0.25">
      <c r="C61664"/>
      <c r="M61664"/>
    </row>
    <row r="61665" spans="3:13" ht="12.75" customHeight="1" x14ac:dyDescent="0.25">
      <c r="C61665"/>
      <c r="M61665"/>
    </row>
    <row r="61666" spans="3:13" ht="12.75" customHeight="1" x14ac:dyDescent="0.25">
      <c r="C61666"/>
      <c r="M61666"/>
    </row>
    <row r="61667" spans="3:13" ht="12.75" customHeight="1" x14ac:dyDescent="0.25">
      <c r="C61667"/>
      <c r="M61667"/>
    </row>
    <row r="61668" spans="3:13" ht="12.75" customHeight="1" x14ac:dyDescent="0.25">
      <c r="C61668"/>
      <c r="M61668"/>
    </row>
    <row r="61669" spans="3:13" ht="12.75" customHeight="1" x14ac:dyDescent="0.25">
      <c r="C61669"/>
      <c r="M61669"/>
    </row>
    <row r="61670" spans="3:13" ht="12.75" customHeight="1" x14ac:dyDescent="0.25">
      <c r="C61670"/>
      <c r="M61670"/>
    </row>
    <row r="61671" spans="3:13" ht="12.75" customHeight="1" x14ac:dyDescent="0.25">
      <c r="C61671"/>
      <c r="M61671"/>
    </row>
    <row r="61672" spans="3:13" ht="12.75" customHeight="1" x14ac:dyDescent="0.25">
      <c r="C61672"/>
      <c r="M61672"/>
    </row>
    <row r="61673" spans="3:13" ht="12.75" customHeight="1" x14ac:dyDescent="0.25">
      <c r="C61673"/>
      <c r="M61673"/>
    </row>
    <row r="61674" spans="3:13" ht="12.75" customHeight="1" x14ac:dyDescent="0.25">
      <c r="C61674"/>
      <c r="M61674"/>
    </row>
    <row r="61675" spans="3:13" ht="12.75" customHeight="1" x14ac:dyDescent="0.25">
      <c r="C61675"/>
      <c r="M61675"/>
    </row>
    <row r="61676" spans="3:13" ht="12.75" customHeight="1" x14ac:dyDescent="0.25">
      <c r="C61676"/>
      <c r="M61676"/>
    </row>
    <row r="61677" spans="3:13" ht="12.75" customHeight="1" x14ac:dyDescent="0.25">
      <c r="C61677"/>
      <c r="M61677"/>
    </row>
    <row r="61678" spans="3:13" ht="12.75" customHeight="1" x14ac:dyDescent="0.25">
      <c r="C61678"/>
      <c r="M61678"/>
    </row>
    <row r="61679" spans="3:13" ht="12.75" customHeight="1" x14ac:dyDescent="0.25">
      <c r="C61679"/>
      <c r="M61679"/>
    </row>
    <row r="61680" spans="3:13" ht="12.75" customHeight="1" x14ac:dyDescent="0.25">
      <c r="C61680"/>
      <c r="M61680"/>
    </row>
    <row r="61681" spans="3:13" ht="12.75" customHeight="1" x14ac:dyDescent="0.25">
      <c r="C61681"/>
      <c r="M61681"/>
    </row>
    <row r="61682" spans="3:13" ht="12.75" customHeight="1" x14ac:dyDescent="0.25">
      <c r="C61682"/>
      <c r="M61682"/>
    </row>
    <row r="61683" spans="3:13" ht="12.75" customHeight="1" x14ac:dyDescent="0.25">
      <c r="C61683"/>
      <c r="M61683"/>
    </row>
    <row r="61684" spans="3:13" ht="12.75" customHeight="1" x14ac:dyDescent="0.25">
      <c r="C61684"/>
      <c r="M61684"/>
    </row>
    <row r="61685" spans="3:13" ht="12.75" customHeight="1" x14ac:dyDescent="0.25">
      <c r="C61685"/>
      <c r="M61685"/>
    </row>
    <row r="61686" spans="3:13" ht="12.75" customHeight="1" x14ac:dyDescent="0.25">
      <c r="C61686"/>
      <c r="M61686"/>
    </row>
    <row r="61687" spans="3:13" ht="12.75" customHeight="1" x14ac:dyDescent="0.25">
      <c r="C61687"/>
      <c r="M61687"/>
    </row>
    <row r="61688" spans="3:13" ht="12.75" customHeight="1" x14ac:dyDescent="0.25">
      <c r="C61688"/>
      <c r="M61688"/>
    </row>
    <row r="61689" spans="3:13" ht="12.75" customHeight="1" x14ac:dyDescent="0.25">
      <c r="C61689"/>
      <c r="M61689"/>
    </row>
    <row r="61690" spans="3:13" ht="12.75" customHeight="1" x14ac:dyDescent="0.25">
      <c r="C61690"/>
      <c r="M61690"/>
    </row>
    <row r="61691" spans="3:13" ht="12.75" customHeight="1" x14ac:dyDescent="0.25">
      <c r="C61691"/>
      <c r="M61691"/>
    </row>
    <row r="61692" spans="3:13" ht="12.75" customHeight="1" x14ac:dyDescent="0.25">
      <c r="C61692"/>
      <c r="M61692"/>
    </row>
    <row r="61693" spans="3:13" ht="12.75" customHeight="1" x14ac:dyDescent="0.25">
      <c r="C61693"/>
      <c r="M61693"/>
    </row>
    <row r="61694" spans="3:13" ht="12.75" customHeight="1" x14ac:dyDescent="0.25">
      <c r="C61694"/>
      <c r="M61694"/>
    </row>
    <row r="61695" spans="3:13" ht="12.75" customHeight="1" x14ac:dyDescent="0.25">
      <c r="C61695"/>
      <c r="M61695"/>
    </row>
    <row r="61696" spans="3:13" ht="12.75" customHeight="1" x14ac:dyDescent="0.25">
      <c r="C61696"/>
      <c r="M61696"/>
    </row>
    <row r="61697" spans="3:13" ht="12.75" customHeight="1" x14ac:dyDescent="0.25">
      <c r="C61697"/>
      <c r="M61697"/>
    </row>
    <row r="61698" spans="3:13" ht="12.75" customHeight="1" x14ac:dyDescent="0.25">
      <c r="C61698"/>
      <c r="M61698"/>
    </row>
    <row r="61699" spans="3:13" ht="12.75" customHeight="1" x14ac:dyDescent="0.25">
      <c r="C61699"/>
      <c r="M61699"/>
    </row>
    <row r="61700" spans="3:13" ht="12.75" customHeight="1" x14ac:dyDescent="0.25">
      <c r="C61700"/>
      <c r="M61700"/>
    </row>
    <row r="61701" spans="3:13" ht="12.75" customHeight="1" x14ac:dyDescent="0.25">
      <c r="C61701"/>
      <c r="M61701"/>
    </row>
    <row r="61702" spans="3:13" ht="12.75" customHeight="1" x14ac:dyDescent="0.25">
      <c r="C61702"/>
      <c r="M61702"/>
    </row>
    <row r="61703" spans="3:13" ht="12.75" customHeight="1" x14ac:dyDescent="0.25">
      <c r="C61703"/>
      <c r="M61703"/>
    </row>
    <row r="61704" spans="3:13" ht="12.75" customHeight="1" x14ac:dyDescent="0.25">
      <c r="C61704"/>
      <c r="M61704"/>
    </row>
    <row r="61705" spans="3:13" ht="12.75" customHeight="1" x14ac:dyDescent="0.25">
      <c r="C61705"/>
      <c r="M61705"/>
    </row>
    <row r="61706" spans="3:13" ht="12.75" customHeight="1" x14ac:dyDescent="0.25">
      <c r="C61706"/>
      <c r="M61706"/>
    </row>
    <row r="61707" spans="3:13" ht="12.75" customHeight="1" x14ac:dyDescent="0.25">
      <c r="C61707"/>
      <c r="M61707"/>
    </row>
    <row r="61708" spans="3:13" ht="12.75" customHeight="1" x14ac:dyDescent="0.25">
      <c r="C61708"/>
      <c r="M61708"/>
    </row>
    <row r="61709" spans="3:13" ht="12.75" customHeight="1" x14ac:dyDescent="0.25">
      <c r="C61709"/>
      <c r="M61709"/>
    </row>
    <row r="61710" spans="3:13" ht="12.75" customHeight="1" x14ac:dyDescent="0.25">
      <c r="C61710"/>
      <c r="M61710"/>
    </row>
    <row r="61711" spans="3:13" ht="12.75" customHeight="1" x14ac:dyDescent="0.25">
      <c r="C61711"/>
      <c r="M61711"/>
    </row>
    <row r="61712" spans="3:13" ht="12.75" customHeight="1" x14ac:dyDescent="0.25">
      <c r="C61712"/>
      <c r="M61712"/>
    </row>
    <row r="61713" spans="3:13" ht="12.75" customHeight="1" x14ac:dyDescent="0.25">
      <c r="C61713"/>
      <c r="M61713"/>
    </row>
    <row r="61714" spans="3:13" ht="12.75" customHeight="1" x14ac:dyDescent="0.25">
      <c r="C61714"/>
      <c r="M61714"/>
    </row>
    <row r="61715" spans="3:13" ht="12.75" customHeight="1" x14ac:dyDescent="0.25">
      <c r="C61715"/>
      <c r="M61715"/>
    </row>
    <row r="61716" spans="3:13" ht="12.75" customHeight="1" x14ac:dyDescent="0.25">
      <c r="C61716"/>
      <c r="M61716"/>
    </row>
    <row r="61717" spans="3:13" ht="12.75" customHeight="1" x14ac:dyDescent="0.25">
      <c r="C61717"/>
      <c r="M61717"/>
    </row>
    <row r="61718" spans="3:13" ht="12.75" customHeight="1" x14ac:dyDescent="0.25">
      <c r="C61718"/>
      <c r="M61718"/>
    </row>
    <row r="61719" spans="3:13" ht="12.75" customHeight="1" x14ac:dyDescent="0.25">
      <c r="C61719"/>
      <c r="M61719"/>
    </row>
    <row r="61720" spans="3:13" ht="12.75" customHeight="1" x14ac:dyDescent="0.25">
      <c r="C61720"/>
      <c r="M61720"/>
    </row>
    <row r="61721" spans="3:13" ht="12.75" customHeight="1" x14ac:dyDescent="0.25">
      <c r="C61721"/>
      <c r="M61721"/>
    </row>
    <row r="61722" spans="3:13" ht="12.75" customHeight="1" x14ac:dyDescent="0.25">
      <c r="C61722"/>
      <c r="M61722"/>
    </row>
    <row r="61723" spans="3:13" ht="12.75" customHeight="1" x14ac:dyDescent="0.25">
      <c r="C61723"/>
      <c r="M61723"/>
    </row>
    <row r="61724" spans="3:13" ht="12.75" customHeight="1" x14ac:dyDescent="0.25">
      <c r="C61724"/>
      <c r="M61724"/>
    </row>
    <row r="61725" spans="3:13" ht="12.75" customHeight="1" x14ac:dyDescent="0.25">
      <c r="C61725"/>
      <c r="M61725"/>
    </row>
    <row r="61726" spans="3:13" ht="12.75" customHeight="1" x14ac:dyDescent="0.25">
      <c r="C61726"/>
      <c r="M61726"/>
    </row>
    <row r="61727" spans="3:13" ht="12.75" customHeight="1" x14ac:dyDescent="0.25">
      <c r="C61727"/>
      <c r="M61727"/>
    </row>
    <row r="61728" spans="3:13" ht="12.75" customHeight="1" x14ac:dyDescent="0.25">
      <c r="C61728"/>
      <c r="M61728"/>
    </row>
    <row r="61729" spans="3:13" ht="12.75" customHeight="1" x14ac:dyDescent="0.25">
      <c r="C61729"/>
      <c r="M61729"/>
    </row>
    <row r="61730" spans="3:13" ht="12.75" customHeight="1" x14ac:dyDescent="0.25">
      <c r="C61730"/>
      <c r="M61730"/>
    </row>
    <row r="61731" spans="3:13" ht="12.75" customHeight="1" x14ac:dyDescent="0.25">
      <c r="C61731"/>
      <c r="M61731"/>
    </row>
    <row r="61732" spans="3:13" ht="12.75" customHeight="1" x14ac:dyDescent="0.25">
      <c r="C61732"/>
      <c r="M61732"/>
    </row>
    <row r="61733" spans="3:13" ht="12.75" customHeight="1" x14ac:dyDescent="0.25">
      <c r="C61733"/>
      <c r="M61733"/>
    </row>
    <row r="61734" spans="3:13" ht="12.75" customHeight="1" x14ac:dyDescent="0.25">
      <c r="C61734"/>
      <c r="M61734"/>
    </row>
    <row r="61735" spans="3:13" ht="12.75" customHeight="1" x14ac:dyDescent="0.25">
      <c r="C61735"/>
      <c r="M61735"/>
    </row>
    <row r="61736" spans="3:13" ht="12.75" customHeight="1" x14ac:dyDescent="0.25">
      <c r="C61736"/>
      <c r="M61736"/>
    </row>
    <row r="61737" spans="3:13" ht="12.75" customHeight="1" x14ac:dyDescent="0.25">
      <c r="C61737"/>
      <c r="M61737"/>
    </row>
    <row r="61738" spans="3:13" ht="12.75" customHeight="1" x14ac:dyDescent="0.25">
      <c r="C61738"/>
      <c r="M61738"/>
    </row>
    <row r="61739" spans="3:13" ht="12.75" customHeight="1" x14ac:dyDescent="0.25">
      <c r="C61739"/>
      <c r="M61739"/>
    </row>
    <row r="61740" spans="3:13" ht="12.75" customHeight="1" x14ac:dyDescent="0.25">
      <c r="C61740"/>
      <c r="M61740"/>
    </row>
    <row r="61741" spans="3:13" ht="12.75" customHeight="1" x14ac:dyDescent="0.25">
      <c r="C61741"/>
      <c r="M61741"/>
    </row>
    <row r="61742" spans="3:13" ht="12.75" customHeight="1" x14ac:dyDescent="0.25">
      <c r="C61742"/>
      <c r="M61742"/>
    </row>
    <row r="61743" spans="3:13" ht="12.75" customHeight="1" x14ac:dyDescent="0.25">
      <c r="C61743"/>
      <c r="M61743"/>
    </row>
    <row r="61744" spans="3:13" ht="12.75" customHeight="1" x14ac:dyDescent="0.25">
      <c r="C61744"/>
      <c r="M61744"/>
    </row>
    <row r="61745" spans="3:13" ht="12.75" customHeight="1" x14ac:dyDescent="0.25">
      <c r="C61745"/>
      <c r="M61745"/>
    </row>
    <row r="61746" spans="3:13" ht="12.75" customHeight="1" x14ac:dyDescent="0.25">
      <c r="C61746"/>
      <c r="M61746"/>
    </row>
    <row r="61747" spans="3:13" ht="12.75" customHeight="1" x14ac:dyDescent="0.25">
      <c r="C61747"/>
      <c r="M61747"/>
    </row>
    <row r="61748" spans="3:13" ht="12.75" customHeight="1" x14ac:dyDescent="0.25">
      <c r="C61748"/>
      <c r="M61748"/>
    </row>
    <row r="61749" spans="3:13" ht="12.75" customHeight="1" x14ac:dyDescent="0.25">
      <c r="C61749"/>
      <c r="M61749"/>
    </row>
    <row r="61750" spans="3:13" ht="12.75" customHeight="1" x14ac:dyDescent="0.25">
      <c r="C61750"/>
      <c r="M61750"/>
    </row>
    <row r="61751" spans="3:13" ht="12.75" customHeight="1" x14ac:dyDescent="0.25">
      <c r="C61751"/>
      <c r="M61751"/>
    </row>
    <row r="61752" spans="3:13" ht="12.75" customHeight="1" x14ac:dyDescent="0.25">
      <c r="C61752"/>
      <c r="M61752"/>
    </row>
    <row r="61753" spans="3:13" ht="12.75" customHeight="1" x14ac:dyDescent="0.25">
      <c r="C61753"/>
      <c r="M61753"/>
    </row>
    <row r="61754" spans="3:13" ht="12.75" customHeight="1" x14ac:dyDescent="0.25">
      <c r="C61754"/>
      <c r="M61754"/>
    </row>
    <row r="61755" spans="3:13" ht="12.75" customHeight="1" x14ac:dyDescent="0.25">
      <c r="C61755"/>
      <c r="M61755"/>
    </row>
    <row r="61756" spans="3:13" ht="12.75" customHeight="1" x14ac:dyDescent="0.25">
      <c r="C61756"/>
      <c r="M61756"/>
    </row>
    <row r="61757" spans="3:13" ht="12.75" customHeight="1" x14ac:dyDescent="0.25">
      <c r="C61757"/>
      <c r="M61757"/>
    </row>
    <row r="61758" spans="3:13" ht="12.75" customHeight="1" x14ac:dyDescent="0.25">
      <c r="C61758"/>
      <c r="M61758"/>
    </row>
    <row r="61759" spans="3:13" ht="12.75" customHeight="1" x14ac:dyDescent="0.25">
      <c r="C61759"/>
      <c r="M61759"/>
    </row>
    <row r="61760" spans="3:13" ht="12.75" customHeight="1" x14ac:dyDescent="0.25">
      <c r="C61760"/>
      <c r="M61760"/>
    </row>
    <row r="61761" spans="3:13" ht="12.75" customHeight="1" x14ac:dyDescent="0.25">
      <c r="C61761"/>
      <c r="M61761"/>
    </row>
    <row r="61762" spans="3:13" ht="12.75" customHeight="1" x14ac:dyDescent="0.25">
      <c r="C61762"/>
      <c r="M61762"/>
    </row>
    <row r="61763" spans="3:13" ht="12.75" customHeight="1" x14ac:dyDescent="0.25">
      <c r="C61763"/>
      <c r="M61763"/>
    </row>
    <row r="61764" spans="3:13" ht="12.75" customHeight="1" x14ac:dyDescent="0.25">
      <c r="C61764"/>
      <c r="M61764"/>
    </row>
    <row r="61765" spans="3:13" ht="12.75" customHeight="1" x14ac:dyDescent="0.25">
      <c r="C61765"/>
      <c r="M61765"/>
    </row>
    <row r="61766" spans="3:13" ht="12.75" customHeight="1" x14ac:dyDescent="0.25">
      <c r="C61766"/>
      <c r="M61766"/>
    </row>
    <row r="61767" spans="3:13" ht="12.75" customHeight="1" x14ac:dyDescent="0.25">
      <c r="C61767"/>
      <c r="M61767"/>
    </row>
    <row r="61768" spans="3:13" ht="12.75" customHeight="1" x14ac:dyDescent="0.25">
      <c r="C61768"/>
      <c r="M61768"/>
    </row>
    <row r="61769" spans="3:13" ht="12.75" customHeight="1" x14ac:dyDescent="0.25">
      <c r="C61769"/>
      <c r="M61769"/>
    </row>
    <row r="61770" spans="3:13" ht="12.75" customHeight="1" x14ac:dyDescent="0.25">
      <c r="C61770"/>
      <c r="M61770"/>
    </row>
    <row r="61771" spans="3:13" ht="12.75" customHeight="1" x14ac:dyDescent="0.25">
      <c r="C61771"/>
      <c r="M61771"/>
    </row>
    <row r="61772" spans="3:13" ht="12.75" customHeight="1" x14ac:dyDescent="0.25">
      <c r="C61772"/>
      <c r="M61772"/>
    </row>
    <row r="61773" spans="3:13" ht="12.75" customHeight="1" x14ac:dyDescent="0.25">
      <c r="C61773"/>
      <c r="M61773"/>
    </row>
    <row r="61774" spans="3:13" ht="12.75" customHeight="1" x14ac:dyDescent="0.25">
      <c r="C61774"/>
      <c r="M61774"/>
    </row>
    <row r="61775" spans="3:13" ht="12.75" customHeight="1" x14ac:dyDescent="0.25">
      <c r="C61775"/>
      <c r="M61775"/>
    </row>
    <row r="61776" spans="3:13" ht="12.75" customHeight="1" x14ac:dyDescent="0.25">
      <c r="C61776"/>
      <c r="M61776"/>
    </row>
    <row r="61777" spans="3:13" ht="12.75" customHeight="1" x14ac:dyDescent="0.25">
      <c r="C61777"/>
      <c r="M61777"/>
    </row>
    <row r="61778" spans="3:13" ht="12.75" customHeight="1" x14ac:dyDescent="0.25">
      <c r="C61778"/>
      <c r="M61778"/>
    </row>
    <row r="61779" spans="3:13" ht="12.75" customHeight="1" x14ac:dyDescent="0.25">
      <c r="C61779"/>
      <c r="M61779"/>
    </row>
    <row r="61780" spans="3:13" ht="12.75" customHeight="1" x14ac:dyDescent="0.25">
      <c r="C61780"/>
      <c r="M61780"/>
    </row>
    <row r="61781" spans="3:13" ht="12.75" customHeight="1" x14ac:dyDescent="0.25">
      <c r="C61781"/>
      <c r="M61781"/>
    </row>
    <row r="61782" spans="3:13" ht="12.75" customHeight="1" x14ac:dyDescent="0.25">
      <c r="C61782"/>
      <c r="M61782"/>
    </row>
    <row r="61783" spans="3:13" ht="12.75" customHeight="1" x14ac:dyDescent="0.25">
      <c r="C61783"/>
      <c r="M61783"/>
    </row>
    <row r="61784" spans="3:13" ht="12.75" customHeight="1" x14ac:dyDescent="0.25">
      <c r="C61784"/>
      <c r="M61784"/>
    </row>
    <row r="61785" spans="3:13" ht="12.75" customHeight="1" x14ac:dyDescent="0.25">
      <c r="C61785"/>
      <c r="M61785"/>
    </row>
    <row r="61786" spans="3:13" ht="12.75" customHeight="1" x14ac:dyDescent="0.25">
      <c r="C61786"/>
      <c r="M61786"/>
    </row>
    <row r="61787" spans="3:13" ht="12.75" customHeight="1" x14ac:dyDescent="0.25">
      <c r="C61787"/>
      <c r="M61787"/>
    </row>
    <row r="61788" spans="3:13" ht="12.75" customHeight="1" x14ac:dyDescent="0.25">
      <c r="C61788"/>
      <c r="M61788"/>
    </row>
    <row r="61789" spans="3:13" ht="12.75" customHeight="1" x14ac:dyDescent="0.25">
      <c r="C61789"/>
      <c r="M61789"/>
    </row>
    <row r="61790" spans="3:13" ht="12.75" customHeight="1" x14ac:dyDescent="0.25">
      <c r="C61790"/>
      <c r="M61790"/>
    </row>
    <row r="61791" spans="3:13" ht="12.75" customHeight="1" x14ac:dyDescent="0.25">
      <c r="C61791"/>
      <c r="M61791"/>
    </row>
    <row r="61792" spans="3:13" ht="12.75" customHeight="1" x14ac:dyDescent="0.25">
      <c r="C61792"/>
      <c r="M61792"/>
    </row>
    <row r="61793" spans="3:13" ht="12.75" customHeight="1" x14ac:dyDescent="0.25">
      <c r="C61793"/>
      <c r="M61793"/>
    </row>
    <row r="61794" spans="3:13" ht="12.75" customHeight="1" x14ac:dyDescent="0.25">
      <c r="C61794"/>
      <c r="M61794"/>
    </row>
    <row r="61795" spans="3:13" ht="12.75" customHeight="1" x14ac:dyDescent="0.25">
      <c r="C61795"/>
      <c r="M61795"/>
    </row>
    <row r="61796" spans="3:13" ht="12.75" customHeight="1" x14ac:dyDescent="0.25">
      <c r="C61796"/>
      <c r="M61796"/>
    </row>
    <row r="61797" spans="3:13" ht="12.75" customHeight="1" x14ac:dyDescent="0.25">
      <c r="C61797"/>
      <c r="M61797"/>
    </row>
    <row r="61798" spans="3:13" ht="12.75" customHeight="1" x14ac:dyDescent="0.25">
      <c r="C61798"/>
      <c r="M61798"/>
    </row>
    <row r="61799" spans="3:13" ht="12.75" customHeight="1" x14ac:dyDescent="0.25">
      <c r="C61799"/>
      <c r="M61799"/>
    </row>
    <row r="61800" spans="3:13" ht="12.75" customHeight="1" x14ac:dyDescent="0.25">
      <c r="C61800"/>
      <c r="M61800"/>
    </row>
    <row r="61801" spans="3:13" ht="12.75" customHeight="1" x14ac:dyDescent="0.25">
      <c r="C61801"/>
      <c r="M61801"/>
    </row>
    <row r="61802" spans="3:13" ht="12.75" customHeight="1" x14ac:dyDescent="0.25">
      <c r="C61802"/>
      <c r="M61802"/>
    </row>
    <row r="61803" spans="3:13" ht="12.75" customHeight="1" x14ac:dyDescent="0.25">
      <c r="C61803"/>
      <c r="M61803"/>
    </row>
    <row r="61804" spans="3:13" ht="12.75" customHeight="1" x14ac:dyDescent="0.25">
      <c r="C61804"/>
      <c r="M61804"/>
    </row>
    <row r="61805" spans="3:13" ht="12.75" customHeight="1" x14ac:dyDescent="0.25">
      <c r="C61805"/>
      <c r="M61805"/>
    </row>
    <row r="61806" spans="3:13" ht="12.75" customHeight="1" x14ac:dyDescent="0.25">
      <c r="C61806"/>
      <c r="M61806"/>
    </row>
    <row r="61807" spans="3:13" ht="12.75" customHeight="1" x14ac:dyDescent="0.25">
      <c r="C61807"/>
      <c r="M61807"/>
    </row>
    <row r="61808" spans="3:13" ht="12.75" customHeight="1" x14ac:dyDescent="0.25">
      <c r="C61808"/>
      <c r="M61808"/>
    </row>
    <row r="61809" spans="3:13" ht="12.75" customHeight="1" x14ac:dyDescent="0.25">
      <c r="C61809"/>
      <c r="M61809"/>
    </row>
    <row r="61810" spans="3:13" ht="12.75" customHeight="1" x14ac:dyDescent="0.25">
      <c r="C61810"/>
      <c r="M61810"/>
    </row>
    <row r="61811" spans="3:13" ht="12.75" customHeight="1" x14ac:dyDescent="0.25">
      <c r="C61811"/>
      <c r="M61811"/>
    </row>
    <row r="61812" spans="3:13" ht="12.75" customHeight="1" x14ac:dyDescent="0.25">
      <c r="C61812"/>
      <c r="M61812"/>
    </row>
    <row r="61813" spans="3:13" ht="12.75" customHeight="1" x14ac:dyDescent="0.25">
      <c r="C61813"/>
      <c r="M61813"/>
    </row>
    <row r="61814" spans="3:13" ht="12.75" customHeight="1" x14ac:dyDescent="0.25">
      <c r="C61814"/>
      <c r="M61814"/>
    </row>
    <row r="61815" spans="3:13" ht="12.75" customHeight="1" x14ac:dyDescent="0.25">
      <c r="C61815"/>
      <c r="M61815"/>
    </row>
    <row r="61816" spans="3:13" ht="12.75" customHeight="1" x14ac:dyDescent="0.25">
      <c r="C61816"/>
      <c r="M61816"/>
    </row>
    <row r="61817" spans="3:13" ht="12.75" customHeight="1" x14ac:dyDescent="0.25">
      <c r="C61817"/>
      <c r="M61817"/>
    </row>
    <row r="61818" spans="3:13" ht="12.75" customHeight="1" x14ac:dyDescent="0.25">
      <c r="C61818"/>
      <c r="M61818"/>
    </row>
    <row r="61819" spans="3:13" ht="12.75" customHeight="1" x14ac:dyDescent="0.25">
      <c r="C61819"/>
      <c r="M61819"/>
    </row>
    <row r="61820" spans="3:13" ht="12.75" customHeight="1" x14ac:dyDescent="0.25">
      <c r="C61820"/>
      <c r="M61820"/>
    </row>
    <row r="61821" spans="3:13" ht="12.75" customHeight="1" x14ac:dyDescent="0.25">
      <c r="C61821"/>
      <c r="M61821"/>
    </row>
    <row r="61822" spans="3:13" ht="12.75" customHeight="1" x14ac:dyDescent="0.25">
      <c r="C61822"/>
      <c r="M61822"/>
    </row>
    <row r="61823" spans="3:13" ht="12.75" customHeight="1" x14ac:dyDescent="0.25">
      <c r="C61823"/>
      <c r="M61823"/>
    </row>
    <row r="61824" spans="3:13" ht="12.75" customHeight="1" x14ac:dyDescent="0.25">
      <c r="C61824"/>
      <c r="M61824"/>
    </row>
    <row r="61825" spans="3:13" ht="12.75" customHeight="1" x14ac:dyDescent="0.25">
      <c r="C61825"/>
      <c r="M61825"/>
    </row>
    <row r="61826" spans="3:13" ht="12.75" customHeight="1" x14ac:dyDescent="0.25">
      <c r="C61826"/>
      <c r="M61826"/>
    </row>
    <row r="61827" spans="3:13" ht="12.75" customHeight="1" x14ac:dyDescent="0.25">
      <c r="C61827"/>
      <c r="M61827"/>
    </row>
    <row r="61828" spans="3:13" ht="12.75" customHeight="1" x14ac:dyDescent="0.25">
      <c r="C61828"/>
      <c r="M61828"/>
    </row>
    <row r="61829" spans="3:13" ht="12.75" customHeight="1" x14ac:dyDescent="0.25">
      <c r="C61829"/>
      <c r="M61829"/>
    </row>
    <row r="61830" spans="3:13" ht="12.75" customHeight="1" x14ac:dyDescent="0.25">
      <c r="C61830"/>
      <c r="M61830"/>
    </row>
    <row r="61831" spans="3:13" ht="12.75" customHeight="1" x14ac:dyDescent="0.25">
      <c r="C61831"/>
      <c r="M61831"/>
    </row>
    <row r="61832" spans="3:13" ht="12.75" customHeight="1" x14ac:dyDescent="0.25">
      <c r="C61832"/>
      <c r="M61832"/>
    </row>
    <row r="61833" spans="3:13" ht="12.75" customHeight="1" x14ac:dyDescent="0.25">
      <c r="C61833"/>
      <c r="M61833"/>
    </row>
    <row r="61834" spans="3:13" ht="12.75" customHeight="1" x14ac:dyDescent="0.25">
      <c r="C61834"/>
      <c r="M61834"/>
    </row>
    <row r="61835" spans="3:13" ht="12.75" customHeight="1" x14ac:dyDescent="0.25">
      <c r="C61835"/>
      <c r="M61835"/>
    </row>
    <row r="61836" spans="3:13" ht="12.75" customHeight="1" x14ac:dyDescent="0.25">
      <c r="C61836"/>
      <c r="M61836"/>
    </row>
    <row r="61837" spans="3:13" ht="12.75" customHeight="1" x14ac:dyDescent="0.25">
      <c r="C61837"/>
      <c r="M61837"/>
    </row>
    <row r="61838" spans="3:13" ht="12.75" customHeight="1" x14ac:dyDescent="0.25">
      <c r="C61838"/>
      <c r="M61838"/>
    </row>
    <row r="61839" spans="3:13" ht="12.75" customHeight="1" x14ac:dyDescent="0.25">
      <c r="C61839"/>
      <c r="M61839"/>
    </row>
    <row r="61840" spans="3:13" ht="12.75" customHeight="1" x14ac:dyDescent="0.25">
      <c r="C61840"/>
      <c r="M61840"/>
    </row>
    <row r="61841" spans="3:13" ht="12.75" customHeight="1" x14ac:dyDescent="0.25">
      <c r="C61841"/>
      <c r="M61841"/>
    </row>
    <row r="61842" spans="3:13" ht="12.75" customHeight="1" x14ac:dyDescent="0.25">
      <c r="C61842"/>
      <c r="M61842"/>
    </row>
    <row r="61843" spans="3:13" ht="12.75" customHeight="1" x14ac:dyDescent="0.25">
      <c r="C61843"/>
      <c r="M61843"/>
    </row>
    <row r="61844" spans="3:13" ht="12.75" customHeight="1" x14ac:dyDescent="0.25">
      <c r="C61844"/>
      <c r="M61844"/>
    </row>
    <row r="61845" spans="3:13" ht="12.75" customHeight="1" x14ac:dyDescent="0.25">
      <c r="C61845"/>
      <c r="M61845"/>
    </row>
    <row r="61846" spans="3:13" ht="12.75" customHeight="1" x14ac:dyDescent="0.25">
      <c r="C61846"/>
      <c r="M61846"/>
    </row>
    <row r="61847" spans="3:13" ht="12.75" customHeight="1" x14ac:dyDescent="0.25">
      <c r="C61847"/>
      <c r="M61847"/>
    </row>
    <row r="61848" spans="3:13" ht="12.75" customHeight="1" x14ac:dyDescent="0.25">
      <c r="C61848"/>
      <c r="M61848"/>
    </row>
    <row r="61849" spans="3:13" ht="12.75" customHeight="1" x14ac:dyDescent="0.25">
      <c r="C61849"/>
      <c r="M61849"/>
    </row>
    <row r="61850" spans="3:13" ht="12.75" customHeight="1" x14ac:dyDescent="0.25">
      <c r="C61850"/>
      <c r="M61850"/>
    </row>
    <row r="61851" spans="3:13" ht="12.75" customHeight="1" x14ac:dyDescent="0.25">
      <c r="C61851"/>
      <c r="M61851"/>
    </row>
    <row r="61852" spans="3:13" ht="12.75" customHeight="1" x14ac:dyDescent="0.25">
      <c r="C61852"/>
      <c r="M61852"/>
    </row>
    <row r="61853" spans="3:13" ht="12.75" customHeight="1" x14ac:dyDescent="0.25">
      <c r="C61853"/>
      <c r="M61853"/>
    </row>
    <row r="61854" spans="3:13" ht="12.75" customHeight="1" x14ac:dyDescent="0.25">
      <c r="C61854"/>
      <c r="M61854"/>
    </row>
    <row r="61855" spans="3:13" ht="12.75" customHeight="1" x14ac:dyDescent="0.25">
      <c r="C61855"/>
      <c r="M61855"/>
    </row>
    <row r="61856" spans="3:13" ht="12.75" customHeight="1" x14ac:dyDescent="0.25">
      <c r="C61856"/>
      <c r="M61856"/>
    </row>
    <row r="61857" spans="3:13" ht="12.75" customHeight="1" x14ac:dyDescent="0.25">
      <c r="C61857"/>
      <c r="M61857"/>
    </row>
    <row r="61858" spans="3:13" ht="12.75" customHeight="1" x14ac:dyDescent="0.25">
      <c r="C61858"/>
      <c r="M61858"/>
    </row>
    <row r="61859" spans="3:13" ht="12.75" customHeight="1" x14ac:dyDescent="0.25">
      <c r="C61859"/>
      <c r="M61859"/>
    </row>
    <row r="61860" spans="3:13" ht="12.75" customHeight="1" x14ac:dyDescent="0.25">
      <c r="C61860"/>
      <c r="M61860"/>
    </row>
    <row r="61861" spans="3:13" ht="12.75" customHeight="1" x14ac:dyDescent="0.25">
      <c r="C61861"/>
      <c r="M61861"/>
    </row>
    <row r="61862" spans="3:13" ht="12.75" customHeight="1" x14ac:dyDescent="0.25">
      <c r="C61862"/>
      <c r="M61862"/>
    </row>
    <row r="61863" spans="3:13" ht="12.75" customHeight="1" x14ac:dyDescent="0.25">
      <c r="C61863"/>
      <c r="M61863"/>
    </row>
    <row r="61864" spans="3:13" ht="12.75" customHeight="1" x14ac:dyDescent="0.25">
      <c r="C61864"/>
      <c r="M61864"/>
    </row>
    <row r="61865" spans="3:13" ht="12.75" customHeight="1" x14ac:dyDescent="0.25">
      <c r="C61865"/>
      <c r="M61865"/>
    </row>
    <row r="61866" spans="3:13" ht="12.75" customHeight="1" x14ac:dyDescent="0.25">
      <c r="C61866"/>
      <c r="M61866"/>
    </row>
    <row r="61867" spans="3:13" ht="12.75" customHeight="1" x14ac:dyDescent="0.25">
      <c r="C61867"/>
      <c r="M61867"/>
    </row>
    <row r="61868" spans="3:13" ht="12.75" customHeight="1" x14ac:dyDescent="0.25">
      <c r="C61868"/>
      <c r="M61868"/>
    </row>
    <row r="61869" spans="3:13" ht="12.75" customHeight="1" x14ac:dyDescent="0.25">
      <c r="C61869"/>
      <c r="M61869"/>
    </row>
    <row r="61870" spans="3:13" ht="12.75" customHeight="1" x14ac:dyDescent="0.25">
      <c r="C61870"/>
      <c r="M61870"/>
    </row>
    <row r="61871" spans="3:13" ht="12.75" customHeight="1" x14ac:dyDescent="0.25">
      <c r="C61871"/>
      <c r="M61871"/>
    </row>
    <row r="61872" spans="3:13" ht="12.75" customHeight="1" x14ac:dyDescent="0.25">
      <c r="C61872"/>
      <c r="M61872"/>
    </row>
    <row r="61873" spans="3:13" ht="12.75" customHeight="1" x14ac:dyDescent="0.25">
      <c r="C61873"/>
      <c r="M61873"/>
    </row>
    <row r="61874" spans="3:13" ht="12.75" customHeight="1" x14ac:dyDescent="0.25">
      <c r="C61874"/>
      <c r="M61874"/>
    </row>
    <row r="61875" spans="3:13" ht="12.75" customHeight="1" x14ac:dyDescent="0.25">
      <c r="C61875"/>
      <c r="M61875"/>
    </row>
    <row r="61876" spans="3:13" ht="12.75" customHeight="1" x14ac:dyDescent="0.25">
      <c r="C61876"/>
      <c r="M61876"/>
    </row>
    <row r="61877" spans="3:13" ht="12.75" customHeight="1" x14ac:dyDescent="0.25">
      <c r="C61877"/>
      <c r="M61877"/>
    </row>
    <row r="61878" spans="3:13" ht="12.75" customHeight="1" x14ac:dyDescent="0.25">
      <c r="C61878"/>
      <c r="M61878"/>
    </row>
    <row r="61879" spans="3:13" ht="12.75" customHeight="1" x14ac:dyDescent="0.25">
      <c r="C61879"/>
      <c r="M61879"/>
    </row>
    <row r="61880" spans="3:13" ht="12.75" customHeight="1" x14ac:dyDescent="0.25">
      <c r="C61880"/>
      <c r="M61880"/>
    </row>
    <row r="61881" spans="3:13" ht="12.75" customHeight="1" x14ac:dyDescent="0.25">
      <c r="C61881"/>
      <c r="M61881"/>
    </row>
    <row r="61882" spans="3:13" ht="12.75" customHeight="1" x14ac:dyDescent="0.25">
      <c r="C61882"/>
      <c r="M61882"/>
    </row>
    <row r="61883" spans="3:13" ht="12.75" customHeight="1" x14ac:dyDescent="0.25">
      <c r="C61883"/>
      <c r="M61883"/>
    </row>
    <row r="61884" spans="3:13" ht="12.75" customHeight="1" x14ac:dyDescent="0.25">
      <c r="C61884"/>
      <c r="M61884"/>
    </row>
    <row r="61885" spans="3:13" ht="12.75" customHeight="1" x14ac:dyDescent="0.25">
      <c r="C61885"/>
      <c r="M61885"/>
    </row>
    <row r="61886" spans="3:13" ht="12.75" customHeight="1" x14ac:dyDescent="0.25">
      <c r="C61886"/>
      <c r="M61886"/>
    </row>
    <row r="61887" spans="3:13" ht="12.75" customHeight="1" x14ac:dyDescent="0.25">
      <c r="C61887"/>
      <c r="M61887"/>
    </row>
    <row r="61888" spans="3:13" ht="12.75" customHeight="1" x14ac:dyDescent="0.25">
      <c r="C61888"/>
      <c r="M61888"/>
    </row>
    <row r="61889" spans="3:13" ht="12.75" customHeight="1" x14ac:dyDescent="0.25">
      <c r="C61889"/>
      <c r="M61889"/>
    </row>
    <row r="61890" spans="3:13" ht="12.75" customHeight="1" x14ac:dyDescent="0.25">
      <c r="C61890"/>
      <c r="M61890"/>
    </row>
    <row r="61891" spans="3:13" ht="12.75" customHeight="1" x14ac:dyDescent="0.25">
      <c r="C61891"/>
      <c r="M61891"/>
    </row>
    <row r="61892" spans="3:13" ht="12.75" customHeight="1" x14ac:dyDescent="0.25">
      <c r="C61892"/>
      <c r="M61892"/>
    </row>
    <row r="61893" spans="3:13" ht="12.75" customHeight="1" x14ac:dyDescent="0.25">
      <c r="C61893"/>
      <c r="M61893"/>
    </row>
    <row r="61894" spans="3:13" ht="12.75" customHeight="1" x14ac:dyDescent="0.25">
      <c r="C61894"/>
      <c r="M61894"/>
    </row>
    <row r="61895" spans="3:13" ht="12.75" customHeight="1" x14ac:dyDescent="0.25">
      <c r="C61895"/>
      <c r="M61895"/>
    </row>
    <row r="61896" spans="3:13" ht="12.75" customHeight="1" x14ac:dyDescent="0.25">
      <c r="C61896"/>
      <c r="M61896"/>
    </row>
    <row r="61897" spans="3:13" ht="12.75" customHeight="1" x14ac:dyDescent="0.25">
      <c r="C61897"/>
      <c r="M61897"/>
    </row>
    <row r="61898" spans="3:13" ht="12.75" customHeight="1" x14ac:dyDescent="0.25">
      <c r="C61898"/>
      <c r="M61898"/>
    </row>
    <row r="61899" spans="3:13" ht="12.75" customHeight="1" x14ac:dyDescent="0.25">
      <c r="C61899"/>
      <c r="M61899"/>
    </row>
    <row r="61900" spans="3:13" ht="12.75" customHeight="1" x14ac:dyDescent="0.25">
      <c r="C61900"/>
      <c r="M61900"/>
    </row>
    <row r="61901" spans="3:13" ht="12.75" customHeight="1" x14ac:dyDescent="0.25">
      <c r="C61901"/>
      <c r="M61901"/>
    </row>
    <row r="61902" spans="3:13" ht="12.75" customHeight="1" x14ac:dyDescent="0.25">
      <c r="C61902"/>
      <c r="M61902"/>
    </row>
    <row r="61903" spans="3:13" ht="12.75" customHeight="1" x14ac:dyDescent="0.25">
      <c r="C61903"/>
      <c r="M61903"/>
    </row>
    <row r="61904" spans="3:13" ht="12.75" customHeight="1" x14ac:dyDescent="0.25">
      <c r="C61904"/>
      <c r="M61904"/>
    </row>
    <row r="61905" spans="3:13" ht="12.75" customHeight="1" x14ac:dyDescent="0.25">
      <c r="C61905"/>
      <c r="M61905"/>
    </row>
    <row r="61906" spans="3:13" ht="12.75" customHeight="1" x14ac:dyDescent="0.25">
      <c r="C61906"/>
      <c r="M61906"/>
    </row>
    <row r="61907" spans="3:13" ht="12.75" customHeight="1" x14ac:dyDescent="0.25">
      <c r="C61907"/>
      <c r="M61907"/>
    </row>
    <row r="61908" spans="3:13" ht="12.75" customHeight="1" x14ac:dyDescent="0.25">
      <c r="C61908"/>
      <c r="M61908"/>
    </row>
    <row r="61909" spans="3:13" ht="12.75" customHeight="1" x14ac:dyDescent="0.25">
      <c r="C61909"/>
      <c r="M61909"/>
    </row>
    <row r="61910" spans="3:13" ht="12.75" customHeight="1" x14ac:dyDescent="0.25">
      <c r="C61910"/>
      <c r="M61910"/>
    </row>
    <row r="61911" spans="3:13" ht="12.75" customHeight="1" x14ac:dyDescent="0.25">
      <c r="C61911"/>
      <c r="M61911"/>
    </row>
    <row r="61912" spans="3:13" ht="12.75" customHeight="1" x14ac:dyDescent="0.25">
      <c r="C61912"/>
      <c r="M61912"/>
    </row>
    <row r="61913" spans="3:13" ht="12.75" customHeight="1" x14ac:dyDescent="0.25">
      <c r="C61913"/>
      <c r="M61913"/>
    </row>
    <row r="61914" spans="3:13" ht="12.75" customHeight="1" x14ac:dyDescent="0.25">
      <c r="C61914"/>
      <c r="M61914"/>
    </row>
    <row r="61915" spans="3:13" ht="12.75" customHeight="1" x14ac:dyDescent="0.25">
      <c r="C61915"/>
      <c r="M61915"/>
    </row>
    <row r="61916" spans="3:13" ht="12.75" customHeight="1" x14ac:dyDescent="0.25">
      <c r="C61916"/>
      <c r="M61916"/>
    </row>
    <row r="61917" spans="3:13" ht="12.75" customHeight="1" x14ac:dyDescent="0.25">
      <c r="C61917"/>
      <c r="M61917"/>
    </row>
    <row r="61918" spans="3:13" ht="12.75" customHeight="1" x14ac:dyDescent="0.25">
      <c r="C61918"/>
      <c r="M61918"/>
    </row>
    <row r="61919" spans="3:13" ht="12.75" customHeight="1" x14ac:dyDescent="0.25">
      <c r="C61919"/>
      <c r="M61919"/>
    </row>
    <row r="61920" spans="3:13" ht="12.75" customHeight="1" x14ac:dyDescent="0.25">
      <c r="C61920"/>
      <c r="M61920"/>
    </row>
    <row r="61921" spans="3:13" ht="12.75" customHeight="1" x14ac:dyDescent="0.25">
      <c r="C61921"/>
      <c r="M61921"/>
    </row>
    <row r="61922" spans="3:13" ht="12.75" customHeight="1" x14ac:dyDescent="0.25">
      <c r="C61922"/>
      <c r="M61922"/>
    </row>
    <row r="61923" spans="3:13" ht="12.75" customHeight="1" x14ac:dyDescent="0.25">
      <c r="C61923"/>
      <c r="M61923"/>
    </row>
    <row r="61924" spans="3:13" ht="12.75" customHeight="1" x14ac:dyDescent="0.25">
      <c r="C61924"/>
      <c r="M61924"/>
    </row>
    <row r="61925" spans="3:13" ht="12.75" customHeight="1" x14ac:dyDescent="0.25">
      <c r="C61925"/>
      <c r="M61925"/>
    </row>
    <row r="61926" spans="3:13" ht="12.75" customHeight="1" x14ac:dyDescent="0.25">
      <c r="C61926"/>
      <c r="M61926"/>
    </row>
    <row r="61927" spans="3:13" ht="12.75" customHeight="1" x14ac:dyDescent="0.25">
      <c r="C61927"/>
      <c r="M61927"/>
    </row>
    <row r="61928" spans="3:13" ht="12.75" customHeight="1" x14ac:dyDescent="0.25">
      <c r="C61928"/>
      <c r="M61928"/>
    </row>
    <row r="61929" spans="3:13" ht="12.75" customHeight="1" x14ac:dyDescent="0.25">
      <c r="C61929"/>
      <c r="M61929"/>
    </row>
    <row r="61930" spans="3:13" ht="12.75" customHeight="1" x14ac:dyDescent="0.25">
      <c r="C61930"/>
      <c r="M61930"/>
    </row>
    <row r="61931" spans="3:13" ht="12.75" customHeight="1" x14ac:dyDescent="0.25">
      <c r="C61931"/>
      <c r="M61931"/>
    </row>
    <row r="61932" spans="3:13" ht="12.75" customHeight="1" x14ac:dyDescent="0.25">
      <c r="C61932"/>
      <c r="M61932"/>
    </row>
    <row r="61933" spans="3:13" ht="12.75" customHeight="1" x14ac:dyDescent="0.25">
      <c r="C61933"/>
      <c r="M61933"/>
    </row>
    <row r="61934" spans="3:13" ht="12.75" customHeight="1" x14ac:dyDescent="0.25">
      <c r="C61934"/>
      <c r="M61934"/>
    </row>
    <row r="61935" spans="3:13" ht="12.75" customHeight="1" x14ac:dyDescent="0.25">
      <c r="C61935"/>
      <c r="M61935"/>
    </row>
    <row r="61936" spans="3:13" ht="12.75" customHeight="1" x14ac:dyDescent="0.25">
      <c r="C61936"/>
      <c r="M61936"/>
    </row>
    <row r="61937" spans="3:13" ht="12.75" customHeight="1" x14ac:dyDescent="0.25">
      <c r="C61937"/>
      <c r="M61937"/>
    </row>
    <row r="61938" spans="3:13" ht="12.75" customHeight="1" x14ac:dyDescent="0.25">
      <c r="C61938"/>
      <c r="M61938"/>
    </row>
    <row r="61939" spans="3:13" ht="12.75" customHeight="1" x14ac:dyDescent="0.25">
      <c r="C61939"/>
      <c r="M61939"/>
    </row>
    <row r="61940" spans="3:13" ht="12.75" customHeight="1" x14ac:dyDescent="0.25">
      <c r="C61940"/>
      <c r="M61940"/>
    </row>
    <row r="61941" spans="3:13" ht="12.75" customHeight="1" x14ac:dyDescent="0.25">
      <c r="C61941"/>
      <c r="M61941"/>
    </row>
    <row r="61942" spans="3:13" ht="12.75" customHeight="1" x14ac:dyDescent="0.25">
      <c r="C61942"/>
      <c r="M61942"/>
    </row>
    <row r="61943" spans="3:13" ht="12.75" customHeight="1" x14ac:dyDescent="0.25">
      <c r="C61943"/>
      <c r="M61943"/>
    </row>
    <row r="61944" spans="3:13" ht="12.75" customHeight="1" x14ac:dyDescent="0.25">
      <c r="C61944"/>
      <c r="M61944"/>
    </row>
    <row r="61945" spans="3:13" ht="12.75" customHeight="1" x14ac:dyDescent="0.25">
      <c r="C61945"/>
      <c r="M61945"/>
    </row>
    <row r="61946" spans="3:13" ht="12.75" customHeight="1" x14ac:dyDescent="0.25">
      <c r="C61946"/>
      <c r="M61946"/>
    </row>
    <row r="61947" spans="3:13" ht="12.75" customHeight="1" x14ac:dyDescent="0.25">
      <c r="C61947"/>
      <c r="M61947"/>
    </row>
    <row r="61948" spans="3:13" ht="12.75" customHeight="1" x14ac:dyDescent="0.25">
      <c r="C61948"/>
      <c r="M61948"/>
    </row>
    <row r="61949" spans="3:13" ht="12.75" customHeight="1" x14ac:dyDescent="0.25">
      <c r="C61949"/>
      <c r="M61949"/>
    </row>
    <row r="61950" spans="3:13" ht="12.75" customHeight="1" x14ac:dyDescent="0.25">
      <c r="C61950"/>
      <c r="M61950"/>
    </row>
    <row r="61951" spans="3:13" ht="12.75" customHeight="1" x14ac:dyDescent="0.25">
      <c r="C61951"/>
      <c r="M61951"/>
    </row>
    <row r="61952" spans="3:13" ht="12.75" customHeight="1" x14ac:dyDescent="0.25">
      <c r="C61952"/>
      <c r="M61952"/>
    </row>
    <row r="61953" spans="3:13" ht="12.75" customHeight="1" x14ac:dyDescent="0.25">
      <c r="C61953"/>
      <c r="M61953"/>
    </row>
    <row r="61954" spans="3:13" ht="12.75" customHeight="1" x14ac:dyDescent="0.25">
      <c r="C61954"/>
      <c r="M61954"/>
    </row>
    <row r="61955" spans="3:13" ht="12.75" customHeight="1" x14ac:dyDescent="0.25">
      <c r="C61955"/>
      <c r="M61955"/>
    </row>
    <row r="61956" spans="3:13" ht="12.75" customHeight="1" x14ac:dyDescent="0.25">
      <c r="C61956"/>
      <c r="M61956"/>
    </row>
    <row r="61957" spans="3:13" ht="12.75" customHeight="1" x14ac:dyDescent="0.25">
      <c r="C61957"/>
      <c r="M61957"/>
    </row>
    <row r="61958" spans="3:13" ht="12.75" customHeight="1" x14ac:dyDescent="0.25">
      <c r="C61958"/>
      <c r="M61958"/>
    </row>
    <row r="61959" spans="3:13" ht="12.75" customHeight="1" x14ac:dyDescent="0.25">
      <c r="C61959"/>
      <c r="M61959"/>
    </row>
    <row r="61960" spans="3:13" ht="12.75" customHeight="1" x14ac:dyDescent="0.25">
      <c r="C61960"/>
      <c r="M61960"/>
    </row>
    <row r="61961" spans="3:13" ht="12.75" customHeight="1" x14ac:dyDescent="0.25">
      <c r="C61961"/>
      <c r="M61961"/>
    </row>
    <row r="61962" spans="3:13" ht="12.75" customHeight="1" x14ac:dyDescent="0.25">
      <c r="C61962"/>
      <c r="M61962"/>
    </row>
    <row r="61963" spans="3:13" ht="12.75" customHeight="1" x14ac:dyDescent="0.25">
      <c r="C61963"/>
      <c r="M61963"/>
    </row>
    <row r="61964" spans="3:13" ht="12.75" customHeight="1" x14ac:dyDescent="0.25">
      <c r="C61964"/>
      <c r="M61964"/>
    </row>
    <row r="61965" spans="3:13" ht="12.75" customHeight="1" x14ac:dyDescent="0.25">
      <c r="C61965"/>
      <c r="M61965"/>
    </row>
    <row r="61966" spans="3:13" ht="12.75" customHeight="1" x14ac:dyDescent="0.25">
      <c r="C61966"/>
      <c r="M61966"/>
    </row>
    <row r="61967" spans="3:13" ht="12.75" customHeight="1" x14ac:dyDescent="0.25">
      <c r="C61967"/>
      <c r="M61967"/>
    </row>
    <row r="61968" spans="3:13" ht="12.75" customHeight="1" x14ac:dyDescent="0.25">
      <c r="C61968"/>
      <c r="M61968"/>
    </row>
    <row r="61969" spans="3:13" ht="12.75" customHeight="1" x14ac:dyDescent="0.25">
      <c r="C61969"/>
      <c r="M61969"/>
    </row>
    <row r="61970" spans="3:13" ht="12.75" customHeight="1" x14ac:dyDescent="0.25">
      <c r="C61970"/>
      <c r="M61970"/>
    </row>
    <row r="61971" spans="3:13" ht="12.75" customHeight="1" x14ac:dyDescent="0.25">
      <c r="C61971"/>
      <c r="M61971"/>
    </row>
    <row r="61972" spans="3:13" ht="12.75" customHeight="1" x14ac:dyDescent="0.25">
      <c r="C61972"/>
      <c r="M61972"/>
    </row>
    <row r="61973" spans="3:13" ht="12.75" customHeight="1" x14ac:dyDescent="0.25">
      <c r="C61973"/>
      <c r="M61973"/>
    </row>
    <row r="61974" spans="3:13" ht="12.75" customHeight="1" x14ac:dyDescent="0.25">
      <c r="C61974"/>
      <c r="M61974"/>
    </row>
    <row r="61975" spans="3:13" ht="12.75" customHeight="1" x14ac:dyDescent="0.25">
      <c r="C61975"/>
      <c r="M61975"/>
    </row>
    <row r="61976" spans="3:13" ht="12.75" customHeight="1" x14ac:dyDescent="0.25">
      <c r="C61976"/>
      <c r="M61976"/>
    </row>
    <row r="61977" spans="3:13" ht="12.75" customHeight="1" x14ac:dyDescent="0.25">
      <c r="C61977"/>
      <c r="M61977"/>
    </row>
    <row r="61978" spans="3:13" ht="12.75" customHeight="1" x14ac:dyDescent="0.25">
      <c r="C61978"/>
      <c r="M61978"/>
    </row>
    <row r="61979" spans="3:13" ht="12.75" customHeight="1" x14ac:dyDescent="0.25">
      <c r="C61979"/>
      <c r="M61979"/>
    </row>
    <row r="61980" spans="3:13" ht="12.75" customHeight="1" x14ac:dyDescent="0.25">
      <c r="C61980"/>
      <c r="M61980"/>
    </row>
    <row r="61981" spans="3:13" ht="12.75" customHeight="1" x14ac:dyDescent="0.25">
      <c r="C61981"/>
      <c r="M61981"/>
    </row>
    <row r="61982" spans="3:13" ht="12.75" customHeight="1" x14ac:dyDescent="0.25">
      <c r="C61982"/>
      <c r="M61982"/>
    </row>
    <row r="61983" spans="3:13" ht="12.75" customHeight="1" x14ac:dyDescent="0.25">
      <c r="C61983"/>
      <c r="M61983"/>
    </row>
    <row r="61984" spans="3:13" ht="12.75" customHeight="1" x14ac:dyDescent="0.25">
      <c r="C61984"/>
      <c r="M61984"/>
    </row>
    <row r="61985" spans="3:13" ht="12.75" customHeight="1" x14ac:dyDescent="0.25">
      <c r="C61985"/>
      <c r="M61985"/>
    </row>
    <row r="61986" spans="3:13" ht="12.75" customHeight="1" x14ac:dyDescent="0.25">
      <c r="C61986"/>
      <c r="M61986"/>
    </row>
    <row r="61987" spans="3:13" ht="12.75" customHeight="1" x14ac:dyDescent="0.25">
      <c r="C61987"/>
      <c r="M61987"/>
    </row>
    <row r="61988" spans="3:13" ht="12.75" customHeight="1" x14ac:dyDescent="0.25">
      <c r="C61988"/>
      <c r="M61988"/>
    </row>
    <row r="61989" spans="3:13" ht="12.75" customHeight="1" x14ac:dyDescent="0.25">
      <c r="C61989"/>
      <c r="M61989"/>
    </row>
    <row r="61990" spans="3:13" ht="12.75" customHeight="1" x14ac:dyDescent="0.25">
      <c r="C61990"/>
      <c r="M61990"/>
    </row>
    <row r="61991" spans="3:13" ht="12.75" customHeight="1" x14ac:dyDescent="0.25">
      <c r="C61991"/>
      <c r="M61991"/>
    </row>
    <row r="61992" spans="3:13" ht="12.75" customHeight="1" x14ac:dyDescent="0.25">
      <c r="C61992"/>
      <c r="M61992"/>
    </row>
    <row r="61993" spans="3:13" ht="12.75" customHeight="1" x14ac:dyDescent="0.25">
      <c r="C61993"/>
      <c r="M61993"/>
    </row>
    <row r="61994" spans="3:13" ht="12.75" customHeight="1" x14ac:dyDescent="0.25">
      <c r="C61994"/>
      <c r="M61994"/>
    </row>
    <row r="61995" spans="3:13" ht="12.75" customHeight="1" x14ac:dyDescent="0.25">
      <c r="C61995"/>
      <c r="M61995"/>
    </row>
    <row r="61996" spans="3:13" ht="12.75" customHeight="1" x14ac:dyDescent="0.25">
      <c r="C61996"/>
      <c r="M61996"/>
    </row>
    <row r="61997" spans="3:13" ht="12.75" customHeight="1" x14ac:dyDescent="0.25">
      <c r="C61997"/>
      <c r="M61997"/>
    </row>
    <row r="61998" spans="3:13" ht="12.75" customHeight="1" x14ac:dyDescent="0.25">
      <c r="C61998"/>
      <c r="M61998"/>
    </row>
    <row r="61999" spans="3:13" ht="12.75" customHeight="1" x14ac:dyDescent="0.25">
      <c r="C61999"/>
      <c r="M61999"/>
    </row>
    <row r="62000" spans="3:13" ht="12.75" customHeight="1" x14ac:dyDescent="0.25">
      <c r="C62000"/>
      <c r="M62000"/>
    </row>
    <row r="62001" spans="3:13" ht="12.75" customHeight="1" x14ac:dyDescent="0.25">
      <c r="C62001"/>
      <c r="M62001"/>
    </row>
    <row r="62002" spans="3:13" ht="12.75" customHeight="1" x14ac:dyDescent="0.25">
      <c r="C62002"/>
      <c r="M62002"/>
    </row>
    <row r="62003" spans="3:13" ht="12.75" customHeight="1" x14ac:dyDescent="0.25">
      <c r="C62003"/>
      <c r="M62003"/>
    </row>
    <row r="62004" spans="3:13" ht="12.75" customHeight="1" x14ac:dyDescent="0.25">
      <c r="C62004"/>
      <c r="M62004"/>
    </row>
    <row r="62005" spans="3:13" ht="12.75" customHeight="1" x14ac:dyDescent="0.25">
      <c r="C62005"/>
      <c r="M62005"/>
    </row>
    <row r="62006" spans="3:13" ht="12.75" customHeight="1" x14ac:dyDescent="0.25">
      <c r="C62006"/>
      <c r="M62006"/>
    </row>
    <row r="62007" spans="3:13" ht="12.75" customHeight="1" x14ac:dyDescent="0.25">
      <c r="C62007"/>
      <c r="M62007"/>
    </row>
    <row r="62008" spans="3:13" ht="12.75" customHeight="1" x14ac:dyDescent="0.25">
      <c r="C62008"/>
      <c r="M62008"/>
    </row>
    <row r="62009" spans="3:13" ht="12.75" customHeight="1" x14ac:dyDescent="0.25">
      <c r="C62009"/>
      <c r="M62009"/>
    </row>
    <row r="62010" spans="3:13" ht="12.75" customHeight="1" x14ac:dyDescent="0.25">
      <c r="C62010"/>
      <c r="M62010"/>
    </row>
    <row r="62011" spans="3:13" ht="12.75" customHeight="1" x14ac:dyDescent="0.25">
      <c r="C62011"/>
      <c r="M62011"/>
    </row>
    <row r="62012" spans="3:13" ht="12.75" customHeight="1" x14ac:dyDescent="0.25">
      <c r="C62012"/>
      <c r="M62012"/>
    </row>
    <row r="62013" spans="3:13" ht="12.75" customHeight="1" x14ac:dyDescent="0.25">
      <c r="C62013"/>
      <c r="M62013"/>
    </row>
    <row r="62014" spans="3:13" ht="12.75" customHeight="1" x14ac:dyDescent="0.25">
      <c r="C62014"/>
      <c r="M62014"/>
    </row>
    <row r="62015" spans="3:13" ht="12.75" customHeight="1" x14ac:dyDescent="0.25">
      <c r="C62015"/>
      <c r="M62015"/>
    </row>
    <row r="62016" spans="3:13" ht="12.75" customHeight="1" x14ac:dyDescent="0.25">
      <c r="C62016"/>
      <c r="M62016"/>
    </row>
    <row r="62017" spans="3:13" ht="12.75" customHeight="1" x14ac:dyDescent="0.25">
      <c r="C62017"/>
      <c r="M62017"/>
    </row>
    <row r="62018" spans="3:13" ht="12.75" customHeight="1" x14ac:dyDescent="0.25">
      <c r="C62018"/>
      <c r="M62018"/>
    </row>
    <row r="62019" spans="3:13" ht="12.75" customHeight="1" x14ac:dyDescent="0.25">
      <c r="C62019"/>
      <c r="M62019"/>
    </row>
    <row r="62020" spans="3:13" ht="12.75" customHeight="1" x14ac:dyDescent="0.25">
      <c r="C62020"/>
      <c r="M62020"/>
    </row>
    <row r="62021" spans="3:13" ht="12.75" customHeight="1" x14ac:dyDescent="0.25">
      <c r="C62021"/>
      <c r="M62021"/>
    </row>
    <row r="62022" spans="3:13" ht="12.75" customHeight="1" x14ac:dyDescent="0.25">
      <c r="C62022"/>
      <c r="M62022"/>
    </row>
    <row r="62023" spans="3:13" ht="12.75" customHeight="1" x14ac:dyDescent="0.25">
      <c r="C62023"/>
      <c r="M62023"/>
    </row>
    <row r="62024" spans="3:13" ht="12.75" customHeight="1" x14ac:dyDescent="0.25">
      <c r="C62024"/>
      <c r="M62024"/>
    </row>
    <row r="62025" spans="3:13" ht="12.75" customHeight="1" x14ac:dyDescent="0.25">
      <c r="C62025"/>
      <c r="M62025"/>
    </row>
    <row r="62026" spans="3:13" ht="12.75" customHeight="1" x14ac:dyDescent="0.25">
      <c r="C62026"/>
      <c r="M62026"/>
    </row>
    <row r="62027" spans="3:13" ht="12.75" customHeight="1" x14ac:dyDescent="0.25">
      <c r="C62027"/>
      <c r="M62027"/>
    </row>
    <row r="62028" spans="3:13" ht="12.75" customHeight="1" x14ac:dyDescent="0.25">
      <c r="C62028"/>
      <c r="M62028"/>
    </row>
    <row r="62029" spans="3:13" ht="12.75" customHeight="1" x14ac:dyDescent="0.25">
      <c r="C62029"/>
      <c r="M62029"/>
    </row>
    <row r="62030" spans="3:13" ht="12.75" customHeight="1" x14ac:dyDescent="0.25">
      <c r="C62030"/>
      <c r="M62030"/>
    </row>
    <row r="62031" spans="3:13" ht="12.75" customHeight="1" x14ac:dyDescent="0.25">
      <c r="C62031"/>
      <c r="M62031"/>
    </row>
    <row r="62032" spans="3:13" ht="12.75" customHeight="1" x14ac:dyDescent="0.25">
      <c r="C62032"/>
      <c r="M62032"/>
    </row>
    <row r="62033" spans="3:13" ht="12.75" customHeight="1" x14ac:dyDescent="0.25">
      <c r="C62033"/>
      <c r="M62033"/>
    </row>
    <row r="62034" spans="3:13" ht="12.75" customHeight="1" x14ac:dyDescent="0.25">
      <c r="C62034"/>
      <c r="M62034"/>
    </row>
    <row r="62035" spans="3:13" ht="12.75" customHeight="1" x14ac:dyDescent="0.25">
      <c r="C62035"/>
      <c r="M62035"/>
    </row>
    <row r="62036" spans="3:13" ht="12.75" customHeight="1" x14ac:dyDescent="0.25">
      <c r="C62036"/>
      <c r="M62036"/>
    </row>
    <row r="62037" spans="3:13" ht="12.75" customHeight="1" x14ac:dyDescent="0.25">
      <c r="C62037"/>
      <c r="M62037"/>
    </row>
    <row r="62038" spans="3:13" ht="12.75" customHeight="1" x14ac:dyDescent="0.25">
      <c r="C62038"/>
      <c r="M62038"/>
    </row>
    <row r="62039" spans="3:13" ht="12.75" customHeight="1" x14ac:dyDescent="0.25">
      <c r="C62039"/>
      <c r="M62039"/>
    </row>
    <row r="62040" spans="3:13" ht="12.75" customHeight="1" x14ac:dyDescent="0.25">
      <c r="C62040"/>
      <c r="M62040"/>
    </row>
    <row r="62041" spans="3:13" ht="12.75" customHeight="1" x14ac:dyDescent="0.25">
      <c r="C62041"/>
      <c r="M62041"/>
    </row>
    <row r="62042" spans="3:13" ht="12.75" customHeight="1" x14ac:dyDescent="0.25">
      <c r="C62042"/>
      <c r="M62042"/>
    </row>
    <row r="62043" spans="3:13" ht="12.75" customHeight="1" x14ac:dyDescent="0.25">
      <c r="C62043"/>
      <c r="M62043"/>
    </row>
    <row r="62044" spans="3:13" ht="12.75" customHeight="1" x14ac:dyDescent="0.25">
      <c r="C62044"/>
      <c r="M62044"/>
    </row>
    <row r="62045" spans="3:13" ht="12.75" customHeight="1" x14ac:dyDescent="0.25">
      <c r="C62045"/>
      <c r="M62045"/>
    </row>
    <row r="62046" spans="3:13" ht="12.75" customHeight="1" x14ac:dyDescent="0.25">
      <c r="C62046"/>
      <c r="M62046"/>
    </row>
    <row r="62047" spans="3:13" ht="12.75" customHeight="1" x14ac:dyDescent="0.25">
      <c r="C62047"/>
      <c r="M62047"/>
    </row>
    <row r="62048" spans="3:13" ht="12.75" customHeight="1" x14ac:dyDescent="0.25">
      <c r="C62048"/>
      <c r="M62048"/>
    </row>
    <row r="62049" spans="3:13" ht="12.75" customHeight="1" x14ac:dyDescent="0.25">
      <c r="C62049"/>
      <c r="M62049"/>
    </row>
    <row r="62050" spans="3:13" ht="12.75" customHeight="1" x14ac:dyDescent="0.25">
      <c r="C62050"/>
      <c r="M62050"/>
    </row>
    <row r="62051" spans="3:13" ht="12.75" customHeight="1" x14ac:dyDescent="0.25">
      <c r="C62051"/>
      <c r="M62051"/>
    </row>
    <row r="62052" spans="3:13" ht="12.75" customHeight="1" x14ac:dyDescent="0.25">
      <c r="C62052"/>
      <c r="M62052"/>
    </row>
    <row r="62053" spans="3:13" ht="12.75" customHeight="1" x14ac:dyDescent="0.25">
      <c r="C62053"/>
      <c r="M62053"/>
    </row>
    <row r="62054" spans="3:13" ht="12.75" customHeight="1" x14ac:dyDescent="0.25">
      <c r="C62054"/>
      <c r="M62054"/>
    </row>
    <row r="62055" spans="3:13" ht="12.75" customHeight="1" x14ac:dyDescent="0.25">
      <c r="C62055"/>
      <c r="M62055"/>
    </row>
    <row r="62056" spans="3:13" ht="12.75" customHeight="1" x14ac:dyDescent="0.25">
      <c r="C62056"/>
      <c r="M62056"/>
    </row>
    <row r="62057" spans="3:13" ht="12.75" customHeight="1" x14ac:dyDescent="0.25">
      <c r="C62057"/>
      <c r="M62057"/>
    </row>
    <row r="62058" spans="3:13" ht="12.75" customHeight="1" x14ac:dyDescent="0.25">
      <c r="C62058"/>
      <c r="M62058"/>
    </row>
    <row r="62059" spans="3:13" ht="12.75" customHeight="1" x14ac:dyDescent="0.25">
      <c r="C62059"/>
      <c r="M62059"/>
    </row>
    <row r="62060" spans="3:13" ht="12.75" customHeight="1" x14ac:dyDescent="0.25">
      <c r="C62060"/>
      <c r="M62060"/>
    </row>
    <row r="62061" spans="3:13" ht="12.75" customHeight="1" x14ac:dyDescent="0.25">
      <c r="C62061"/>
      <c r="M62061"/>
    </row>
    <row r="62062" spans="3:13" ht="12.75" customHeight="1" x14ac:dyDescent="0.25">
      <c r="C62062"/>
      <c r="M62062"/>
    </row>
    <row r="62063" spans="3:13" ht="12.75" customHeight="1" x14ac:dyDescent="0.25">
      <c r="C62063"/>
      <c r="M62063"/>
    </row>
    <row r="62064" spans="3:13" ht="12.75" customHeight="1" x14ac:dyDescent="0.25">
      <c r="C62064"/>
      <c r="M62064"/>
    </row>
    <row r="62065" spans="3:13" ht="12.75" customHeight="1" x14ac:dyDescent="0.25">
      <c r="C62065"/>
      <c r="M62065"/>
    </row>
    <row r="62066" spans="3:13" ht="12.75" customHeight="1" x14ac:dyDescent="0.25">
      <c r="C62066"/>
      <c r="M62066"/>
    </row>
    <row r="62067" spans="3:13" ht="12.75" customHeight="1" x14ac:dyDescent="0.25">
      <c r="C62067"/>
      <c r="M62067"/>
    </row>
    <row r="62068" spans="3:13" ht="12.75" customHeight="1" x14ac:dyDescent="0.25">
      <c r="C62068"/>
      <c r="M62068"/>
    </row>
    <row r="62069" spans="3:13" ht="12.75" customHeight="1" x14ac:dyDescent="0.25">
      <c r="C62069"/>
      <c r="M62069"/>
    </row>
    <row r="62070" spans="3:13" ht="12.75" customHeight="1" x14ac:dyDescent="0.25">
      <c r="C62070"/>
      <c r="M62070"/>
    </row>
    <row r="62071" spans="3:13" ht="12.75" customHeight="1" x14ac:dyDescent="0.25">
      <c r="C62071"/>
      <c r="M62071"/>
    </row>
    <row r="62072" spans="3:13" ht="12.75" customHeight="1" x14ac:dyDescent="0.25">
      <c r="C62072"/>
      <c r="M62072"/>
    </row>
    <row r="62073" spans="3:13" ht="12.75" customHeight="1" x14ac:dyDescent="0.25">
      <c r="C62073"/>
      <c r="M62073"/>
    </row>
    <row r="62074" spans="3:13" ht="12.75" customHeight="1" x14ac:dyDescent="0.25">
      <c r="C62074"/>
      <c r="M62074"/>
    </row>
    <row r="62075" spans="3:13" ht="12.75" customHeight="1" x14ac:dyDescent="0.25">
      <c r="C62075"/>
      <c r="M62075"/>
    </row>
    <row r="62076" spans="3:13" ht="12.75" customHeight="1" x14ac:dyDescent="0.25">
      <c r="C62076"/>
      <c r="M62076"/>
    </row>
    <row r="62077" spans="3:13" ht="12.75" customHeight="1" x14ac:dyDescent="0.25">
      <c r="C62077"/>
      <c r="M62077"/>
    </row>
    <row r="62078" spans="3:13" ht="12.75" customHeight="1" x14ac:dyDescent="0.25">
      <c r="C62078"/>
      <c r="M62078"/>
    </row>
    <row r="62079" spans="3:13" ht="12.75" customHeight="1" x14ac:dyDescent="0.25">
      <c r="C62079"/>
      <c r="M62079"/>
    </row>
    <row r="62080" spans="3:13" ht="12.75" customHeight="1" x14ac:dyDescent="0.25">
      <c r="C62080"/>
      <c r="M62080"/>
    </row>
    <row r="62081" spans="3:13" ht="12.75" customHeight="1" x14ac:dyDescent="0.25">
      <c r="C62081"/>
      <c r="M62081"/>
    </row>
    <row r="62082" spans="3:13" ht="12.75" customHeight="1" x14ac:dyDescent="0.25">
      <c r="C62082"/>
      <c r="M62082"/>
    </row>
    <row r="62083" spans="3:13" ht="12.75" customHeight="1" x14ac:dyDescent="0.25">
      <c r="C62083"/>
      <c r="M62083"/>
    </row>
    <row r="62084" spans="3:13" ht="12.75" customHeight="1" x14ac:dyDescent="0.25">
      <c r="C62084"/>
      <c r="M62084"/>
    </row>
    <row r="62085" spans="3:13" ht="12.75" customHeight="1" x14ac:dyDescent="0.25">
      <c r="C62085"/>
      <c r="M62085"/>
    </row>
    <row r="62086" spans="3:13" ht="12.75" customHeight="1" x14ac:dyDescent="0.25">
      <c r="C62086"/>
      <c r="M62086"/>
    </row>
    <row r="62087" spans="3:13" ht="12.75" customHeight="1" x14ac:dyDescent="0.25">
      <c r="C62087"/>
      <c r="M62087"/>
    </row>
    <row r="62088" spans="3:13" ht="12.75" customHeight="1" x14ac:dyDescent="0.25">
      <c r="C62088"/>
      <c r="M62088"/>
    </row>
    <row r="62089" spans="3:13" ht="12.75" customHeight="1" x14ac:dyDescent="0.25">
      <c r="C62089"/>
      <c r="M62089"/>
    </row>
    <row r="62090" spans="3:13" ht="12.75" customHeight="1" x14ac:dyDescent="0.25">
      <c r="C62090"/>
      <c r="M62090"/>
    </row>
    <row r="62091" spans="3:13" ht="12.75" customHeight="1" x14ac:dyDescent="0.25">
      <c r="C62091"/>
      <c r="M62091"/>
    </row>
    <row r="62092" spans="3:13" ht="12.75" customHeight="1" x14ac:dyDescent="0.25">
      <c r="C62092"/>
      <c r="M62092"/>
    </row>
    <row r="62093" spans="3:13" ht="12.75" customHeight="1" x14ac:dyDescent="0.25">
      <c r="C62093"/>
      <c r="M62093"/>
    </row>
    <row r="62094" spans="3:13" ht="12.75" customHeight="1" x14ac:dyDescent="0.25">
      <c r="C62094"/>
      <c r="M62094"/>
    </row>
    <row r="62095" spans="3:13" ht="12.75" customHeight="1" x14ac:dyDescent="0.25">
      <c r="C62095"/>
      <c r="M62095"/>
    </row>
    <row r="62096" spans="3:13" ht="12.75" customHeight="1" x14ac:dyDescent="0.25">
      <c r="C62096"/>
      <c r="M62096"/>
    </row>
    <row r="62097" spans="3:13" ht="12.75" customHeight="1" x14ac:dyDescent="0.25">
      <c r="C62097"/>
      <c r="M62097"/>
    </row>
    <row r="62098" spans="3:13" ht="12.75" customHeight="1" x14ac:dyDescent="0.25">
      <c r="C62098"/>
      <c r="M62098"/>
    </row>
    <row r="62099" spans="3:13" ht="12.75" customHeight="1" x14ac:dyDescent="0.25">
      <c r="C62099"/>
      <c r="M62099"/>
    </row>
    <row r="62100" spans="3:13" ht="12.75" customHeight="1" x14ac:dyDescent="0.25">
      <c r="C62100"/>
      <c r="M62100"/>
    </row>
    <row r="62101" spans="3:13" ht="12.75" customHeight="1" x14ac:dyDescent="0.25">
      <c r="C62101"/>
      <c r="M62101"/>
    </row>
    <row r="62102" spans="3:13" ht="12.75" customHeight="1" x14ac:dyDescent="0.25">
      <c r="C62102"/>
      <c r="M62102"/>
    </row>
    <row r="62103" spans="3:13" ht="12.75" customHeight="1" x14ac:dyDescent="0.25">
      <c r="C62103"/>
      <c r="M62103"/>
    </row>
    <row r="62104" spans="3:13" ht="12.75" customHeight="1" x14ac:dyDescent="0.25">
      <c r="C62104"/>
      <c r="M62104"/>
    </row>
    <row r="62105" spans="3:13" ht="12.75" customHeight="1" x14ac:dyDescent="0.25">
      <c r="C62105"/>
      <c r="M62105"/>
    </row>
    <row r="62106" spans="3:13" ht="12.75" customHeight="1" x14ac:dyDescent="0.25">
      <c r="C62106"/>
      <c r="M62106"/>
    </row>
    <row r="62107" spans="3:13" ht="12.75" customHeight="1" x14ac:dyDescent="0.25">
      <c r="C62107"/>
      <c r="M62107"/>
    </row>
    <row r="62108" spans="3:13" ht="12.75" customHeight="1" x14ac:dyDescent="0.25">
      <c r="C62108"/>
      <c r="M62108"/>
    </row>
    <row r="62109" spans="3:13" ht="12.75" customHeight="1" x14ac:dyDescent="0.25">
      <c r="C62109"/>
      <c r="M62109"/>
    </row>
    <row r="62110" spans="3:13" ht="12.75" customHeight="1" x14ac:dyDescent="0.25">
      <c r="C62110"/>
      <c r="M62110"/>
    </row>
    <row r="62111" spans="3:13" ht="12.75" customHeight="1" x14ac:dyDescent="0.25">
      <c r="C62111"/>
      <c r="M62111"/>
    </row>
    <row r="62112" spans="3:13" ht="12.75" customHeight="1" x14ac:dyDescent="0.25">
      <c r="C62112"/>
      <c r="M62112"/>
    </row>
    <row r="62113" spans="3:13" ht="12.75" customHeight="1" x14ac:dyDescent="0.25">
      <c r="C62113"/>
      <c r="M62113"/>
    </row>
    <row r="62114" spans="3:13" ht="12.75" customHeight="1" x14ac:dyDescent="0.25">
      <c r="C62114"/>
      <c r="M62114"/>
    </row>
    <row r="62115" spans="3:13" ht="12.75" customHeight="1" x14ac:dyDescent="0.25">
      <c r="C62115"/>
      <c r="M62115"/>
    </row>
    <row r="62116" spans="3:13" ht="12.75" customHeight="1" x14ac:dyDescent="0.25">
      <c r="C62116"/>
      <c r="M62116"/>
    </row>
    <row r="62117" spans="3:13" ht="12.75" customHeight="1" x14ac:dyDescent="0.25">
      <c r="C62117"/>
      <c r="M62117"/>
    </row>
    <row r="62118" spans="3:13" ht="12.75" customHeight="1" x14ac:dyDescent="0.25">
      <c r="C62118"/>
      <c r="M62118"/>
    </row>
    <row r="62119" spans="3:13" ht="12.75" customHeight="1" x14ac:dyDescent="0.25">
      <c r="C62119"/>
      <c r="M62119"/>
    </row>
    <row r="62120" spans="3:13" ht="12.75" customHeight="1" x14ac:dyDescent="0.25">
      <c r="C62120"/>
      <c r="M62120"/>
    </row>
    <row r="62121" spans="3:13" ht="12.75" customHeight="1" x14ac:dyDescent="0.25">
      <c r="C62121"/>
      <c r="M62121"/>
    </row>
    <row r="62122" spans="3:13" ht="12.75" customHeight="1" x14ac:dyDescent="0.25">
      <c r="C62122"/>
      <c r="M62122"/>
    </row>
    <row r="62123" spans="3:13" ht="12.75" customHeight="1" x14ac:dyDescent="0.25">
      <c r="C62123"/>
      <c r="M62123"/>
    </row>
    <row r="62124" spans="3:13" ht="12.75" customHeight="1" x14ac:dyDescent="0.25">
      <c r="C62124"/>
      <c r="M62124"/>
    </row>
    <row r="62125" spans="3:13" ht="12.75" customHeight="1" x14ac:dyDescent="0.25">
      <c r="C62125"/>
      <c r="M62125"/>
    </row>
    <row r="62126" spans="3:13" ht="12.75" customHeight="1" x14ac:dyDescent="0.25">
      <c r="C62126"/>
      <c r="M62126"/>
    </row>
    <row r="62127" spans="3:13" ht="12.75" customHeight="1" x14ac:dyDescent="0.25">
      <c r="C62127"/>
      <c r="M62127"/>
    </row>
    <row r="62128" spans="3:13" ht="12.75" customHeight="1" x14ac:dyDescent="0.25">
      <c r="C62128"/>
      <c r="M62128"/>
    </row>
    <row r="62129" spans="3:13" ht="12.75" customHeight="1" x14ac:dyDescent="0.25">
      <c r="C62129"/>
      <c r="M62129"/>
    </row>
    <row r="62130" spans="3:13" ht="12.75" customHeight="1" x14ac:dyDescent="0.25">
      <c r="C62130"/>
      <c r="M62130"/>
    </row>
    <row r="62131" spans="3:13" ht="12.75" customHeight="1" x14ac:dyDescent="0.25">
      <c r="C62131"/>
      <c r="M62131"/>
    </row>
    <row r="62132" spans="3:13" ht="12.75" customHeight="1" x14ac:dyDescent="0.25">
      <c r="C62132"/>
      <c r="M62132"/>
    </row>
    <row r="62133" spans="3:13" ht="12.75" customHeight="1" x14ac:dyDescent="0.25">
      <c r="C62133"/>
      <c r="M62133"/>
    </row>
    <row r="62134" spans="3:13" ht="12.75" customHeight="1" x14ac:dyDescent="0.25">
      <c r="C62134"/>
      <c r="M62134"/>
    </row>
    <row r="62135" spans="3:13" ht="12.75" customHeight="1" x14ac:dyDescent="0.25">
      <c r="C62135"/>
      <c r="M62135"/>
    </row>
    <row r="62136" spans="3:13" ht="12.75" customHeight="1" x14ac:dyDescent="0.25">
      <c r="C62136"/>
      <c r="M62136"/>
    </row>
    <row r="62137" spans="3:13" ht="12.75" customHeight="1" x14ac:dyDescent="0.25">
      <c r="C62137"/>
      <c r="M62137"/>
    </row>
    <row r="62138" spans="3:13" ht="12.75" customHeight="1" x14ac:dyDescent="0.25">
      <c r="C62138"/>
      <c r="M62138"/>
    </row>
    <row r="62139" spans="3:13" ht="12.75" customHeight="1" x14ac:dyDescent="0.25">
      <c r="C62139"/>
      <c r="M62139"/>
    </row>
    <row r="62140" spans="3:13" ht="12.75" customHeight="1" x14ac:dyDescent="0.25">
      <c r="C62140"/>
      <c r="M62140"/>
    </row>
    <row r="62141" spans="3:13" ht="12.75" customHeight="1" x14ac:dyDescent="0.25">
      <c r="C62141"/>
      <c r="M62141"/>
    </row>
    <row r="62142" spans="3:13" ht="12.75" customHeight="1" x14ac:dyDescent="0.25">
      <c r="C62142"/>
      <c r="M62142"/>
    </row>
    <row r="62143" spans="3:13" ht="12.75" customHeight="1" x14ac:dyDescent="0.25">
      <c r="C62143"/>
      <c r="M62143"/>
    </row>
    <row r="62144" spans="3:13" ht="12.75" customHeight="1" x14ac:dyDescent="0.25">
      <c r="C62144"/>
      <c r="M62144"/>
    </row>
    <row r="62145" spans="3:13" ht="12.75" customHeight="1" x14ac:dyDescent="0.25">
      <c r="C62145"/>
      <c r="M62145"/>
    </row>
    <row r="62146" spans="3:13" ht="12.75" customHeight="1" x14ac:dyDescent="0.25">
      <c r="C62146"/>
      <c r="M62146"/>
    </row>
    <row r="62147" spans="3:13" ht="12.75" customHeight="1" x14ac:dyDescent="0.25">
      <c r="C62147"/>
      <c r="M62147"/>
    </row>
    <row r="62148" spans="3:13" ht="12.75" customHeight="1" x14ac:dyDescent="0.25">
      <c r="C62148"/>
      <c r="M62148"/>
    </row>
    <row r="62149" spans="3:13" ht="12.75" customHeight="1" x14ac:dyDescent="0.25">
      <c r="C62149"/>
      <c r="M62149"/>
    </row>
    <row r="62150" spans="3:13" ht="12.75" customHeight="1" x14ac:dyDescent="0.25">
      <c r="C62150"/>
      <c r="M62150"/>
    </row>
    <row r="62151" spans="3:13" ht="12.75" customHeight="1" x14ac:dyDescent="0.25">
      <c r="C62151"/>
      <c r="M62151"/>
    </row>
    <row r="62152" spans="3:13" ht="12.75" customHeight="1" x14ac:dyDescent="0.25">
      <c r="C62152"/>
      <c r="M62152"/>
    </row>
    <row r="62153" spans="3:13" ht="12.75" customHeight="1" x14ac:dyDescent="0.25">
      <c r="C62153"/>
      <c r="M62153"/>
    </row>
    <row r="62154" spans="3:13" ht="12.75" customHeight="1" x14ac:dyDescent="0.25">
      <c r="C62154"/>
      <c r="M62154"/>
    </row>
    <row r="62155" spans="3:13" ht="12.75" customHeight="1" x14ac:dyDescent="0.25">
      <c r="C62155"/>
      <c r="M62155"/>
    </row>
    <row r="62156" spans="3:13" ht="12.75" customHeight="1" x14ac:dyDescent="0.25">
      <c r="C62156"/>
      <c r="M62156"/>
    </row>
    <row r="62157" spans="3:13" ht="12.75" customHeight="1" x14ac:dyDescent="0.25">
      <c r="C62157"/>
      <c r="M62157"/>
    </row>
    <row r="62158" spans="3:13" ht="12.75" customHeight="1" x14ac:dyDescent="0.25">
      <c r="C62158"/>
      <c r="M62158"/>
    </row>
    <row r="62159" spans="3:13" ht="12.75" customHeight="1" x14ac:dyDescent="0.25">
      <c r="C62159"/>
      <c r="M62159"/>
    </row>
    <row r="62160" spans="3:13" ht="12.75" customHeight="1" x14ac:dyDescent="0.25">
      <c r="C62160"/>
      <c r="M62160"/>
    </row>
    <row r="62161" spans="3:13" ht="12.75" customHeight="1" x14ac:dyDescent="0.25">
      <c r="C62161"/>
      <c r="M62161"/>
    </row>
    <row r="62162" spans="3:13" ht="12.75" customHeight="1" x14ac:dyDescent="0.25">
      <c r="C62162"/>
      <c r="M62162"/>
    </row>
    <row r="62163" spans="3:13" ht="12.75" customHeight="1" x14ac:dyDescent="0.25">
      <c r="C62163"/>
      <c r="M62163"/>
    </row>
    <row r="62164" spans="3:13" ht="12.75" customHeight="1" x14ac:dyDescent="0.25">
      <c r="C62164"/>
      <c r="M62164"/>
    </row>
    <row r="62165" spans="3:13" ht="12.75" customHeight="1" x14ac:dyDescent="0.25">
      <c r="C62165"/>
      <c r="M62165"/>
    </row>
    <row r="62166" spans="3:13" ht="12.75" customHeight="1" x14ac:dyDescent="0.25">
      <c r="C62166"/>
      <c r="M62166"/>
    </row>
    <row r="62167" spans="3:13" ht="12.75" customHeight="1" x14ac:dyDescent="0.25">
      <c r="C62167"/>
      <c r="M62167"/>
    </row>
    <row r="62168" spans="3:13" ht="12.75" customHeight="1" x14ac:dyDescent="0.25">
      <c r="C62168"/>
      <c r="M62168"/>
    </row>
    <row r="62169" spans="3:13" ht="12.75" customHeight="1" x14ac:dyDescent="0.25">
      <c r="C62169"/>
      <c r="M62169"/>
    </row>
    <row r="62170" spans="3:13" ht="12.75" customHeight="1" x14ac:dyDescent="0.25">
      <c r="C62170"/>
      <c r="M62170"/>
    </row>
    <row r="62171" spans="3:13" ht="12.75" customHeight="1" x14ac:dyDescent="0.25">
      <c r="C62171"/>
      <c r="M62171"/>
    </row>
    <row r="62172" spans="3:13" ht="12.75" customHeight="1" x14ac:dyDescent="0.25">
      <c r="C62172"/>
      <c r="M62172"/>
    </row>
    <row r="62173" spans="3:13" ht="12.75" customHeight="1" x14ac:dyDescent="0.25">
      <c r="C62173"/>
      <c r="M62173"/>
    </row>
    <row r="62174" spans="3:13" ht="12.75" customHeight="1" x14ac:dyDescent="0.25">
      <c r="C62174"/>
      <c r="M62174"/>
    </row>
    <row r="62175" spans="3:13" ht="12.75" customHeight="1" x14ac:dyDescent="0.25">
      <c r="C62175"/>
      <c r="M62175"/>
    </row>
    <row r="62176" spans="3:13" ht="12.75" customHeight="1" x14ac:dyDescent="0.25">
      <c r="C62176"/>
      <c r="M62176"/>
    </row>
    <row r="62177" spans="3:13" ht="12.75" customHeight="1" x14ac:dyDescent="0.25">
      <c r="C62177"/>
      <c r="M62177"/>
    </row>
    <row r="62178" spans="3:13" ht="12.75" customHeight="1" x14ac:dyDescent="0.25">
      <c r="C62178"/>
      <c r="M62178"/>
    </row>
    <row r="62179" spans="3:13" ht="12.75" customHeight="1" x14ac:dyDescent="0.25">
      <c r="C62179"/>
      <c r="M62179"/>
    </row>
    <row r="62180" spans="3:13" ht="12.75" customHeight="1" x14ac:dyDescent="0.25">
      <c r="C62180"/>
      <c r="M62180"/>
    </row>
    <row r="62181" spans="3:13" ht="12.75" customHeight="1" x14ac:dyDescent="0.25">
      <c r="C62181"/>
      <c r="M62181"/>
    </row>
    <row r="62182" spans="3:13" ht="12.75" customHeight="1" x14ac:dyDescent="0.25">
      <c r="C62182"/>
      <c r="M62182"/>
    </row>
    <row r="62183" spans="3:13" ht="12.75" customHeight="1" x14ac:dyDescent="0.25">
      <c r="C62183"/>
      <c r="M62183"/>
    </row>
    <row r="62184" spans="3:13" ht="12.75" customHeight="1" x14ac:dyDescent="0.25">
      <c r="C62184"/>
      <c r="M62184"/>
    </row>
    <row r="62185" spans="3:13" ht="12.75" customHeight="1" x14ac:dyDescent="0.25">
      <c r="C62185"/>
      <c r="M62185"/>
    </row>
    <row r="62186" spans="3:13" ht="12.75" customHeight="1" x14ac:dyDescent="0.25">
      <c r="C62186"/>
      <c r="M62186"/>
    </row>
    <row r="62187" spans="3:13" ht="12.75" customHeight="1" x14ac:dyDescent="0.25">
      <c r="C62187"/>
      <c r="M62187"/>
    </row>
    <row r="62188" spans="3:13" ht="12.75" customHeight="1" x14ac:dyDescent="0.25">
      <c r="C62188"/>
      <c r="M62188"/>
    </row>
    <row r="62189" spans="3:13" ht="12.75" customHeight="1" x14ac:dyDescent="0.25">
      <c r="C62189"/>
      <c r="M62189"/>
    </row>
    <row r="62190" spans="3:13" ht="12.75" customHeight="1" x14ac:dyDescent="0.25">
      <c r="C62190"/>
      <c r="M62190"/>
    </row>
    <row r="62191" spans="3:13" ht="12.75" customHeight="1" x14ac:dyDescent="0.25">
      <c r="C62191"/>
      <c r="M62191"/>
    </row>
    <row r="62192" spans="3:13" ht="12.75" customHeight="1" x14ac:dyDescent="0.25">
      <c r="C62192"/>
      <c r="M62192"/>
    </row>
    <row r="62193" spans="3:13" ht="12.75" customHeight="1" x14ac:dyDescent="0.25">
      <c r="C62193"/>
      <c r="M62193"/>
    </row>
    <row r="62194" spans="3:13" ht="12.75" customHeight="1" x14ac:dyDescent="0.25">
      <c r="C62194"/>
      <c r="M62194"/>
    </row>
    <row r="62195" spans="3:13" ht="12.75" customHeight="1" x14ac:dyDescent="0.25">
      <c r="C62195"/>
      <c r="M62195"/>
    </row>
    <row r="62196" spans="3:13" ht="12.75" customHeight="1" x14ac:dyDescent="0.25">
      <c r="C62196"/>
      <c r="M62196"/>
    </row>
    <row r="62197" spans="3:13" ht="12.75" customHeight="1" x14ac:dyDescent="0.25">
      <c r="C62197"/>
      <c r="M62197"/>
    </row>
    <row r="62198" spans="3:13" ht="12.75" customHeight="1" x14ac:dyDescent="0.25">
      <c r="C62198"/>
      <c r="M62198"/>
    </row>
    <row r="62199" spans="3:13" ht="12.75" customHeight="1" x14ac:dyDescent="0.25">
      <c r="C62199"/>
      <c r="M62199"/>
    </row>
    <row r="62200" spans="3:13" ht="12.75" customHeight="1" x14ac:dyDescent="0.25">
      <c r="C62200"/>
      <c r="M62200"/>
    </row>
    <row r="62201" spans="3:13" ht="12.75" customHeight="1" x14ac:dyDescent="0.25">
      <c r="C62201"/>
      <c r="M62201"/>
    </row>
    <row r="62202" spans="3:13" ht="12.75" customHeight="1" x14ac:dyDescent="0.25">
      <c r="C62202"/>
      <c r="M62202"/>
    </row>
    <row r="62203" spans="3:13" ht="12.75" customHeight="1" x14ac:dyDescent="0.25">
      <c r="C62203"/>
      <c r="M62203"/>
    </row>
    <row r="62204" spans="3:13" ht="12.75" customHeight="1" x14ac:dyDescent="0.25">
      <c r="C62204"/>
      <c r="M62204"/>
    </row>
    <row r="62205" spans="3:13" ht="12.75" customHeight="1" x14ac:dyDescent="0.25">
      <c r="C62205"/>
      <c r="M62205"/>
    </row>
    <row r="62206" spans="3:13" ht="12.75" customHeight="1" x14ac:dyDescent="0.25">
      <c r="C62206"/>
      <c r="M62206"/>
    </row>
    <row r="62207" spans="3:13" ht="12.75" customHeight="1" x14ac:dyDescent="0.25">
      <c r="C62207"/>
      <c r="M62207"/>
    </row>
    <row r="62208" spans="3:13" ht="12.75" customHeight="1" x14ac:dyDescent="0.25">
      <c r="C62208"/>
      <c r="M62208"/>
    </row>
    <row r="62209" spans="3:13" ht="12.75" customHeight="1" x14ac:dyDescent="0.25">
      <c r="C62209"/>
      <c r="M62209"/>
    </row>
    <row r="62210" spans="3:13" ht="12.75" customHeight="1" x14ac:dyDescent="0.25">
      <c r="C62210"/>
      <c r="M62210"/>
    </row>
    <row r="62211" spans="3:13" ht="12.75" customHeight="1" x14ac:dyDescent="0.25">
      <c r="C62211"/>
      <c r="M62211"/>
    </row>
    <row r="62212" spans="3:13" ht="12.75" customHeight="1" x14ac:dyDescent="0.25">
      <c r="C62212"/>
      <c r="M62212"/>
    </row>
    <row r="62213" spans="3:13" ht="12.75" customHeight="1" x14ac:dyDescent="0.25">
      <c r="C62213"/>
      <c r="M62213"/>
    </row>
    <row r="62214" spans="3:13" ht="12.75" customHeight="1" x14ac:dyDescent="0.25">
      <c r="C62214"/>
      <c r="M62214"/>
    </row>
    <row r="62215" spans="3:13" ht="12.75" customHeight="1" x14ac:dyDescent="0.25">
      <c r="C62215"/>
      <c r="M62215"/>
    </row>
    <row r="62216" spans="3:13" ht="12.75" customHeight="1" x14ac:dyDescent="0.25">
      <c r="C62216"/>
      <c r="M62216"/>
    </row>
    <row r="62217" spans="3:13" ht="12.75" customHeight="1" x14ac:dyDescent="0.25">
      <c r="C62217"/>
      <c r="M62217"/>
    </row>
    <row r="62218" spans="3:13" ht="12.75" customHeight="1" x14ac:dyDescent="0.25">
      <c r="C62218"/>
      <c r="M62218"/>
    </row>
    <row r="62219" spans="3:13" ht="12.75" customHeight="1" x14ac:dyDescent="0.25">
      <c r="C62219"/>
      <c r="M62219"/>
    </row>
    <row r="62220" spans="3:13" ht="12.75" customHeight="1" x14ac:dyDescent="0.25">
      <c r="C62220"/>
      <c r="M62220"/>
    </row>
    <row r="62221" spans="3:13" ht="12.75" customHeight="1" x14ac:dyDescent="0.25">
      <c r="C62221"/>
      <c r="M62221"/>
    </row>
    <row r="62222" spans="3:13" ht="12.75" customHeight="1" x14ac:dyDescent="0.25">
      <c r="C62222"/>
      <c r="M62222"/>
    </row>
    <row r="62223" spans="3:13" ht="12.75" customHeight="1" x14ac:dyDescent="0.25">
      <c r="C62223"/>
      <c r="M62223"/>
    </row>
    <row r="62224" spans="3:13" ht="12.75" customHeight="1" x14ac:dyDescent="0.25">
      <c r="C62224"/>
      <c r="M62224"/>
    </row>
    <row r="62225" spans="3:13" ht="12.75" customHeight="1" x14ac:dyDescent="0.25">
      <c r="C62225"/>
      <c r="M62225"/>
    </row>
    <row r="62226" spans="3:13" ht="12.75" customHeight="1" x14ac:dyDescent="0.25">
      <c r="C62226"/>
      <c r="M62226"/>
    </row>
    <row r="62227" spans="3:13" ht="12.75" customHeight="1" x14ac:dyDescent="0.25">
      <c r="C62227"/>
      <c r="M62227"/>
    </row>
    <row r="62228" spans="3:13" ht="12.75" customHeight="1" x14ac:dyDescent="0.25">
      <c r="C62228"/>
      <c r="M62228"/>
    </row>
    <row r="62229" spans="3:13" ht="12.75" customHeight="1" x14ac:dyDescent="0.25">
      <c r="C62229"/>
      <c r="M62229"/>
    </row>
    <row r="62230" spans="3:13" ht="12.75" customHeight="1" x14ac:dyDescent="0.25">
      <c r="C62230"/>
      <c r="M62230"/>
    </row>
    <row r="62231" spans="3:13" ht="12.75" customHeight="1" x14ac:dyDescent="0.25">
      <c r="C62231"/>
      <c r="M62231"/>
    </row>
    <row r="62232" spans="3:13" ht="12.75" customHeight="1" x14ac:dyDescent="0.25">
      <c r="C62232"/>
      <c r="M62232"/>
    </row>
    <row r="62233" spans="3:13" ht="12.75" customHeight="1" x14ac:dyDescent="0.25">
      <c r="C62233"/>
      <c r="M62233"/>
    </row>
    <row r="62234" spans="3:13" ht="12.75" customHeight="1" x14ac:dyDescent="0.25">
      <c r="C62234"/>
      <c r="M62234"/>
    </row>
    <row r="62235" spans="3:13" ht="12.75" customHeight="1" x14ac:dyDescent="0.25">
      <c r="C62235"/>
      <c r="M62235"/>
    </row>
    <row r="62236" spans="3:13" ht="12.75" customHeight="1" x14ac:dyDescent="0.25">
      <c r="C62236"/>
      <c r="M62236"/>
    </row>
    <row r="62237" spans="3:13" ht="12.75" customHeight="1" x14ac:dyDescent="0.25">
      <c r="C62237"/>
      <c r="M62237"/>
    </row>
    <row r="62238" spans="3:13" ht="12.75" customHeight="1" x14ac:dyDescent="0.25">
      <c r="C62238"/>
      <c r="M62238"/>
    </row>
    <row r="62239" spans="3:13" ht="12.75" customHeight="1" x14ac:dyDescent="0.25">
      <c r="C62239"/>
      <c r="M62239"/>
    </row>
    <row r="62240" spans="3:13" ht="12.75" customHeight="1" x14ac:dyDescent="0.25">
      <c r="C62240"/>
      <c r="M62240"/>
    </row>
    <row r="62241" spans="3:13" ht="12.75" customHeight="1" x14ac:dyDescent="0.25">
      <c r="C62241"/>
      <c r="M62241"/>
    </row>
    <row r="62242" spans="3:13" ht="12.75" customHeight="1" x14ac:dyDescent="0.25">
      <c r="C62242"/>
      <c r="M62242"/>
    </row>
    <row r="62243" spans="3:13" ht="12.75" customHeight="1" x14ac:dyDescent="0.25">
      <c r="C62243"/>
      <c r="M62243"/>
    </row>
    <row r="62244" spans="3:13" ht="12.75" customHeight="1" x14ac:dyDescent="0.25">
      <c r="C62244"/>
      <c r="M62244"/>
    </row>
    <row r="62245" spans="3:13" ht="12.75" customHeight="1" x14ac:dyDescent="0.25">
      <c r="C62245"/>
      <c r="M62245"/>
    </row>
    <row r="62246" spans="3:13" ht="12.75" customHeight="1" x14ac:dyDescent="0.25">
      <c r="C62246"/>
      <c r="M62246"/>
    </row>
    <row r="62247" spans="3:13" ht="12.75" customHeight="1" x14ac:dyDescent="0.25">
      <c r="C62247"/>
      <c r="M62247"/>
    </row>
    <row r="62248" spans="3:13" ht="12.75" customHeight="1" x14ac:dyDescent="0.25">
      <c r="C62248"/>
      <c r="M62248"/>
    </row>
    <row r="62249" spans="3:13" ht="12.75" customHeight="1" x14ac:dyDescent="0.25">
      <c r="C62249"/>
      <c r="M62249"/>
    </row>
    <row r="62250" spans="3:13" ht="12.75" customHeight="1" x14ac:dyDescent="0.25">
      <c r="C62250"/>
      <c r="M62250"/>
    </row>
    <row r="62251" spans="3:13" ht="12.75" customHeight="1" x14ac:dyDescent="0.25">
      <c r="C62251"/>
      <c r="M62251"/>
    </row>
    <row r="62252" spans="3:13" ht="12.75" customHeight="1" x14ac:dyDescent="0.25">
      <c r="C62252"/>
      <c r="M62252"/>
    </row>
    <row r="62253" spans="3:13" ht="12.75" customHeight="1" x14ac:dyDescent="0.25">
      <c r="C62253"/>
      <c r="M62253"/>
    </row>
    <row r="62254" spans="3:13" ht="12.75" customHeight="1" x14ac:dyDescent="0.25">
      <c r="C62254"/>
      <c r="M62254"/>
    </row>
    <row r="62255" spans="3:13" ht="12.75" customHeight="1" x14ac:dyDescent="0.25">
      <c r="C62255"/>
      <c r="M62255"/>
    </row>
    <row r="62256" spans="3:13" ht="12.75" customHeight="1" x14ac:dyDescent="0.25">
      <c r="C62256"/>
      <c r="M62256"/>
    </row>
    <row r="62257" spans="3:13" ht="12.75" customHeight="1" x14ac:dyDescent="0.25">
      <c r="C62257"/>
      <c r="M62257"/>
    </row>
    <row r="62258" spans="3:13" ht="12.75" customHeight="1" x14ac:dyDescent="0.25">
      <c r="C62258"/>
      <c r="M62258"/>
    </row>
    <row r="62259" spans="3:13" ht="12.75" customHeight="1" x14ac:dyDescent="0.25">
      <c r="C62259"/>
      <c r="M62259"/>
    </row>
    <row r="62260" spans="3:13" ht="12.75" customHeight="1" x14ac:dyDescent="0.25">
      <c r="C62260"/>
      <c r="M62260"/>
    </row>
    <row r="62261" spans="3:13" ht="12.75" customHeight="1" x14ac:dyDescent="0.25">
      <c r="C62261"/>
      <c r="M62261"/>
    </row>
    <row r="62262" spans="3:13" ht="12.75" customHeight="1" x14ac:dyDescent="0.25">
      <c r="C62262"/>
      <c r="M62262"/>
    </row>
    <row r="62263" spans="3:13" ht="12.75" customHeight="1" x14ac:dyDescent="0.25">
      <c r="C62263"/>
      <c r="M62263"/>
    </row>
    <row r="62264" spans="3:13" ht="12.75" customHeight="1" x14ac:dyDescent="0.25">
      <c r="C62264"/>
      <c r="M62264"/>
    </row>
    <row r="62265" spans="3:13" ht="12.75" customHeight="1" x14ac:dyDescent="0.25">
      <c r="C62265"/>
      <c r="M62265"/>
    </row>
    <row r="62266" spans="3:13" ht="12.75" customHeight="1" x14ac:dyDescent="0.25">
      <c r="C62266"/>
      <c r="M62266"/>
    </row>
    <row r="62267" spans="3:13" ht="12.75" customHeight="1" x14ac:dyDescent="0.25">
      <c r="C62267"/>
      <c r="M62267"/>
    </row>
    <row r="62268" spans="3:13" ht="12.75" customHeight="1" x14ac:dyDescent="0.25">
      <c r="C62268"/>
      <c r="M62268"/>
    </row>
    <row r="62269" spans="3:13" ht="12.75" customHeight="1" x14ac:dyDescent="0.25">
      <c r="C62269"/>
      <c r="M62269"/>
    </row>
    <row r="62270" spans="3:13" ht="12.75" customHeight="1" x14ac:dyDescent="0.25">
      <c r="C62270"/>
      <c r="M62270"/>
    </row>
    <row r="62271" spans="3:13" ht="12.75" customHeight="1" x14ac:dyDescent="0.25">
      <c r="C62271"/>
      <c r="M62271"/>
    </row>
    <row r="62272" spans="3:13" ht="12.75" customHeight="1" x14ac:dyDescent="0.25">
      <c r="C62272"/>
      <c r="M62272"/>
    </row>
    <row r="62273" spans="3:13" ht="12.75" customHeight="1" x14ac:dyDescent="0.25">
      <c r="C62273"/>
      <c r="M62273"/>
    </row>
    <row r="62274" spans="3:13" ht="12.75" customHeight="1" x14ac:dyDescent="0.25">
      <c r="C62274"/>
      <c r="M62274"/>
    </row>
    <row r="62275" spans="3:13" ht="12.75" customHeight="1" x14ac:dyDescent="0.25">
      <c r="C62275"/>
      <c r="M62275"/>
    </row>
    <row r="62276" spans="3:13" ht="12.75" customHeight="1" x14ac:dyDescent="0.25">
      <c r="C62276"/>
      <c r="M62276"/>
    </row>
    <row r="62277" spans="3:13" ht="12.75" customHeight="1" x14ac:dyDescent="0.25">
      <c r="C62277"/>
      <c r="M62277"/>
    </row>
    <row r="62278" spans="3:13" ht="12.75" customHeight="1" x14ac:dyDescent="0.25">
      <c r="C62278"/>
      <c r="M62278"/>
    </row>
    <row r="62279" spans="3:13" ht="12.75" customHeight="1" x14ac:dyDescent="0.25">
      <c r="C62279"/>
      <c r="M62279"/>
    </row>
    <row r="62280" spans="3:13" ht="12.75" customHeight="1" x14ac:dyDescent="0.25">
      <c r="C62280"/>
      <c r="M62280"/>
    </row>
    <row r="62281" spans="3:13" ht="12.75" customHeight="1" x14ac:dyDescent="0.25">
      <c r="C62281"/>
      <c r="M62281"/>
    </row>
    <row r="62282" spans="3:13" ht="12.75" customHeight="1" x14ac:dyDescent="0.25">
      <c r="C62282"/>
      <c r="M62282"/>
    </row>
    <row r="62283" spans="3:13" ht="12.75" customHeight="1" x14ac:dyDescent="0.25">
      <c r="C62283"/>
      <c r="M62283"/>
    </row>
    <row r="62284" spans="3:13" ht="12.75" customHeight="1" x14ac:dyDescent="0.25">
      <c r="C62284"/>
      <c r="M62284"/>
    </row>
    <row r="62285" spans="3:13" ht="12.75" customHeight="1" x14ac:dyDescent="0.25">
      <c r="C62285"/>
      <c r="M62285"/>
    </row>
    <row r="62286" spans="3:13" ht="12.75" customHeight="1" x14ac:dyDescent="0.25">
      <c r="C62286"/>
      <c r="M62286"/>
    </row>
    <row r="62287" spans="3:13" ht="12.75" customHeight="1" x14ac:dyDescent="0.25">
      <c r="C62287"/>
      <c r="M62287"/>
    </row>
    <row r="62288" spans="3:13" ht="12.75" customHeight="1" x14ac:dyDescent="0.25">
      <c r="C62288"/>
      <c r="M62288"/>
    </row>
    <row r="62289" spans="3:13" ht="12.75" customHeight="1" x14ac:dyDescent="0.25">
      <c r="C62289"/>
      <c r="M62289"/>
    </row>
    <row r="62290" spans="3:13" ht="12.75" customHeight="1" x14ac:dyDescent="0.25">
      <c r="C62290"/>
      <c r="M62290"/>
    </row>
    <row r="62291" spans="3:13" ht="12.75" customHeight="1" x14ac:dyDescent="0.25">
      <c r="C62291"/>
      <c r="M62291"/>
    </row>
    <row r="62292" spans="3:13" ht="12.75" customHeight="1" x14ac:dyDescent="0.25">
      <c r="C62292"/>
      <c r="M62292"/>
    </row>
    <row r="62293" spans="3:13" ht="12.75" customHeight="1" x14ac:dyDescent="0.25">
      <c r="C62293"/>
      <c r="M62293"/>
    </row>
    <row r="62294" spans="3:13" ht="12.75" customHeight="1" x14ac:dyDescent="0.25">
      <c r="C62294"/>
      <c r="M62294"/>
    </row>
    <row r="62295" spans="3:13" ht="12.75" customHeight="1" x14ac:dyDescent="0.25">
      <c r="C62295"/>
      <c r="M62295"/>
    </row>
    <row r="62296" spans="3:13" ht="12.75" customHeight="1" x14ac:dyDescent="0.25">
      <c r="C62296"/>
      <c r="M62296"/>
    </row>
    <row r="62297" spans="3:13" ht="12.75" customHeight="1" x14ac:dyDescent="0.25">
      <c r="C62297"/>
      <c r="M62297"/>
    </row>
    <row r="62298" spans="3:13" ht="12.75" customHeight="1" x14ac:dyDescent="0.25">
      <c r="C62298"/>
      <c r="M62298"/>
    </row>
    <row r="62299" spans="3:13" ht="12.75" customHeight="1" x14ac:dyDescent="0.25">
      <c r="C62299"/>
      <c r="M62299"/>
    </row>
    <row r="62300" spans="3:13" ht="12.75" customHeight="1" x14ac:dyDescent="0.25">
      <c r="C62300"/>
      <c r="M62300"/>
    </row>
    <row r="62301" spans="3:13" ht="12.75" customHeight="1" x14ac:dyDescent="0.25">
      <c r="C62301"/>
      <c r="M62301"/>
    </row>
    <row r="62302" spans="3:13" ht="12.75" customHeight="1" x14ac:dyDescent="0.25">
      <c r="C62302"/>
      <c r="M62302"/>
    </row>
    <row r="62303" spans="3:13" ht="12.75" customHeight="1" x14ac:dyDescent="0.25">
      <c r="C62303"/>
      <c r="M62303"/>
    </row>
    <row r="62304" spans="3:13" ht="12.75" customHeight="1" x14ac:dyDescent="0.25">
      <c r="C62304"/>
      <c r="M62304"/>
    </row>
    <row r="62305" spans="3:13" ht="12.75" customHeight="1" x14ac:dyDescent="0.25">
      <c r="C62305"/>
      <c r="M62305"/>
    </row>
    <row r="62306" spans="3:13" ht="12.75" customHeight="1" x14ac:dyDescent="0.25">
      <c r="C62306"/>
      <c r="M62306"/>
    </row>
    <row r="62307" spans="3:13" ht="12.75" customHeight="1" x14ac:dyDescent="0.25">
      <c r="C62307"/>
      <c r="M62307"/>
    </row>
    <row r="62308" spans="3:13" ht="12.75" customHeight="1" x14ac:dyDescent="0.25">
      <c r="C62308"/>
      <c r="M62308"/>
    </row>
    <row r="62309" spans="3:13" ht="12.75" customHeight="1" x14ac:dyDescent="0.25">
      <c r="C62309"/>
      <c r="M62309"/>
    </row>
    <row r="62310" spans="3:13" ht="12.75" customHeight="1" x14ac:dyDescent="0.25">
      <c r="C62310"/>
      <c r="M62310"/>
    </row>
    <row r="62311" spans="3:13" ht="12.75" customHeight="1" x14ac:dyDescent="0.25">
      <c r="C62311"/>
      <c r="M62311"/>
    </row>
    <row r="62312" spans="3:13" ht="12.75" customHeight="1" x14ac:dyDescent="0.25">
      <c r="C62312"/>
      <c r="M62312"/>
    </row>
    <row r="62313" spans="3:13" ht="12.75" customHeight="1" x14ac:dyDescent="0.25">
      <c r="C62313"/>
      <c r="M62313"/>
    </row>
    <row r="62314" spans="3:13" ht="12.75" customHeight="1" x14ac:dyDescent="0.25">
      <c r="C62314"/>
      <c r="M62314"/>
    </row>
    <row r="62315" spans="3:13" ht="12.75" customHeight="1" x14ac:dyDescent="0.25">
      <c r="C62315"/>
      <c r="M62315"/>
    </row>
    <row r="62316" spans="3:13" ht="12.75" customHeight="1" x14ac:dyDescent="0.25">
      <c r="C62316"/>
      <c r="M62316"/>
    </row>
    <row r="62317" spans="3:13" ht="12.75" customHeight="1" x14ac:dyDescent="0.25">
      <c r="C62317"/>
      <c r="M62317"/>
    </row>
    <row r="62318" spans="3:13" ht="12.75" customHeight="1" x14ac:dyDescent="0.25">
      <c r="C62318"/>
      <c r="M62318"/>
    </row>
    <row r="62319" spans="3:13" ht="12.75" customHeight="1" x14ac:dyDescent="0.25">
      <c r="C62319"/>
      <c r="M62319"/>
    </row>
    <row r="62320" spans="3:13" ht="12.75" customHeight="1" x14ac:dyDescent="0.25">
      <c r="C62320"/>
      <c r="M62320"/>
    </row>
    <row r="62321" spans="3:13" ht="12.75" customHeight="1" x14ac:dyDescent="0.25">
      <c r="C62321"/>
      <c r="M62321"/>
    </row>
    <row r="62322" spans="3:13" ht="12.75" customHeight="1" x14ac:dyDescent="0.25">
      <c r="C62322"/>
      <c r="M62322"/>
    </row>
    <row r="62323" spans="3:13" ht="12.75" customHeight="1" x14ac:dyDescent="0.25">
      <c r="C62323"/>
      <c r="M62323"/>
    </row>
    <row r="62324" spans="3:13" ht="12.75" customHeight="1" x14ac:dyDescent="0.25">
      <c r="C62324"/>
      <c r="M62324"/>
    </row>
    <row r="62325" spans="3:13" ht="12.75" customHeight="1" x14ac:dyDescent="0.25">
      <c r="C62325"/>
      <c r="M62325"/>
    </row>
    <row r="62326" spans="3:13" ht="12.75" customHeight="1" x14ac:dyDescent="0.25">
      <c r="C62326"/>
      <c r="M62326"/>
    </row>
    <row r="62327" spans="3:13" ht="12.75" customHeight="1" x14ac:dyDescent="0.25">
      <c r="C62327"/>
      <c r="M62327"/>
    </row>
    <row r="62328" spans="3:13" ht="12.75" customHeight="1" x14ac:dyDescent="0.25">
      <c r="C62328"/>
      <c r="M62328"/>
    </row>
    <row r="62329" spans="3:13" ht="12.75" customHeight="1" x14ac:dyDescent="0.25">
      <c r="C62329"/>
      <c r="M62329"/>
    </row>
    <row r="62330" spans="3:13" ht="12.75" customHeight="1" x14ac:dyDescent="0.25">
      <c r="C62330"/>
      <c r="M62330"/>
    </row>
    <row r="62331" spans="3:13" ht="12.75" customHeight="1" x14ac:dyDescent="0.25">
      <c r="C62331"/>
      <c r="M62331"/>
    </row>
    <row r="62332" spans="3:13" ht="12.75" customHeight="1" x14ac:dyDescent="0.25">
      <c r="C62332"/>
      <c r="M62332"/>
    </row>
    <row r="62333" spans="3:13" ht="12.75" customHeight="1" x14ac:dyDescent="0.25">
      <c r="C62333"/>
      <c r="M62333"/>
    </row>
    <row r="62334" spans="3:13" ht="12.75" customHeight="1" x14ac:dyDescent="0.25">
      <c r="C62334"/>
      <c r="M62334"/>
    </row>
    <row r="62335" spans="3:13" ht="12.75" customHeight="1" x14ac:dyDescent="0.25">
      <c r="C62335"/>
      <c r="M62335"/>
    </row>
    <row r="62336" spans="3:13" ht="12.75" customHeight="1" x14ac:dyDescent="0.25">
      <c r="C62336"/>
      <c r="M62336"/>
    </row>
    <row r="62337" spans="3:13" ht="12.75" customHeight="1" x14ac:dyDescent="0.25">
      <c r="C62337"/>
      <c r="M62337"/>
    </row>
    <row r="62338" spans="3:13" ht="12.75" customHeight="1" x14ac:dyDescent="0.25">
      <c r="C62338"/>
      <c r="M62338"/>
    </row>
    <row r="62339" spans="3:13" ht="12.75" customHeight="1" x14ac:dyDescent="0.25">
      <c r="C62339"/>
      <c r="M62339"/>
    </row>
    <row r="62340" spans="3:13" ht="12.75" customHeight="1" x14ac:dyDescent="0.25">
      <c r="C62340"/>
      <c r="M62340"/>
    </row>
    <row r="62341" spans="3:13" ht="12.75" customHeight="1" x14ac:dyDescent="0.25">
      <c r="C62341"/>
      <c r="M62341"/>
    </row>
    <row r="62342" spans="3:13" ht="12.75" customHeight="1" x14ac:dyDescent="0.25">
      <c r="C62342"/>
      <c r="M62342"/>
    </row>
    <row r="62343" spans="3:13" ht="12.75" customHeight="1" x14ac:dyDescent="0.25">
      <c r="C62343"/>
      <c r="M62343"/>
    </row>
    <row r="62344" spans="3:13" ht="12.75" customHeight="1" x14ac:dyDescent="0.25">
      <c r="C62344"/>
      <c r="M62344"/>
    </row>
    <row r="62345" spans="3:13" ht="12.75" customHeight="1" x14ac:dyDescent="0.25">
      <c r="C62345"/>
      <c r="M62345"/>
    </row>
    <row r="62346" spans="3:13" ht="12.75" customHeight="1" x14ac:dyDescent="0.25">
      <c r="C62346"/>
      <c r="M62346"/>
    </row>
    <row r="62347" spans="3:13" ht="12.75" customHeight="1" x14ac:dyDescent="0.25">
      <c r="C62347"/>
      <c r="M62347"/>
    </row>
    <row r="62348" spans="3:13" ht="12.75" customHeight="1" x14ac:dyDescent="0.25">
      <c r="C62348"/>
      <c r="M62348"/>
    </row>
    <row r="62349" spans="3:13" ht="12.75" customHeight="1" x14ac:dyDescent="0.25">
      <c r="C62349"/>
      <c r="M62349"/>
    </row>
    <row r="62350" spans="3:13" ht="12.75" customHeight="1" x14ac:dyDescent="0.25">
      <c r="C62350"/>
      <c r="M62350"/>
    </row>
    <row r="62351" spans="3:13" ht="12.75" customHeight="1" x14ac:dyDescent="0.25">
      <c r="C62351"/>
      <c r="M62351"/>
    </row>
    <row r="62352" spans="3:13" ht="12.75" customHeight="1" x14ac:dyDescent="0.25">
      <c r="C62352"/>
      <c r="M62352"/>
    </row>
    <row r="62353" spans="3:13" ht="12.75" customHeight="1" x14ac:dyDescent="0.25">
      <c r="C62353"/>
      <c r="M62353"/>
    </row>
    <row r="62354" spans="3:13" ht="12.75" customHeight="1" x14ac:dyDescent="0.25">
      <c r="C62354"/>
      <c r="M62354"/>
    </row>
    <row r="62355" spans="3:13" ht="12.75" customHeight="1" x14ac:dyDescent="0.25">
      <c r="C62355"/>
      <c r="M62355"/>
    </row>
    <row r="62356" spans="3:13" ht="12.75" customHeight="1" x14ac:dyDescent="0.25">
      <c r="C62356"/>
      <c r="M62356"/>
    </row>
    <row r="62357" spans="3:13" ht="12.75" customHeight="1" x14ac:dyDescent="0.25">
      <c r="C62357"/>
      <c r="M62357"/>
    </row>
    <row r="62358" spans="3:13" ht="12.75" customHeight="1" x14ac:dyDescent="0.25">
      <c r="C62358"/>
      <c r="M62358"/>
    </row>
    <row r="62359" spans="3:13" ht="12.75" customHeight="1" x14ac:dyDescent="0.25">
      <c r="C62359"/>
      <c r="M62359"/>
    </row>
    <row r="62360" spans="3:13" ht="12.75" customHeight="1" x14ac:dyDescent="0.25">
      <c r="C62360"/>
      <c r="M62360"/>
    </row>
    <row r="62361" spans="3:13" ht="12.75" customHeight="1" x14ac:dyDescent="0.25">
      <c r="C62361"/>
      <c r="M62361"/>
    </row>
    <row r="62362" spans="3:13" ht="12.75" customHeight="1" x14ac:dyDescent="0.25">
      <c r="C62362"/>
      <c r="M62362"/>
    </row>
    <row r="62363" spans="3:13" ht="12.75" customHeight="1" x14ac:dyDescent="0.25">
      <c r="C62363"/>
      <c r="M62363"/>
    </row>
    <row r="62364" spans="3:13" ht="12.75" customHeight="1" x14ac:dyDescent="0.25">
      <c r="C62364"/>
      <c r="M62364"/>
    </row>
    <row r="62365" spans="3:13" ht="12.75" customHeight="1" x14ac:dyDescent="0.25">
      <c r="C62365"/>
      <c r="M62365"/>
    </row>
    <row r="62366" spans="3:13" ht="12.75" customHeight="1" x14ac:dyDescent="0.25">
      <c r="C62366"/>
      <c r="M62366"/>
    </row>
    <row r="62367" spans="3:13" ht="12.75" customHeight="1" x14ac:dyDescent="0.25">
      <c r="C62367"/>
      <c r="M62367"/>
    </row>
    <row r="62368" spans="3:13" ht="12.75" customHeight="1" x14ac:dyDescent="0.25">
      <c r="C62368"/>
      <c r="M62368"/>
    </row>
    <row r="62369" spans="3:13" ht="12.75" customHeight="1" x14ac:dyDescent="0.25">
      <c r="C62369"/>
      <c r="M62369"/>
    </row>
    <row r="62370" spans="3:13" ht="12.75" customHeight="1" x14ac:dyDescent="0.25">
      <c r="C62370"/>
      <c r="M62370"/>
    </row>
    <row r="62371" spans="3:13" ht="12.75" customHeight="1" x14ac:dyDescent="0.25">
      <c r="C62371"/>
      <c r="M62371"/>
    </row>
    <row r="62372" spans="3:13" ht="12.75" customHeight="1" x14ac:dyDescent="0.25">
      <c r="C62372"/>
      <c r="M62372"/>
    </row>
    <row r="62373" spans="3:13" ht="12.75" customHeight="1" x14ac:dyDescent="0.25">
      <c r="C62373"/>
      <c r="M62373"/>
    </row>
    <row r="62374" spans="3:13" ht="12.75" customHeight="1" x14ac:dyDescent="0.25">
      <c r="C62374"/>
      <c r="M62374"/>
    </row>
    <row r="62375" spans="3:13" ht="12.75" customHeight="1" x14ac:dyDescent="0.25">
      <c r="C62375"/>
      <c r="M62375"/>
    </row>
    <row r="62376" spans="3:13" ht="12.75" customHeight="1" x14ac:dyDescent="0.25">
      <c r="C62376"/>
      <c r="M62376"/>
    </row>
    <row r="62377" spans="3:13" ht="12.75" customHeight="1" x14ac:dyDescent="0.25">
      <c r="C62377"/>
      <c r="M62377"/>
    </row>
    <row r="62378" spans="3:13" ht="12.75" customHeight="1" x14ac:dyDescent="0.25">
      <c r="C62378"/>
      <c r="M62378"/>
    </row>
    <row r="62379" spans="3:13" ht="12.75" customHeight="1" x14ac:dyDescent="0.25">
      <c r="C62379"/>
      <c r="M62379"/>
    </row>
    <row r="62380" spans="3:13" ht="12.75" customHeight="1" x14ac:dyDescent="0.25">
      <c r="C62380"/>
      <c r="M62380"/>
    </row>
    <row r="62381" spans="3:13" ht="12.75" customHeight="1" x14ac:dyDescent="0.25">
      <c r="C62381"/>
      <c r="M62381"/>
    </row>
    <row r="62382" spans="3:13" ht="12.75" customHeight="1" x14ac:dyDescent="0.25">
      <c r="C62382"/>
      <c r="M62382"/>
    </row>
    <row r="62383" spans="3:13" ht="12.75" customHeight="1" x14ac:dyDescent="0.25">
      <c r="C62383"/>
      <c r="M62383"/>
    </row>
    <row r="62384" spans="3:13" ht="12.75" customHeight="1" x14ac:dyDescent="0.25">
      <c r="C62384"/>
      <c r="M62384"/>
    </row>
    <row r="62385" spans="3:13" ht="12.75" customHeight="1" x14ac:dyDescent="0.25">
      <c r="C62385"/>
      <c r="M62385"/>
    </row>
    <row r="62386" spans="3:13" ht="12.75" customHeight="1" x14ac:dyDescent="0.25">
      <c r="C62386"/>
      <c r="M62386"/>
    </row>
    <row r="62387" spans="3:13" ht="12.75" customHeight="1" x14ac:dyDescent="0.25">
      <c r="C62387"/>
      <c r="M62387"/>
    </row>
    <row r="62388" spans="3:13" ht="12.75" customHeight="1" x14ac:dyDescent="0.25">
      <c r="C62388"/>
      <c r="M62388"/>
    </row>
    <row r="62389" spans="3:13" ht="12.75" customHeight="1" x14ac:dyDescent="0.25">
      <c r="C62389"/>
      <c r="M62389"/>
    </row>
    <row r="62390" spans="3:13" ht="12.75" customHeight="1" x14ac:dyDescent="0.25">
      <c r="C62390"/>
      <c r="M62390"/>
    </row>
    <row r="62391" spans="3:13" ht="12.75" customHeight="1" x14ac:dyDescent="0.25">
      <c r="C62391"/>
      <c r="M62391"/>
    </row>
    <row r="62392" spans="3:13" ht="12.75" customHeight="1" x14ac:dyDescent="0.25">
      <c r="C62392"/>
      <c r="M62392"/>
    </row>
    <row r="62393" spans="3:13" ht="12.75" customHeight="1" x14ac:dyDescent="0.25">
      <c r="C62393"/>
      <c r="M62393"/>
    </row>
    <row r="62394" spans="3:13" ht="12.75" customHeight="1" x14ac:dyDescent="0.25">
      <c r="C62394"/>
      <c r="M62394"/>
    </row>
    <row r="62395" spans="3:13" ht="12.75" customHeight="1" x14ac:dyDescent="0.25">
      <c r="C62395"/>
      <c r="M62395"/>
    </row>
    <row r="62396" spans="3:13" ht="12.75" customHeight="1" x14ac:dyDescent="0.25">
      <c r="C62396"/>
      <c r="M62396"/>
    </row>
    <row r="62397" spans="3:13" ht="12.75" customHeight="1" x14ac:dyDescent="0.25">
      <c r="C62397"/>
      <c r="M62397"/>
    </row>
    <row r="62398" spans="3:13" ht="12.75" customHeight="1" x14ac:dyDescent="0.25">
      <c r="C62398"/>
      <c r="M62398"/>
    </row>
    <row r="62399" spans="3:13" ht="12.75" customHeight="1" x14ac:dyDescent="0.25">
      <c r="C62399"/>
      <c r="M62399"/>
    </row>
    <row r="62400" spans="3:13" ht="12.75" customHeight="1" x14ac:dyDescent="0.25">
      <c r="C62400"/>
      <c r="M62400"/>
    </row>
    <row r="62401" spans="3:13" ht="12.75" customHeight="1" x14ac:dyDescent="0.25">
      <c r="C62401"/>
      <c r="M62401"/>
    </row>
    <row r="62402" spans="3:13" ht="12.75" customHeight="1" x14ac:dyDescent="0.25">
      <c r="C62402"/>
      <c r="M62402"/>
    </row>
    <row r="62403" spans="3:13" ht="12.75" customHeight="1" x14ac:dyDescent="0.25">
      <c r="C62403"/>
      <c r="M62403"/>
    </row>
    <row r="62404" spans="3:13" ht="12.75" customHeight="1" x14ac:dyDescent="0.25">
      <c r="C62404"/>
      <c r="M62404"/>
    </row>
    <row r="62405" spans="3:13" ht="12.75" customHeight="1" x14ac:dyDescent="0.25">
      <c r="C62405"/>
      <c r="M62405"/>
    </row>
    <row r="62406" spans="3:13" ht="12.75" customHeight="1" x14ac:dyDescent="0.25">
      <c r="C62406"/>
      <c r="M62406"/>
    </row>
    <row r="62407" spans="3:13" ht="12.75" customHeight="1" x14ac:dyDescent="0.25">
      <c r="C62407"/>
      <c r="M62407"/>
    </row>
    <row r="62408" spans="3:13" ht="12.75" customHeight="1" x14ac:dyDescent="0.25">
      <c r="C62408"/>
      <c r="M62408"/>
    </row>
    <row r="62409" spans="3:13" ht="12.75" customHeight="1" x14ac:dyDescent="0.25">
      <c r="C62409"/>
      <c r="M62409"/>
    </row>
    <row r="62410" spans="3:13" ht="12.75" customHeight="1" x14ac:dyDescent="0.25">
      <c r="C62410"/>
      <c r="M62410"/>
    </row>
    <row r="62411" spans="3:13" ht="12.75" customHeight="1" x14ac:dyDescent="0.25">
      <c r="C62411"/>
      <c r="M62411"/>
    </row>
    <row r="62412" spans="3:13" ht="12.75" customHeight="1" x14ac:dyDescent="0.25">
      <c r="C62412"/>
      <c r="M62412"/>
    </row>
    <row r="62413" spans="3:13" ht="12.75" customHeight="1" x14ac:dyDescent="0.25">
      <c r="C62413"/>
      <c r="M62413"/>
    </row>
    <row r="62414" spans="3:13" ht="12.75" customHeight="1" x14ac:dyDescent="0.25">
      <c r="C62414"/>
      <c r="M62414"/>
    </row>
    <row r="62415" spans="3:13" ht="12.75" customHeight="1" x14ac:dyDescent="0.25">
      <c r="C62415"/>
      <c r="M62415"/>
    </row>
    <row r="62416" spans="3:13" ht="12.75" customHeight="1" x14ac:dyDescent="0.25">
      <c r="C62416"/>
      <c r="M62416"/>
    </row>
    <row r="62417" spans="3:13" ht="12.75" customHeight="1" x14ac:dyDescent="0.25">
      <c r="C62417"/>
      <c r="M62417"/>
    </row>
    <row r="62418" spans="3:13" ht="12.75" customHeight="1" x14ac:dyDescent="0.25">
      <c r="C62418"/>
      <c r="M62418"/>
    </row>
    <row r="62419" spans="3:13" ht="12.75" customHeight="1" x14ac:dyDescent="0.25">
      <c r="C62419"/>
      <c r="M62419"/>
    </row>
    <row r="62420" spans="3:13" ht="12.75" customHeight="1" x14ac:dyDescent="0.25">
      <c r="C62420"/>
      <c r="M62420"/>
    </row>
    <row r="62421" spans="3:13" ht="12.75" customHeight="1" x14ac:dyDescent="0.25">
      <c r="C62421"/>
      <c r="M62421"/>
    </row>
    <row r="62422" spans="3:13" ht="12.75" customHeight="1" x14ac:dyDescent="0.25">
      <c r="C62422"/>
      <c r="M62422"/>
    </row>
    <row r="62423" spans="3:13" ht="12.75" customHeight="1" x14ac:dyDescent="0.25">
      <c r="C62423"/>
      <c r="M62423"/>
    </row>
    <row r="62424" spans="3:13" ht="12.75" customHeight="1" x14ac:dyDescent="0.25">
      <c r="C62424"/>
      <c r="M62424"/>
    </row>
    <row r="62425" spans="3:13" ht="12.75" customHeight="1" x14ac:dyDescent="0.25">
      <c r="C62425"/>
      <c r="M62425"/>
    </row>
    <row r="62426" spans="3:13" ht="12.75" customHeight="1" x14ac:dyDescent="0.25">
      <c r="C62426"/>
      <c r="M62426"/>
    </row>
    <row r="62427" spans="3:13" ht="12.75" customHeight="1" x14ac:dyDescent="0.25">
      <c r="C62427"/>
      <c r="M62427"/>
    </row>
    <row r="62428" spans="3:13" ht="12.75" customHeight="1" x14ac:dyDescent="0.25">
      <c r="C62428"/>
      <c r="M62428"/>
    </row>
    <row r="62429" spans="3:13" ht="12.75" customHeight="1" x14ac:dyDescent="0.25">
      <c r="C62429"/>
      <c r="M62429"/>
    </row>
    <row r="62430" spans="3:13" ht="12.75" customHeight="1" x14ac:dyDescent="0.25">
      <c r="C62430"/>
      <c r="M62430"/>
    </row>
    <row r="62431" spans="3:13" ht="12.75" customHeight="1" x14ac:dyDescent="0.25">
      <c r="C62431"/>
      <c r="M62431"/>
    </row>
    <row r="62432" spans="3:13" ht="12.75" customHeight="1" x14ac:dyDescent="0.25">
      <c r="C62432"/>
      <c r="M62432"/>
    </row>
    <row r="62433" spans="3:13" ht="12.75" customHeight="1" x14ac:dyDescent="0.25">
      <c r="C62433"/>
      <c r="M62433"/>
    </row>
    <row r="62434" spans="3:13" ht="12.75" customHeight="1" x14ac:dyDescent="0.25">
      <c r="C62434"/>
      <c r="M62434"/>
    </row>
    <row r="62435" spans="3:13" ht="12.75" customHeight="1" x14ac:dyDescent="0.25">
      <c r="C62435"/>
      <c r="M62435"/>
    </row>
    <row r="62436" spans="3:13" ht="12.75" customHeight="1" x14ac:dyDescent="0.25">
      <c r="C62436"/>
      <c r="M62436"/>
    </row>
    <row r="62437" spans="3:13" ht="12.75" customHeight="1" x14ac:dyDescent="0.25">
      <c r="C62437"/>
      <c r="M62437"/>
    </row>
    <row r="62438" spans="3:13" ht="12.75" customHeight="1" x14ac:dyDescent="0.25">
      <c r="C62438"/>
      <c r="M62438"/>
    </row>
    <row r="62439" spans="3:13" ht="12.75" customHeight="1" x14ac:dyDescent="0.25">
      <c r="C62439"/>
      <c r="M62439"/>
    </row>
    <row r="62440" spans="3:13" ht="12.75" customHeight="1" x14ac:dyDescent="0.25">
      <c r="C62440"/>
      <c r="M62440"/>
    </row>
    <row r="62441" spans="3:13" ht="12.75" customHeight="1" x14ac:dyDescent="0.25">
      <c r="C62441"/>
      <c r="M62441"/>
    </row>
    <row r="62442" spans="3:13" ht="12.75" customHeight="1" x14ac:dyDescent="0.25">
      <c r="C62442"/>
      <c r="M62442"/>
    </row>
    <row r="62443" spans="3:13" ht="12.75" customHeight="1" x14ac:dyDescent="0.25">
      <c r="C62443"/>
      <c r="M62443"/>
    </row>
    <row r="62444" spans="3:13" ht="12.75" customHeight="1" x14ac:dyDescent="0.25">
      <c r="C62444"/>
      <c r="M62444"/>
    </row>
    <row r="62445" spans="3:13" ht="12.75" customHeight="1" x14ac:dyDescent="0.25">
      <c r="C62445"/>
      <c r="M62445"/>
    </row>
    <row r="62446" spans="3:13" ht="12.75" customHeight="1" x14ac:dyDescent="0.25">
      <c r="C62446"/>
      <c r="M62446"/>
    </row>
    <row r="62447" spans="3:13" ht="12.75" customHeight="1" x14ac:dyDescent="0.25">
      <c r="C62447"/>
      <c r="M62447"/>
    </row>
    <row r="62448" spans="3:13" ht="12.75" customHeight="1" x14ac:dyDescent="0.25">
      <c r="C62448"/>
      <c r="M62448"/>
    </row>
    <row r="62449" spans="3:13" ht="12.75" customHeight="1" x14ac:dyDescent="0.25">
      <c r="C62449"/>
      <c r="M62449"/>
    </row>
    <row r="62450" spans="3:13" ht="12.75" customHeight="1" x14ac:dyDescent="0.25">
      <c r="C62450"/>
      <c r="M62450"/>
    </row>
    <row r="62451" spans="3:13" ht="12.75" customHeight="1" x14ac:dyDescent="0.25">
      <c r="C62451"/>
      <c r="M62451"/>
    </row>
    <row r="62452" spans="3:13" ht="12.75" customHeight="1" x14ac:dyDescent="0.25">
      <c r="C62452"/>
      <c r="M62452"/>
    </row>
    <row r="62453" spans="3:13" ht="12.75" customHeight="1" x14ac:dyDescent="0.25">
      <c r="C62453"/>
      <c r="M62453"/>
    </row>
    <row r="62454" spans="3:13" ht="12.75" customHeight="1" x14ac:dyDescent="0.25">
      <c r="C62454"/>
      <c r="M62454"/>
    </row>
    <row r="62455" spans="3:13" ht="12.75" customHeight="1" x14ac:dyDescent="0.25">
      <c r="C62455"/>
      <c r="M62455"/>
    </row>
    <row r="62456" spans="3:13" ht="12.75" customHeight="1" x14ac:dyDescent="0.25">
      <c r="C62456"/>
      <c r="M62456"/>
    </row>
    <row r="62457" spans="3:13" ht="12.75" customHeight="1" x14ac:dyDescent="0.25">
      <c r="C62457"/>
      <c r="M62457"/>
    </row>
    <row r="62458" spans="3:13" ht="12.75" customHeight="1" x14ac:dyDescent="0.25">
      <c r="C62458"/>
      <c r="M62458"/>
    </row>
    <row r="62459" spans="3:13" ht="12.75" customHeight="1" x14ac:dyDescent="0.25">
      <c r="C62459"/>
      <c r="M62459"/>
    </row>
    <row r="62460" spans="3:13" ht="12.75" customHeight="1" x14ac:dyDescent="0.25">
      <c r="C62460"/>
      <c r="M62460"/>
    </row>
    <row r="62461" spans="3:13" ht="12.75" customHeight="1" x14ac:dyDescent="0.25">
      <c r="C62461"/>
      <c r="M62461"/>
    </row>
    <row r="62462" spans="3:13" ht="12.75" customHeight="1" x14ac:dyDescent="0.25">
      <c r="C62462"/>
      <c r="M62462"/>
    </row>
    <row r="62463" spans="3:13" ht="12.75" customHeight="1" x14ac:dyDescent="0.25">
      <c r="C62463"/>
      <c r="M62463"/>
    </row>
    <row r="62464" spans="3:13" ht="12.75" customHeight="1" x14ac:dyDescent="0.25">
      <c r="C62464"/>
      <c r="M62464"/>
    </row>
    <row r="62465" spans="3:13" ht="12.75" customHeight="1" x14ac:dyDescent="0.25">
      <c r="C62465"/>
      <c r="M62465"/>
    </row>
    <row r="62466" spans="3:13" ht="12.75" customHeight="1" x14ac:dyDescent="0.25">
      <c r="C62466"/>
      <c r="M62466"/>
    </row>
    <row r="62467" spans="3:13" ht="12.75" customHeight="1" x14ac:dyDescent="0.25">
      <c r="C62467"/>
      <c r="M62467"/>
    </row>
    <row r="62468" spans="3:13" ht="12.75" customHeight="1" x14ac:dyDescent="0.25">
      <c r="C62468"/>
      <c r="M62468"/>
    </row>
    <row r="62469" spans="3:13" ht="12.75" customHeight="1" x14ac:dyDescent="0.25">
      <c r="C62469"/>
      <c r="M62469"/>
    </row>
    <row r="62470" spans="3:13" ht="12.75" customHeight="1" x14ac:dyDescent="0.25">
      <c r="C62470"/>
      <c r="M62470"/>
    </row>
    <row r="62471" spans="3:13" ht="12.75" customHeight="1" x14ac:dyDescent="0.25">
      <c r="C62471"/>
      <c r="M62471"/>
    </row>
    <row r="62472" spans="3:13" ht="12.75" customHeight="1" x14ac:dyDescent="0.25">
      <c r="C62472"/>
      <c r="M62472"/>
    </row>
    <row r="62473" spans="3:13" ht="12.75" customHeight="1" x14ac:dyDescent="0.25">
      <c r="C62473"/>
      <c r="M62473"/>
    </row>
    <row r="62474" spans="3:13" ht="12.75" customHeight="1" x14ac:dyDescent="0.25">
      <c r="C62474"/>
      <c r="M62474"/>
    </row>
    <row r="62475" spans="3:13" ht="12.75" customHeight="1" x14ac:dyDescent="0.25">
      <c r="C62475"/>
      <c r="M62475"/>
    </row>
    <row r="62476" spans="3:13" ht="12.75" customHeight="1" x14ac:dyDescent="0.25">
      <c r="C62476"/>
      <c r="M62476"/>
    </row>
    <row r="62477" spans="3:13" ht="12.75" customHeight="1" x14ac:dyDescent="0.25">
      <c r="C62477"/>
      <c r="M62477"/>
    </row>
    <row r="62478" spans="3:13" ht="12.75" customHeight="1" x14ac:dyDescent="0.25">
      <c r="C62478"/>
      <c r="M62478"/>
    </row>
    <row r="62479" spans="3:13" ht="12.75" customHeight="1" x14ac:dyDescent="0.25">
      <c r="C62479"/>
      <c r="M62479"/>
    </row>
    <row r="62480" spans="3:13" ht="12.75" customHeight="1" x14ac:dyDescent="0.25">
      <c r="C62480"/>
      <c r="M62480"/>
    </row>
    <row r="62481" spans="3:13" ht="12.75" customHeight="1" x14ac:dyDescent="0.25">
      <c r="C62481"/>
      <c r="M62481"/>
    </row>
    <row r="62482" spans="3:13" ht="12.75" customHeight="1" x14ac:dyDescent="0.25">
      <c r="C62482"/>
      <c r="M62482"/>
    </row>
    <row r="62483" spans="3:13" ht="12.75" customHeight="1" x14ac:dyDescent="0.25">
      <c r="C62483"/>
      <c r="M62483"/>
    </row>
    <row r="62484" spans="3:13" ht="12.75" customHeight="1" x14ac:dyDescent="0.25">
      <c r="C62484"/>
      <c r="M62484"/>
    </row>
    <row r="62485" spans="3:13" ht="12.75" customHeight="1" x14ac:dyDescent="0.25">
      <c r="C62485"/>
      <c r="M62485"/>
    </row>
    <row r="62486" spans="3:13" ht="12.75" customHeight="1" x14ac:dyDescent="0.25">
      <c r="C62486"/>
      <c r="M62486"/>
    </row>
    <row r="62487" spans="3:13" ht="12.75" customHeight="1" x14ac:dyDescent="0.25">
      <c r="C62487"/>
      <c r="M62487"/>
    </row>
    <row r="62488" spans="3:13" ht="12.75" customHeight="1" x14ac:dyDescent="0.25">
      <c r="C62488"/>
      <c r="M62488"/>
    </row>
    <row r="62489" spans="3:13" ht="12.75" customHeight="1" x14ac:dyDescent="0.25">
      <c r="C62489"/>
      <c r="M62489"/>
    </row>
    <row r="62490" spans="3:13" ht="12.75" customHeight="1" x14ac:dyDescent="0.25">
      <c r="C62490"/>
      <c r="M62490"/>
    </row>
    <row r="62491" spans="3:13" ht="12.75" customHeight="1" x14ac:dyDescent="0.25">
      <c r="C62491"/>
      <c r="M62491"/>
    </row>
    <row r="62492" spans="3:13" ht="12.75" customHeight="1" x14ac:dyDescent="0.25">
      <c r="C62492"/>
      <c r="M62492"/>
    </row>
    <row r="62493" spans="3:13" ht="12.75" customHeight="1" x14ac:dyDescent="0.25">
      <c r="C62493"/>
      <c r="M62493"/>
    </row>
    <row r="62494" spans="3:13" ht="12.75" customHeight="1" x14ac:dyDescent="0.25">
      <c r="C62494"/>
      <c r="M62494"/>
    </row>
    <row r="62495" spans="3:13" ht="12.75" customHeight="1" x14ac:dyDescent="0.25">
      <c r="C62495"/>
      <c r="M62495"/>
    </row>
    <row r="62496" spans="3:13" ht="12.75" customHeight="1" x14ac:dyDescent="0.25">
      <c r="C62496"/>
      <c r="M62496"/>
    </row>
    <row r="62497" spans="3:13" ht="12.75" customHeight="1" x14ac:dyDescent="0.25">
      <c r="C62497"/>
      <c r="M62497"/>
    </row>
    <row r="62498" spans="3:13" ht="12.75" customHeight="1" x14ac:dyDescent="0.25">
      <c r="C62498"/>
      <c r="M62498"/>
    </row>
    <row r="62499" spans="3:13" ht="12.75" customHeight="1" x14ac:dyDescent="0.25">
      <c r="C62499"/>
      <c r="M62499"/>
    </row>
    <row r="62500" spans="3:13" ht="12.75" customHeight="1" x14ac:dyDescent="0.25">
      <c r="C62500"/>
      <c r="M62500"/>
    </row>
    <row r="62501" spans="3:13" ht="12.75" customHeight="1" x14ac:dyDescent="0.25">
      <c r="C62501"/>
      <c r="M62501"/>
    </row>
    <row r="62502" spans="3:13" ht="12.75" customHeight="1" x14ac:dyDescent="0.25">
      <c r="C62502"/>
      <c r="M62502"/>
    </row>
    <row r="62503" spans="3:13" ht="12.75" customHeight="1" x14ac:dyDescent="0.25">
      <c r="C62503"/>
      <c r="M62503"/>
    </row>
    <row r="62504" spans="3:13" ht="12.75" customHeight="1" x14ac:dyDescent="0.25">
      <c r="C62504"/>
      <c r="M62504"/>
    </row>
    <row r="62505" spans="3:13" ht="12.75" customHeight="1" x14ac:dyDescent="0.25">
      <c r="C62505"/>
      <c r="M62505"/>
    </row>
    <row r="62506" spans="3:13" ht="12.75" customHeight="1" x14ac:dyDescent="0.25">
      <c r="C62506"/>
      <c r="M62506"/>
    </row>
    <row r="62507" spans="3:13" ht="12.75" customHeight="1" x14ac:dyDescent="0.25">
      <c r="C62507"/>
      <c r="M62507"/>
    </row>
    <row r="62508" spans="3:13" ht="12.75" customHeight="1" x14ac:dyDescent="0.25">
      <c r="C62508"/>
      <c r="M62508"/>
    </row>
    <row r="62509" spans="3:13" ht="12.75" customHeight="1" x14ac:dyDescent="0.25">
      <c r="C62509"/>
      <c r="M62509"/>
    </row>
    <row r="62510" spans="3:13" ht="12.75" customHeight="1" x14ac:dyDescent="0.25">
      <c r="C62510"/>
      <c r="M62510"/>
    </row>
    <row r="62511" spans="3:13" ht="12.75" customHeight="1" x14ac:dyDescent="0.25">
      <c r="C62511"/>
      <c r="M62511"/>
    </row>
    <row r="62512" spans="3:13" ht="12.75" customHeight="1" x14ac:dyDescent="0.25">
      <c r="C62512"/>
      <c r="M62512"/>
    </row>
    <row r="62513" spans="3:13" ht="12.75" customHeight="1" x14ac:dyDescent="0.25">
      <c r="C62513"/>
      <c r="M62513"/>
    </row>
    <row r="62514" spans="3:13" ht="12.75" customHeight="1" x14ac:dyDescent="0.25">
      <c r="C62514"/>
      <c r="M62514"/>
    </row>
    <row r="62515" spans="3:13" ht="12.75" customHeight="1" x14ac:dyDescent="0.25">
      <c r="C62515"/>
      <c r="M62515"/>
    </row>
    <row r="62516" spans="3:13" ht="12.75" customHeight="1" x14ac:dyDescent="0.25">
      <c r="C62516"/>
      <c r="M62516"/>
    </row>
    <row r="62517" spans="3:13" ht="12.75" customHeight="1" x14ac:dyDescent="0.25">
      <c r="C62517"/>
      <c r="M62517"/>
    </row>
    <row r="62518" spans="3:13" ht="12.75" customHeight="1" x14ac:dyDescent="0.25">
      <c r="C62518"/>
      <c r="M62518"/>
    </row>
    <row r="62519" spans="3:13" ht="12.75" customHeight="1" x14ac:dyDescent="0.25">
      <c r="C62519"/>
      <c r="M62519"/>
    </row>
    <row r="62520" spans="3:13" ht="12.75" customHeight="1" x14ac:dyDescent="0.25">
      <c r="C62520"/>
      <c r="M62520"/>
    </row>
    <row r="62521" spans="3:13" ht="12.75" customHeight="1" x14ac:dyDescent="0.25">
      <c r="C62521"/>
      <c r="M62521"/>
    </row>
    <row r="62522" spans="3:13" ht="12.75" customHeight="1" x14ac:dyDescent="0.25">
      <c r="C62522"/>
      <c r="M62522"/>
    </row>
    <row r="62523" spans="3:13" ht="12.75" customHeight="1" x14ac:dyDescent="0.25">
      <c r="C62523"/>
      <c r="M62523"/>
    </row>
    <row r="62524" spans="3:13" ht="12.75" customHeight="1" x14ac:dyDescent="0.25">
      <c r="C62524"/>
      <c r="M62524"/>
    </row>
    <row r="62525" spans="3:13" ht="12.75" customHeight="1" x14ac:dyDescent="0.25">
      <c r="C62525"/>
      <c r="M62525"/>
    </row>
    <row r="62526" spans="3:13" ht="12.75" customHeight="1" x14ac:dyDescent="0.25">
      <c r="C62526"/>
      <c r="M62526"/>
    </row>
    <row r="62527" spans="3:13" ht="12.75" customHeight="1" x14ac:dyDescent="0.25">
      <c r="C62527"/>
      <c r="M62527"/>
    </row>
    <row r="62528" spans="3:13" ht="12.75" customHeight="1" x14ac:dyDescent="0.25">
      <c r="C62528"/>
      <c r="M62528"/>
    </row>
    <row r="62529" spans="3:13" ht="12.75" customHeight="1" x14ac:dyDescent="0.25">
      <c r="C62529"/>
      <c r="M62529"/>
    </row>
    <row r="62530" spans="3:13" ht="12.75" customHeight="1" x14ac:dyDescent="0.25">
      <c r="C62530"/>
      <c r="M62530"/>
    </row>
    <row r="62531" spans="3:13" ht="12.75" customHeight="1" x14ac:dyDescent="0.25">
      <c r="C62531"/>
      <c r="M62531"/>
    </row>
    <row r="62532" spans="3:13" ht="12.75" customHeight="1" x14ac:dyDescent="0.25">
      <c r="C62532"/>
      <c r="M62532"/>
    </row>
    <row r="62533" spans="3:13" ht="12.75" customHeight="1" x14ac:dyDescent="0.25">
      <c r="C62533"/>
      <c r="M62533"/>
    </row>
    <row r="62534" spans="3:13" ht="12.75" customHeight="1" x14ac:dyDescent="0.25">
      <c r="C62534"/>
      <c r="M62534"/>
    </row>
    <row r="62535" spans="3:13" ht="12.75" customHeight="1" x14ac:dyDescent="0.25">
      <c r="C62535"/>
      <c r="M62535"/>
    </row>
    <row r="62536" spans="3:13" ht="12.75" customHeight="1" x14ac:dyDescent="0.25">
      <c r="C62536"/>
      <c r="M62536"/>
    </row>
    <row r="62537" spans="3:13" ht="12.75" customHeight="1" x14ac:dyDescent="0.25">
      <c r="C62537"/>
      <c r="M62537"/>
    </row>
    <row r="62538" spans="3:13" ht="12.75" customHeight="1" x14ac:dyDescent="0.25">
      <c r="C62538"/>
      <c r="M62538"/>
    </row>
    <row r="62539" spans="3:13" ht="12.75" customHeight="1" x14ac:dyDescent="0.25">
      <c r="C62539"/>
      <c r="M62539"/>
    </row>
    <row r="62540" spans="3:13" ht="12.75" customHeight="1" x14ac:dyDescent="0.25">
      <c r="C62540"/>
      <c r="M62540"/>
    </row>
    <row r="62541" spans="3:13" ht="12.75" customHeight="1" x14ac:dyDescent="0.25">
      <c r="C62541"/>
      <c r="M62541"/>
    </row>
    <row r="62542" spans="3:13" ht="12.75" customHeight="1" x14ac:dyDescent="0.25">
      <c r="C62542"/>
      <c r="M62542"/>
    </row>
    <row r="62543" spans="3:13" ht="12.75" customHeight="1" x14ac:dyDescent="0.25">
      <c r="C62543"/>
      <c r="M62543"/>
    </row>
    <row r="62544" spans="3:13" ht="12.75" customHeight="1" x14ac:dyDescent="0.25">
      <c r="C62544"/>
      <c r="M62544"/>
    </row>
    <row r="62545" spans="3:13" ht="12.75" customHeight="1" x14ac:dyDescent="0.25">
      <c r="C62545"/>
      <c r="M62545"/>
    </row>
    <row r="62546" spans="3:13" ht="12.75" customHeight="1" x14ac:dyDescent="0.25">
      <c r="C62546"/>
      <c r="M62546"/>
    </row>
    <row r="62547" spans="3:13" ht="12.75" customHeight="1" x14ac:dyDescent="0.25">
      <c r="C62547"/>
      <c r="M62547"/>
    </row>
    <row r="62548" spans="3:13" ht="12.75" customHeight="1" x14ac:dyDescent="0.25">
      <c r="C62548"/>
      <c r="M62548"/>
    </row>
    <row r="62549" spans="3:13" ht="12.75" customHeight="1" x14ac:dyDescent="0.25">
      <c r="C62549"/>
      <c r="M62549"/>
    </row>
    <row r="62550" spans="3:13" ht="12.75" customHeight="1" x14ac:dyDescent="0.25">
      <c r="C62550"/>
      <c r="M62550"/>
    </row>
    <row r="62551" spans="3:13" ht="12.75" customHeight="1" x14ac:dyDescent="0.25">
      <c r="C62551"/>
      <c r="M62551"/>
    </row>
    <row r="62552" spans="3:13" ht="12.75" customHeight="1" x14ac:dyDescent="0.25">
      <c r="C62552"/>
      <c r="M62552"/>
    </row>
    <row r="62553" spans="3:13" ht="12.75" customHeight="1" x14ac:dyDescent="0.25">
      <c r="C62553"/>
      <c r="M62553"/>
    </row>
    <row r="62554" spans="3:13" ht="12.75" customHeight="1" x14ac:dyDescent="0.25">
      <c r="C62554"/>
      <c r="M62554"/>
    </row>
    <row r="62555" spans="3:13" ht="12.75" customHeight="1" x14ac:dyDescent="0.25">
      <c r="C62555"/>
      <c r="M62555"/>
    </row>
    <row r="62556" spans="3:13" ht="12.75" customHeight="1" x14ac:dyDescent="0.25">
      <c r="C62556"/>
      <c r="M62556"/>
    </row>
    <row r="62557" spans="3:13" ht="12.75" customHeight="1" x14ac:dyDescent="0.25">
      <c r="C62557"/>
      <c r="M62557"/>
    </row>
    <row r="62558" spans="3:13" ht="12.75" customHeight="1" x14ac:dyDescent="0.25">
      <c r="C62558"/>
      <c r="M62558"/>
    </row>
    <row r="62559" spans="3:13" ht="12.75" customHeight="1" x14ac:dyDescent="0.25">
      <c r="C62559"/>
      <c r="M62559"/>
    </row>
    <row r="62560" spans="3:13" ht="12.75" customHeight="1" x14ac:dyDescent="0.25">
      <c r="C62560"/>
      <c r="M62560"/>
    </row>
    <row r="62561" spans="3:13" ht="12.75" customHeight="1" x14ac:dyDescent="0.25">
      <c r="C62561"/>
      <c r="M62561"/>
    </row>
    <row r="62562" spans="3:13" ht="12.75" customHeight="1" x14ac:dyDescent="0.25">
      <c r="C62562"/>
      <c r="M62562"/>
    </row>
    <row r="62563" spans="3:13" ht="12.75" customHeight="1" x14ac:dyDescent="0.25">
      <c r="C62563"/>
      <c r="M62563"/>
    </row>
    <row r="62564" spans="3:13" ht="12.75" customHeight="1" x14ac:dyDescent="0.25">
      <c r="C62564"/>
      <c r="M62564"/>
    </row>
    <row r="62565" spans="3:13" ht="12.75" customHeight="1" x14ac:dyDescent="0.25">
      <c r="C62565"/>
      <c r="M62565"/>
    </row>
    <row r="62566" spans="3:13" ht="12.75" customHeight="1" x14ac:dyDescent="0.25">
      <c r="C62566"/>
      <c r="M62566"/>
    </row>
    <row r="62567" spans="3:13" ht="12.75" customHeight="1" x14ac:dyDescent="0.25">
      <c r="C62567"/>
      <c r="M62567"/>
    </row>
    <row r="62568" spans="3:13" ht="12.75" customHeight="1" x14ac:dyDescent="0.25">
      <c r="C62568"/>
      <c r="M62568"/>
    </row>
    <row r="62569" spans="3:13" ht="12.75" customHeight="1" x14ac:dyDescent="0.25">
      <c r="C62569"/>
      <c r="M62569"/>
    </row>
    <row r="62570" spans="3:13" ht="12.75" customHeight="1" x14ac:dyDescent="0.25">
      <c r="C62570"/>
      <c r="M62570"/>
    </row>
    <row r="62571" spans="3:13" ht="12.75" customHeight="1" x14ac:dyDescent="0.25">
      <c r="C62571"/>
      <c r="M62571"/>
    </row>
    <row r="62572" spans="3:13" ht="12.75" customHeight="1" x14ac:dyDescent="0.25">
      <c r="C62572"/>
      <c r="M62572"/>
    </row>
    <row r="62573" spans="3:13" ht="12.75" customHeight="1" x14ac:dyDescent="0.25">
      <c r="C62573"/>
      <c r="M62573"/>
    </row>
    <row r="62574" spans="3:13" ht="12.75" customHeight="1" x14ac:dyDescent="0.25">
      <c r="C62574"/>
      <c r="M62574"/>
    </row>
    <row r="62575" spans="3:13" ht="12.75" customHeight="1" x14ac:dyDescent="0.25">
      <c r="C62575"/>
      <c r="M62575"/>
    </row>
    <row r="62576" spans="3:13" ht="12.75" customHeight="1" x14ac:dyDescent="0.25">
      <c r="C62576"/>
      <c r="M62576"/>
    </row>
    <row r="62577" spans="3:13" ht="12.75" customHeight="1" x14ac:dyDescent="0.25">
      <c r="C62577"/>
      <c r="M62577"/>
    </row>
    <row r="62578" spans="3:13" ht="12.75" customHeight="1" x14ac:dyDescent="0.25">
      <c r="C62578"/>
      <c r="M62578"/>
    </row>
    <row r="62579" spans="3:13" ht="12.75" customHeight="1" x14ac:dyDescent="0.25">
      <c r="C62579"/>
      <c r="M62579"/>
    </row>
    <row r="62580" spans="3:13" ht="12.75" customHeight="1" x14ac:dyDescent="0.25">
      <c r="C62580"/>
      <c r="M62580"/>
    </row>
    <row r="62581" spans="3:13" ht="12.75" customHeight="1" x14ac:dyDescent="0.25">
      <c r="C62581"/>
      <c r="M62581"/>
    </row>
    <row r="62582" spans="3:13" ht="12.75" customHeight="1" x14ac:dyDescent="0.25">
      <c r="C62582"/>
      <c r="M62582"/>
    </row>
    <row r="62583" spans="3:13" ht="12.75" customHeight="1" x14ac:dyDescent="0.25">
      <c r="C62583"/>
      <c r="M62583"/>
    </row>
    <row r="62584" spans="3:13" ht="12.75" customHeight="1" x14ac:dyDescent="0.25">
      <c r="C62584"/>
      <c r="M62584"/>
    </row>
    <row r="62585" spans="3:13" ht="12.75" customHeight="1" x14ac:dyDescent="0.25">
      <c r="C62585"/>
      <c r="M62585"/>
    </row>
    <row r="62586" spans="3:13" ht="12.75" customHeight="1" x14ac:dyDescent="0.25">
      <c r="C62586"/>
      <c r="M62586"/>
    </row>
    <row r="62587" spans="3:13" ht="12.75" customHeight="1" x14ac:dyDescent="0.25">
      <c r="C62587"/>
      <c r="M62587"/>
    </row>
    <row r="62588" spans="3:13" ht="12.75" customHeight="1" x14ac:dyDescent="0.25">
      <c r="C62588"/>
      <c r="M62588"/>
    </row>
    <row r="62589" spans="3:13" ht="12.75" customHeight="1" x14ac:dyDescent="0.25">
      <c r="C62589"/>
      <c r="M62589"/>
    </row>
    <row r="62590" spans="3:13" ht="12.75" customHeight="1" x14ac:dyDescent="0.25">
      <c r="C62590"/>
      <c r="M62590"/>
    </row>
    <row r="62591" spans="3:13" ht="12.75" customHeight="1" x14ac:dyDescent="0.25">
      <c r="C62591"/>
      <c r="M62591"/>
    </row>
    <row r="62592" spans="3:13" ht="12.75" customHeight="1" x14ac:dyDescent="0.25">
      <c r="C62592"/>
      <c r="M62592"/>
    </row>
    <row r="62593" spans="3:13" ht="12.75" customHeight="1" x14ac:dyDescent="0.25">
      <c r="C62593"/>
      <c r="M62593"/>
    </row>
    <row r="62594" spans="3:13" ht="12.75" customHeight="1" x14ac:dyDescent="0.25">
      <c r="C62594"/>
      <c r="M62594"/>
    </row>
    <row r="62595" spans="3:13" ht="12.75" customHeight="1" x14ac:dyDescent="0.25">
      <c r="C62595"/>
      <c r="M62595"/>
    </row>
    <row r="62596" spans="3:13" ht="12.75" customHeight="1" x14ac:dyDescent="0.25">
      <c r="C62596"/>
      <c r="M62596"/>
    </row>
    <row r="62597" spans="3:13" ht="12.75" customHeight="1" x14ac:dyDescent="0.25">
      <c r="C62597"/>
      <c r="M62597"/>
    </row>
    <row r="62598" spans="3:13" ht="12.75" customHeight="1" x14ac:dyDescent="0.25">
      <c r="C62598"/>
      <c r="M62598"/>
    </row>
    <row r="62599" spans="3:13" ht="12.75" customHeight="1" x14ac:dyDescent="0.25">
      <c r="C62599"/>
      <c r="M62599"/>
    </row>
    <row r="62600" spans="3:13" ht="12.75" customHeight="1" x14ac:dyDescent="0.25">
      <c r="C62600"/>
      <c r="M62600"/>
    </row>
    <row r="62601" spans="3:13" ht="12.75" customHeight="1" x14ac:dyDescent="0.25">
      <c r="C62601"/>
      <c r="M62601"/>
    </row>
    <row r="62602" spans="3:13" ht="12.75" customHeight="1" x14ac:dyDescent="0.25">
      <c r="C62602"/>
      <c r="M62602"/>
    </row>
    <row r="62603" spans="3:13" ht="12.75" customHeight="1" x14ac:dyDescent="0.25">
      <c r="C62603"/>
      <c r="M62603"/>
    </row>
    <row r="62604" spans="3:13" ht="12.75" customHeight="1" x14ac:dyDescent="0.25">
      <c r="C62604"/>
      <c r="M62604"/>
    </row>
    <row r="62605" spans="3:13" ht="12.75" customHeight="1" x14ac:dyDescent="0.25">
      <c r="C62605"/>
      <c r="M62605"/>
    </row>
    <row r="62606" spans="3:13" ht="12.75" customHeight="1" x14ac:dyDescent="0.25">
      <c r="C62606"/>
      <c r="M62606"/>
    </row>
    <row r="62607" spans="3:13" ht="12.75" customHeight="1" x14ac:dyDescent="0.25">
      <c r="C62607"/>
      <c r="M62607"/>
    </row>
    <row r="62608" spans="3:13" ht="12.75" customHeight="1" x14ac:dyDescent="0.25">
      <c r="C62608"/>
      <c r="M62608"/>
    </row>
    <row r="62609" spans="3:13" ht="12.75" customHeight="1" x14ac:dyDescent="0.25">
      <c r="C62609"/>
      <c r="M62609"/>
    </row>
    <row r="62610" spans="3:13" ht="12.75" customHeight="1" x14ac:dyDescent="0.25">
      <c r="C62610"/>
      <c r="M62610"/>
    </row>
    <row r="62611" spans="3:13" ht="12.75" customHeight="1" x14ac:dyDescent="0.25">
      <c r="C62611"/>
      <c r="M62611"/>
    </row>
    <row r="62612" spans="3:13" ht="12.75" customHeight="1" x14ac:dyDescent="0.25">
      <c r="C62612"/>
      <c r="M62612"/>
    </row>
    <row r="62613" spans="3:13" ht="12.75" customHeight="1" x14ac:dyDescent="0.25">
      <c r="C62613"/>
      <c r="M62613"/>
    </row>
    <row r="62614" spans="3:13" ht="12.75" customHeight="1" x14ac:dyDescent="0.25">
      <c r="C62614"/>
      <c r="M62614"/>
    </row>
    <row r="62615" spans="3:13" ht="12.75" customHeight="1" x14ac:dyDescent="0.25">
      <c r="C62615"/>
      <c r="M62615"/>
    </row>
    <row r="62616" spans="3:13" ht="12.75" customHeight="1" x14ac:dyDescent="0.25">
      <c r="C62616"/>
      <c r="M62616"/>
    </row>
    <row r="62617" spans="3:13" ht="12.75" customHeight="1" x14ac:dyDescent="0.25">
      <c r="C62617"/>
      <c r="M62617"/>
    </row>
    <row r="62618" spans="3:13" ht="12.75" customHeight="1" x14ac:dyDescent="0.25">
      <c r="C62618"/>
      <c r="M62618"/>
    </row>
    <row r="62619" spans="3:13" ht="12.75" customHeight="1" x14ac:dyDescent="0.25">
      <c r="C62619"/>
      <c r="M62619"/>
    </row>
    <row r="62620" spans="3:13" ht="12.75" customHeight="1" x14ac:dyDescent="0.25">
      <c r="C62620"/>
      <c r="M62620"/>
    </row>
    <row r="62621" spans="3:13" ht="12.75" customHeight="1" x14ac:dyDescent="0.25">
      <c r="C62621"/>
      <c r="M62621"/>
    </row>
    <row r="62622" spans="3:13" ht="12.75" customHeight="1" x14ac:dyDescent="0.25">
      <c r="C62622"/>
      <c r="M62622"/>
    </row>
    <row r="62623" spans="3:13" ht="12.75" customHeight="1" x14ac:dyDescent="0.25">
      <c r="C62623"/>
      <c r="M62623"/>
    </row>
    <row r="62624" spans="3:13" ht="12.75" customHeight="1" x14ac:dyDescent="0.25">
      <c r="C62624"/>
      <c r="M62624"/>
    </row>
    <row r="62625" spans="3:13" ht="12.75" customHeight="1" x14ac:dyDescent="0.25">
      <c r="C62625"/>
      <c r="M62625"/>
    </row>
    <row r="62626" spans="3:13" ht="12.75" customHeight="1" x14ac:dyDescent="0.25">
      <c r="C62626"/>
      <c r="M62626"/>
    </row>
    <row r="62627" spans="3:13" ht="12.75" customHeight="1" x14ac:dyDescent="0.25">
      <c r="C62627"/>
      <c r="M62627"/>
    </row>
    <row r="62628" spans="3:13" ht="12.75" customHeight="1" x14ac:dyDescent="0.25">
      <c r="C62628"/>
      <c r="M62628"/>
    </row>
    <row r="62629" spans="3:13" ht="12.75" customHeight="1" x14ac:dyDescent="0.25">
      <c r="C62629"/>
      <c r="M62629"/>
    </row>
    <row r="62630" spans="3:13" ht="12.75" customHeight="1" x14ac:dyDescent="0.25">
      <c r="C62630"/>
      <c r="M62630"/>
    </row>
    <row r="62631" spans="3:13" ht="12.75" customHeight="1" x14ac:dyDescent="0.25">
      <c r="C62631"/>
      <c r="M62631"/>
    </row>
    <row r="62632" spans="3:13" ht="12.75" customHeight="1" x14ac:dyDescent="0.25">
      <c r="C62632"/>
      <c r="M62632"/>
    </row>
    <row r="62633" spans="3:13" ht="12.75" customHeight="1" x14ac:dyDescent="0.25">
      <c r="C62633"/>
      <c r="M62633"/>
    </row>
    <row r="62634" spans="3:13" ht="12.75" customHeight="1" x14ac:dyDescent="0.25">
      <c r="C62634"/>
      <c r="M62634"/>
    </row>
    <row r="62635" spans="3:13" ht="12.75" customHeight="1" x14ac:dyDescent="0.25">
      <c r="C62635"/>
      <c r="M62635"/>
    </row>
    <row r="62636" spans="3:13" ht="12.75" customHeight="1" x14ac:dyDescent="0.25">
      <c r="C62636"/>
      <c r="M62636"/>
    </row>
    <row r="62637" spans="3:13" ht="12.75" customHeight="1" x14ac:dyDescent="0.25">
      <c r="C62637"/>
      <c r="M62637"/>
    </row>
    <row r="62638" spans="3:13" ht="12.75" customHeight="1" x14ac:dyDescent="0.25">
      <c r="C62638"/>
      <c r="M62638"/>
    </row>
    <row r="62639" spans="3:13" ht="12.75" customHeight="1" x14ac:dyDescent="0.25">
      <c r="C62639"/>
      <c r="M62639"/>
    </row>
    <row r="62640" spans="3:13" ht="12.75" customHeight="1" x14ac:dyDescent="0.25">
      <c r="C62640"/>
      <c r="M62640"/>
    </row>
    <row r="62641" spans="3:13" ht="12.75" customHeight="1" x14ac:dyDescent="0.25">
      <c r="C62641"/>
      <c r="M62641"/>
    </row>
    <row r="62642" spans="3:13" ht="12.75" customHeight="1" x14ac:dyDescent="0.25">
      <c r="C62642"/>
      <c r="M62642"/>
    </row>
    <row r="62643" spans="3:13" ht="12.75" customHeight="1" x14ac:dyDescent="0.25">
      <c r="C62643"/>
      <c r="M62643"/>
    </row>
    <row r="62644" spans="3:13" ht="12.75" customHeight="1" x14ac:dyDescent="0.25">
      <c r="C62644"/>
      <c r="M62644"/>
    </row>
    <row r="62645" spans="3:13" ht="12.75" customHeight="1" x14ac:dyDescent="0.25">
      <c r="C62645"/>
      <c r="M62645"/>
    </row>
    <row r="62646" spans="3:13" ht="12.75" customHeight="1" x14ac:dyDescent="0.25">
      <c r="C62646"/>
      <c r="M62646"/>
    </row>
    <row r="62647" spans="3:13" ht="12.75" customHeight="1" x14ac:dyDescent="0.25">
      <c r="C62647"/>
      <c r="M62647"/>
    </row>
    <row r="62648" spans="3:13" ht="12.75" customHeight="1" x14ac:dyDescent="0.25">
      <c r="C62648"/>
      <c r="M62648"/>
    </row>
    <row r="62649" spans="3:13" ht="12.75" customHeight="1" x14ac:dyDescent="0.25">
      <c r="C62649"/>
      <c r="M62649"/>
    </row>
    <row r="62650" spans="3:13" ht="12.75" customHeight="1" x14ac:dyDescent="0.25">
      <c r="C62650"/>
      <c r="M62650"/>
    </row>
    <row r="62651" spans="3:13" ht="12.75" customHeight="1" x14ac:dyDescent="0.25">
      <c r="C62651"/>
      <c r="M62651"/>
    </row>
    <row r="62652" spans="3:13" ht="12.75" customHeight="1" x14ac:dyDescent="0.25">
      <c r="C62652"/>
      <c r="M62652"/>
    </row>
    <row r="62653" spans="3:13" ht="12.75" customHeight="1" x14ac:dyDescent="0.25">
      <c r="C62653"/>
      <c r="M62653"/>
    </row>
    <row r="62654" spans="3:13" ht="12.75" customHeight="1" x14ac:dyDescent="0.25">
      <c r="C62654"/>
      <c r="M62654"/>
    </row>
    <row r="62655" spans="3:13" ht="12.75" customHeight="1" x14ac:dyDescent="0.25">
      <c r="C62655"/>
      <c r="M62655"/>
    </row>
    <row r="62656" spans="3:13" ht="12.75" customHeight="1" x14ac:dyDescent="0.25">
      <c r="C62656"/>
      <c r="M62656"/>
    </row>
    <row r="62657" spans="3:13" ht="12.75" customHeight="1" x14ac:dyDescent="0.25">
      <c r="C62657"/>
      <c r="M62657"/>
    </row>
    <row r="62658" spans="3:13" ht="12.75" customHeight="1" x14ac:dyDescent="0.25">
      <c r="C62658"/>
      <c r="M62658"/>
    </row>
    <row r="62659" spans="3:13" ht="12.75" customHeight="1" x14ac:dyDescent="0.25">
      <c r="C62659"/>
      <c r="M62659"/>
    </row>
    <row r="62660" spans="3:13" ht="12.75" customHeight="1" x14ac:dyDescent="0.25">
      <c r="C62660"/>
      <c r="M62660"/>
    </row>
    <row r="62661" spans="3:13" ht="12.75" customHeight="1" x14ac:dyDescent="0.25">
      <c r="C62661"/>
      <c r="M62661"/>
    </row>
    <row r="62662" spans="3:13" ht="12.75" customHeight="1" x14ac:dyDescent="0.25">
      <c r="C62662"/>
      <c r="M62662"/>
    </row>
    <row r="62663" spans="3:13" ht="12.75" customHeight="1" x14ac:dyDescent="0.25">
      <c r="C62663"/>
      <c r="M62663"/>
    </row>
    <row r="62664" spans="3:13" ht="12.75" customHeight="1" x14ac:dyDescent="0.25">
      <c r="C62664"/>
      <c r="M62664"/>
    </row>
    <row r="62665" spans="3:13" ht="12.75" customHeight="1" x14ac:dyDescent="0.25">
      <c r="C62665"/>
      <c r="M62665"/>
    </row>
    <row r="62666" spans="3:13" ht="12.75" customHeight="1" x14ac:dyDescent="0.25">
      <c r="C62666"/>
      <c r="M62666"/>
    </row>
    <row r="62667" spans="3:13" ht="12.75" customHeight="1" x14ac:dyDescent="0.25">
      <c r="C62667"/>
      <c r="M62667"/>
    </row>
    <row r="62668" spans="3:13" ht="12.75" customHeight="1" x14ac:dyDescent="0.25">
      <c r="C62668"/>
      <c r="M62668"/>
    </row>
    <row r="62669" spans="3:13" ht="12.75" customHeight="1" x14ac:dyDescent="0.25">
      <c r="C62669"/>
      <c r="M62669"/>
    </row>
    <row r="62670" spans="3:13" ht="12.75" customHeight="1" x14ac:dyDescent="0.25">
      <c r="C62670"/>
      <c r="M62670"/>
    </row>
    <row r="62671" spans="3:13" ht="12.75" customHeight="1" x14ac:dyDescent="0.25">
      <c r="C62671"/>
      <c r="M62671"/>
    </row>
    <row r="62672" spans="3:13" ht="12.75" customHeight="1" x14ac:dyDescent="0.25">
      <c r="C62672"/>
      <c r="M62672"/>
    </row>
    <row r="62673" spans="3:13" ht="12.75" customHeight="1" x14ac:dyDescent="0.25">
      <c r="C62673"/>
      <c r="M62673"/>
    </row>
    <row r="62674" spans="3:13" ht="12.75" customHeight="1" x14ac:dyDescent="0.25">
      <c r="C62674"/>
      <c r="M62674"/>
    </row>
    <row r="62675" spans="3:13" ht="12.75" customHeight="1" x14ac:dyDescent="0.25">
      <c r="C62675"/>
      <c r="M62675"/>
    </row>
    <row r="62676" spans="3:13" ht="12.75" customHeight="1" x14ac:dyDescent="0.25">
      <c r="C62676"/>
      <c r="M62676"/>
    </row>
    <row r="62677" spans="3:13" ht="12.75" customHeight="1" x14ac:dyDescent="0.25">
      <c r="C62677"/>
      <c r="M62677"/>
    </row>
    <row r="62678" spans="3:13" ht="12.75" customHeight="1" x14ac:dyDescent="0.25">
      <c r="C62678"/>
      <c r="M62678"/>
    </row>
    <row r="62679" spans="3:13" ht="12.75" customHeight="1" x14ac:dyDescent="0.25">
      <c r="C62679"/>
      <c r="M62679"/>
    </row>
    <row r="62680" spans="3:13" ht="12.75" customHeight="1" x14ac:dyDescent="0.25">
      <c r="C62680"/>
      <c r="M62680"/>
    </row>
    <row r="62681" spans="3:13" ht="12.75" customHeight="1" x14ac:dyDescent="0.25">
      <c r="C62681"/>
      <c r="M62681"/>
    </row>
    <row r="62682" spans="3:13" ht="12.75" customHeight="1" x14ac:dyDescent="0.25">
      <c r="C62682"/>
      <c r="M62682"/>
    </row>
    <row r="62683" spans="3:13" ht="12.75" customHeight="1" x14ac:dyDescent="0.25">
      <c r="C62683"/>
      <c r="M62683"/>
    </row>
    <row r="62684" spans="3:13" ht="12.75" customHeight="1" x14ac:dyDescent="0.25">
      <c r="C62684"/>
      <c r="M62684"/>
    </row>
    <row r="62685" spans="3:13" ht="12.75" customHeight="1" x14ac:dyDescent="0.25">
      <c r="C62685"/>
      <c r="M62685"/>
    </row>
    <row r="62686" spans="3:13" ht="12.75" customHeight="1" x14ac:dyDescent="0.25">
      <c r="C62686"/>
      <c r="M62686"/>
    </row>
    <row r="62687" spans="3:13" ht="12.75" customHeight="1" x14ac:dyDescent="0.25">
      <c r="C62687"/>
      <c r="M62687"/>
    </row>
    <row r="62688" spans="3:13" ht="12.75" customHeight="1" x14ac:dyDescent="0.25">
      <c r="C62688"/>
      <c r="M62688"/>
    </row>
    <row r="62689" spans="3:13" ht="12.75" customHeight="1" x14ac:dyDescent="0.25">
      <c r="C62689"/>
      <c r="M62689"/>
    </row>
    <row r="62690" spans="3:13" ht="12.75" customHeight="1" x14ac:dyDescent="0.25">
      <c r="C62690"/>
      <c r="M62690"/>
    </row>
    <row r="62691" spans="3:13" ht="12.75" customHeight="1" x14ac:dyDescent="0.25">
      <c r="C62691"/>
      <c r="M62691"/>
    </row>
    <row r="62692" spans="3:13" ht="12.75" customHeight="1" x14ac:dyDescent="0.25">
      <c r="C62692"/>
      <c r="M62692"/>
    </row>
    <row r="62693" spans="3:13" ht="12.75" customHeight="1" x14ac:dyDescent="0.25">
      <c r="C62693"/>
      <c r="M62693"/>
    </row>
    <row r="62694" spans="3:13" ht="12.75" customHeight="1" x14ac:dyDescent="0.25">
      <c r="C62694"/>
      <c r="M62694"/>
    </row>
    <row r="62695" spans="3:13" ht="12.75" customHeight="1" x14ac:dyDescent="0.25">
      <c r="C62695"/>
      <c r="M62695"/>
    </row>
    <row r="62696" spans="3:13" ht="12.75" customHeight="1" x14ac:dyDescent="0.25">
      <c r="C62696"/>
      <c r="M62696"/>
    </row>
    <row r="62697" spans="3:13" ht="12.75" customHeight="1" x14ac:dyDescent="0.25">
      <c r="C62697"/>
      <c r="M62697"/>
    </row>
    <row r="62698" spans="3:13" ht="12.75" customHeight="1" x14ac:dyDescent="0.25">
      <c r="C62698"/>
      <c r="M62698"/>
    </row>
    <row r="62699" spans="3:13" ht="12.75" customHeight="1" x14ac:dyDescent="0.25">
      <c r="C62699"/>
      <c r="M62699"/>
    </row>
    <row r="62700" spans="3:13" ht="12.75" customHeight="1" x14ac:dyDescent="0.25">
      <c r="C62700"/>
      <c r="M62700"/>
    </row>
    <row r="62701" spans="3:13" ht="12.75" customHeight="1" x14ac:dyDescent="0.25">
      <c r="C62701"/>
      <c r="M62701"/>
    </row>
    <row r="62702" spans="3:13" ht="12.75" customHeight="1" x14ac:dyDescent="0.25">
      <c r="C62702"/>
      <c r="M62702"/>
    </row>
    <row r="62703" spans="3:13" ht="12.75" customHeight="1" x14ac:dyDescent="0.25">
      <c r="C62703"/>
      <c r="M62703"/>
    </row>
    <row r="62704" spans="3:13" ht="12.75" customHeight="1" x14ac:dyDescent="0.25">
      <c r="C62704"/>
      <c r="M62704"/>
    </row>
    <row r="62705" spans="3:13" ht="12.75" customHeight="1" x14ac:dyDescent="0.25">
      <c r="C62705"/>
      <c r="M62705"/>
    </row>
    <row r="62706" spans="3:13" ht="12.75" customHeight="1" x14ac:dyDescent="0.25">
      <c r="C62706"/>
      <c r="M62706"/>
    </row>
    <row r="62707" spans="3:13" ht="12.75" customHeight="1" x14ac:dyDescent="0.25">
      <c r="C62707"/>
      <c r="M62707"/>
    </row>
    <row r="62708" spans="3:13" ht="12.75" customHeight="1" x14ac:dyDescent="0.25">
      <c r="C62708"/>
      <c r="M62708"/>
    </row>
    <row r="62709" spans="3:13" ht="12.75" customHeight="1" x14ac:dyDescent="0.25">
      <c r="C62709"/>
      <c r="M62709"/>
    </row>
    <row r="62710" spans="3:13" ht="12.75" customHeight="1" x14ac:dyDescent="0.25">
      <c r="C62710"/>
      <c r="M62710"/>
    </row>
    <row r="62711" spans="3:13" ht="12.75" customHeight="1" x14ac:dyDescent="0.25">
      <c r="C62711"/>
      <c r="M62711"/>
    </row>
    <row r="62712" spans="3:13" ht="12.75" customHeight="1" x14ac:dyDescent="0.25">
      <c r="C62712"/>
      <c r="M62712"/>
    </row>
    <row r="62713" spans="3:13" ht="12.75" customHeight="1" x14ac:dyDescent="0.25">
      <c r="C62713"/>
      <c r="M62713"/>
    </row>
    <row r="62714" spans="3:13" ht="12.75" customHeight="1" x14ac:dyDescent="0.25">
      <c r="C62714"/>
      <c r="M62714"/>
    </row>
    <row r="62715" spans="3:13" ht="12.75" customHeight="1" x14ac:dyDescent="0.25">
      <c r="C62715"/>
      <c r="M62715"/>
    </row>
    <row r="62716" spans="3:13" ht="12.75" customHeight="1" x14ac:dyDescent="0.25">
      <c r="C62716"/>
      <c r="M62716"/>
    </row>
    <row r="62717" spans="3:13" ht="12.75" customHeight="1" x14ac:dyDescent="0.25">
      <c r="C62717"/>
      <c r="M62717"/>
    </row>
    <row r="62718" spans="3:13" ht="12.75" customHeight="1" x14ac:dyDescent="0.25">
      <c r="C62718"/>
      <c r="M62718"/>
    </row>
    <row r="62719" spans="3:13" ht="12.75" customHeight="1" x14ac:dyDescent="0.25">
      <c r="C62719"/>
      <c r="M62719"/>
    </row>
    <row r="62720" spans="3:13" ht="12.75" customHeight="1" x14ac:dyDescent="0.25">
      <c r="C62720"/>
      <c r="M62720"/>
    </row>
    <row r="62721" spans="3:13" ht="12.75" customHeight="1" x14ac:dyDescent="0.25">
      <c r="C62721"/>
      <c r="M62721"/>
    </row>
    <row r="62722" spans="3:13" ht="12.75" customHeight="1" x14ac:dyDescent="0.25">
      <c r="C62722"/>
      <c r="M62722"/>
    </row>
    <row r="62723" spans="3:13" ht="12.75" customHeight="1" x14ac:dyDescent="0.25">
      <c r="C62723"/>
      <c r="M62723"/>
    </row>
    <row r="62724" spans="3:13" ht="12.75" customHeight="1" x14ac:dyDescent="0.25">
      <c r="C62724"/>
      <c r="M62724"/>
    </row>
    <row r="62725" spans="3:13" ht="12.75" customHeight="1" x14ac:dyDescent="0.25">
      <c r="C62725"/>
      <c r="M62725"/>
    </row>
    <row r="62726" spans="3:13" ht="12.75" customHeight="1" x14ac:dyDescent="0.25">
      <c r="C62726"/>
      <c r="M62726"/>
    </row>
    <row r="62727" spans="3:13" ht="12.75" customHeight="1" x14ac:dyDescent="0.25">
      <c r="C62727"/>
      <c r="M62727"/>
    </row>
    <row r="62728" spans="3:13" ht="12.75" customHeight="1" x14ac:dyDescent="0.25">
      <c r="C62728"/>
      <c r="M62728"/>
    </row>
    <row r="62729" spans="3:13" ht="12.75" customHeight="1" x14ac:dyDescent="0.25">
      <c r="C62729"/>
      <c r="M62729"/>
    </row>
    <row r="62730" spans="3:13" ht="12.75" customHeight="1" x14ac:dyDescent="0.25">
      <c r="C62730"/>
      <c r="M62730"/>
    </row>
    <row r="62731" spans="3:13" ht="12.75" customHeight="1" x14ac:dyDescent="0.25">
      <c r="C62731"/>
      <c r="M62731"/>
    </row>
    <row r="62732" spans="3:13" ht="12.75" customHeight="1" x14ac:dyDescent="0.25">
      <c r="C62732"/>
      <c r="M62732"/>
    </row>
    <row r="62733" spans="3:13" ht="12.75" customHeight="1" x14ac:dyDescent="0.25">
      <c r="C62733"/>
      <c r="M62733"/>
    </row>
    <row r="62734" spans="3:13" ht="12.75" customHeight="1" x14ac:dyDescent="0.25">
      <c r="C62734"/>
      <c r="M62734"/>
    </row>
    <row r="62735" spans="3:13" ht="12.75" customHeight="1" x14ac:dyDescent="0.25">
      <c r="C62735"/>
      <c r="M62735"/>
    </row>
    <row r="62736" spans="3:13" ht="12.75" customHeight="1" x14ac:dyDescent="0.25">
      <c r="C62736"/>
      <c r="M62736"/>
    </row>
    <row r="62737" spans="3:13" ht="12.75" customHeight="1" x14ac:dyDescent="0.25">
      <c r="C62737"/>
      <c r="M62737"/>
    </row>
    <row r="62738" spans="3:13" ht="12.75" customHeight="1" x14ac:dyDescent="0.25">
      <c r="C62738"/>
      <c r="M62738"/>
    </row>
    <row r="62739" spans="3:13" ht="12.75" customHeight="1" x14ac:dyDescent="0.25">
      <c r="C62739"/>
      <c r="M62739"/>
    </row>
    <row r="62740" spans="3:13" ht="12.75" customHeight="1" x14ac:dyDescent="0.25">
      <c r="C62740"/>
      <c r="M62740"/>
    </row>
    <row r="62741" spans="3:13" ht="12.75" customHeight="1" x14ac:dyDescent="0.25">
      <c r="C62741"/>
      <c r="M62741"/>
    </row>
    <row r="62742" spans="3:13" ht="12.75" customHeight="1" x14ac:dyDescent="0.25">
      <c r="C62742"/>
      <c r="M62742"/>
    </row>
    <row r="62743" spans="3:13" ht="12.75" customHeight="1" x14ac:dyDescent="0.25">
      <c r="C62743"/>
      <c r="M62743"/>
    </row>
    <row r="62744" spans="3:13" ht="12.75" customHeight="1" x14ac:dyDescent="0.25">
      <c r="C62744"/>
      <c r="M62744"/>
    </row>
    <row r="62745" spans="3:13" ht="12.75" customHeight="1" x14ac:dyDescent="0.25">
      <c r="C62745"/>
      <c r="M62745"/>
    </row>
    <row r="62746" spans="3:13" ht="12.75" customHeight="1" x14ac:dyDescent="0.25">
      <c r="C62746"/>
      <c r="M62746"/>
    </row>
    <row r="62747" spans="3:13" ht="12.75" customHeight="1" x14ac:dyDescent="0.25">
      <c r="C62747"/>
      <c r="M62747"/>
    </row>
    <row r="62748" spans="3:13" ht="12.75" customHeight="1" x14ac:dyDescent="0.25">
      <c r="C62748"/>
      <c r="M62748"/>
    </row>
    <row r="62749" spans="3:13" ht="12.75" customHeight="1" x14ac:dyDescent="0.25">
      <c r="C62749"/>
      <c r="M62749"/>
    </row>
    <row r="62750" spans="3:13" ht="12.75" customHeight="1" x14ac:dyDescent="0.25">
      <c r="C62750"/>
      <c r="M62750"/>
    </row>
    <row r="62751" spans="3:13" ht="12.75" customHeight="1" x14ac:dyDescent="0.25">
      <c r="C62751"/>
      <c r="M62751"/>
    </row>
    <row r="62752" spans="3:13" ht="12.75" customHeight="1" x14ac:dyDescent="0.25">
      <c r="C62752"/>
      <c r="M62752"/>
    </row>
    <row r="62753" spans="3:13" ht="12.75" customHeight="1" x14ac:dyDescent="0.25">
      <c r="C62753"/>
      <c r="M62753"/>
    </row>
    <row r="62754" spans="3:13" ht="12.75" customHeight="1" x14ac:dyDescent="0.25">
      <c r="C62754"/>
      <c r="M62754"/>
    </row>
    <row r="62755" spans="3:13" ht="12.75" customHeight="1" x14ac:dyDescent="0.25">
      <c r="C62755"/>
      <c r="M62755"/>
    </row>
    <row r="62756" spans="3:13" ht="12.75" customHeight="1" x14ac:dyDescent="0.25">
      <c r="C62756"/>
      <c r="M62756"/>
    </row>
    <row r="62757" spans="3:13" ht="12.75" customHeight="1" x14ac:dyDescent="0.25">
      <c r="C62757"/>
      <c r="M62757"/>
    </row>
    <row r="62758" spans="3:13" ht="12.75" customHeight="1" x14ac:dyDescent="0.25">
      <c r="C62758"/>
      <c r="M62758"/>
    </row>
    <row r="62759" spans="3:13" ht="12.75" customHeight="1" x14ac:dyDescent="0.25">
      <c r="C62759"/>
      <c r="M62759"/>
    </row>
    <row r="62760" spans="3:13" ht="12.75" customHeight="1" x14ac:dyDescent="0.25">
      <c r="C62760"/>
      <c r="M62760"/>
    </row>
    <row r="62761" spans="3:13" ht="12.75" customHeight="1" x14ac:dyDescent="0.25">
      <c r="C62761"/>
      <c r="M62761"/>
    </row>
    <row r="62762" spans="3:13" ht="12.75" customHeight="1" x14ac:dyDescent="0.25">
      <c r="C62762"/>
      <c r="M62762"/>
    </row>
    <row r="62763" spans="3:13" ht="12.75" customHeight="1" x14ac:dyDescent="0.25">
      <c r="C62763"/>
      <c r="M62763"/>
    </row>
    <row r="62764" spans="3:13" ht="12.75" customHeight="1" x14ac:dyDescent="0.25">
      <c r="C62764"/>
      <c r="M62764"/>
    </row>
    <row r="62765" spans="3:13" ht="12.75" customHeight="1" x14ac:dyDescent="0.25">
      <c r="C62765"/>
      <c r="M62765"/>
    </row>
    <row r="62766" spans="3:13" ht="12.75" customHeight="1" x14ac:dyDescent="0.25">
      <c r="C62766"/>
      <c r="M62766"/>
    </row>
    <row r="62767" spans="3:13" ht="12.75" customHeight="1" x14ac:dyDescent="0.25">
      <c r="C62767"/>
      <c r="M62767"/>
    </row>
    <row r="62768" spans="3:13" ht="12.75" customHeight="1" x14ac:dyDescent="0.25">
      <c r="C62768"/>
      <c r="M62768"/>
    </row>
    <row r="62769" spans="3:13" ht="12.75" customHeight="1" x14ac:dyDescent="0.25">
      <c r="C62769"/>
      <c r="M62769"/>
    </row>
    <row r="62770" spans="3:13" ht="12.75" customHeight="1" x14ac:dyDescent="0.25">
      <c r="C62770"/>
      <c r="M62770"/>
    </row>
    <row r="62771" spans="3:13" ht="12.75" customHeight="1" x14ac:dyDescent="0.25">
      <c r="C62771"/>
      <c r="M62771"/>
    </row>
    <row r="62772" spans="3:13" ht="12.75" customHeight="1" x14ac:dyDescent="0.25">
      <c r="C62772"/>
      <c r="M62772"/>
    </row>
    <row r="62773" spans="3:13" ht="12.75" customHeight="1" x14ac:dyDescent="0.25">
      <c r="C62773"/>
      <c r="M62773"/>
    </row>
    <row r="62774" spans="3:13" ht="12.75" customHeight="1" x14ac:dyDescent="0.25">
      <c r="C62774"/>
      <c r="M62774"/>
    </row>
    <row r="62775" spans="3:13" ht="12.75" customHeight="1" x14ac:dyDescent="0.25">
      <c r="C62775"/>
      <c r="M62775"/>
    </row>
    <row r="62776" spans="3:13" ht="12.75" customHeight="1" x14ac:dyDescent="0.25">
      <c r="C62776"/>
      <c r="M62776"/>
    </row>
    <row r="62777" spans="3:13" ht="12.75" customHeight="1" x14ac:dyDescent="0.25">
      <c r="C62777"/>
      <c r="M62777"/>
    </row>
    <row r="62778" spans="3:13" ht="12.75" customHeight="1" x14ac:dyDescent="0.25">
      <c r="C62778"/>
      <c r="M62778"/>
    </row>
    <row r="62779" spans="3:13" ht="12.75" customHeight="1" x14ac:dyDescent="0.25">
      <c r="C62779"/>
      <c r="M62779"/>
    </row>
    <row r="62780" spans="3:13" ht="12.75" customHeight="1" x14ac:dyDescent="0.25">
      <c r="C62780"/>
      <c r="M62780"/>
    </row>
    <row r="62781" spans="3:13" ht="12.75" customHeight="1" x14ac:dyDescent="0.25">
      <c r="C62781"/>
      <c r="M62781"/>
    </row>
    <row r="62782" spans="3:13" ht="12.75" customHeight="1" x14ac:dyDescent="0.25">
      <c r="C62782"/>
      <c r="M62782"/>
    </row>
    <row r="62783" spans="3:13" ht="12.75" customHeight="1" x14ac:dyDescent="0.25">
      <c r="C62783"/>
      <c r="M62783"/>
    </row>
    <row r="62784" spans="3:13" ht="12.75" customHeight="1" x14ac:dyDescent="0.25">
      <c r="C62784"/>
      <c r="M62784"/>
    </row>
    <row r="62785" spans="3:13" ht="12.75" customHeight="1" x14ac:dyDescent="0.25">
      <c r="C62785"/>
      <c r="M62785"/>
    </row>
    <row r="62786" spans="3:13" ht="12.75" customHeight="1" x14ac:dyDescent="0.25">
      <c r="C62786"/>
      <c r="M62786"/>
    </row>
    <row r="62787" spans="3:13" ht="12.75" customHeight="1" x14ac:dyDescent="0.25">
      <c r="C62787"/>
      <c r="M62787"/>
    </row>
    <row r="62788" spans="3:13" ht="12.75" customHeight="1" x14ac:dyDescent="0.25">
      <c r="C62788"/>
      <c r="M62788"/>
    </row>
    <row r="62789" spans="3:13" ht="12.75" customHeight="1" x14ac:dyDescent="0.25">
      <c r="C62789"/>
      <c r="M62789"/>
    </row>
    <row r="62790" spans="3:13" ht="12.75" customHeight="1" x14ac:dyDescent="0.25">
      <c r="C62790"/>
      <c r="M62790"/>
    </row>
    <row r="62791" spans="3:13" ht="12.75" customHeight="1" x14ac:dyDescent="0.25">
      <c r="C62791"/>
      <c r="M62791"/>
    </row>
    <row r="62792" spans="3:13" ht="12.75" customHeight="1" x14ac:dyDescent="0.25">
      <c r="C62792"/>
      <c r="M62792"/>
    </row>
    <row r="62793" spans="3:13" ht="12.75" customHeight="1" x14ac:dyDescent="0.25">
      <c r="C62793"/>
      <c r="M62793"/>
    </row>
    <row r="62794" spans="3:13" ht="12.75" customHeight="1" x14ac:dyDescent="0.25">
      <c r="C62794"/>
      <c r="M62794"/>
    </row>
    <row r="62795" spans="3:13" ht="12.75" customHeight="1" x14ac:dyDescent="0.25">
      <c r="C62795"/>
      <c r="M62795"/>
    </row>
    <row r="62796" spans="3:13" ht="12.75" customHeight="1" x14ac:dyDescent="0.25">
      <c r="C62796"/>
      <c r="M62796"/>
    </row>
    <row r="62797" spans="3:13" ht="12.75" customHeight="1" x14ac:dyDescent="0.25">
      <c r="C62797"/>
      <c r="M62797"/>
    </row>
    <row r="62798" spans="3:13" ht="12.75" customHeight="1" x14ac:dyDescent="0.25">
      <c r="C62798"/>
      <c r="M62798"/>
    </row>
    <row r="62799" spans="3:13" ht="12.75" customHeight="1" x14ac:dyDescent="0.25">
      <c r="C62799"/>
      <c r="M62799"/>
    </row>
    <row r="62800" spans="3:13" ht="12.75" customHeight="1" x14ac:dyDescent="0.25">
      <c r="C62800"/>
      <c r="M62800"/>
    </row>
    <row r="62801" spans="3:13" ht="12.75" customHeight="1" x14ac:dyDescent="0.25">
      <c r="C62801"/>
      <c r="M62801"/>
    </row>
    <row r="62802" spans="3:13" ht="12.75" customHeight="1" x14ac:dyDescent="0.25">
      <c r="C62802"/>
      <c r="M62802"/>
    </row>
    <row r="62803" spans="3:13" ht="12.75" customHeight="1" x14ac:dyDescent="0.25">
      <c r="C62803"/>
      <c r="M62803"/>
    </row>
    <row r="62804" spans="3:13" ht="12.75" customHeight="1" x14ac:dyDescent="0.25">
      <c r="C62804"/>
      <c r="M62804"/>
    </row>
    <row r="62805" spans="3:13" ht="12.75" customHeight="1" x14ac:dyDescent="0.25">
      <c r="C62805"/>
      <c r="M62805"/>
    </row>
    <row r="62806" spans="3:13" ht="12.75" customHeight="1" x14ac:dyDescent="0.25">
      <c r="C62806"/>
      <c r="M62806"/>
    </row>
    <row r="62807" spans="3:13" ht="12.75" customHeight="1" x14ac:dyDescent="0.25">
      <c r="C62807"/>
      <c r="M62807"/>
    </row>
    <row r="62808" spans="3:13" ht="12.75" customHeight="1" x14ac:dyDescent="0.25">
      <c r="C62808"/>
      <c r="M62808"/>
    </row>
    <row r="62809" spans="3:13" ht="12.75" customHeight="1" x14ac:dyDescent="0.25">
      <c r="C62809"/>
      <c r="M62809"/>
    </row>
    <row r="62810" spans="3:13" ht="12.75" customHeight="1" x14ac:dyDescent="0.25">
      <c r="C62810"/>
      <c r="M62810"/>
    </row>
    <row r="62811" spans="3:13" ht="12.75" customHeight="1" x14ac:dyDescent="0.25">
      <c r="C62811"/>
      <c r="M62811"/>
    </row>
    <row r="62812" spans="3:13" ht="12.75" customHeight="1" x14ac:dyDescent="0.25">
      <c r="C62812"/>
      <c r="M62812"/>
    </row>
    <row r="62813" spans="3:13" ht="12.75" customHeight="1" x14ac:dyDescent="0.25">
      <c r="C62813"/>
      <c r="M62813"/>
    </row>
    <row r="62814" spans="3:13" ht="12.75" customHeight="1" x14ac:dyDescent="0.25">
      <c r="C62814"/>
      <c r="M62814"/>
    </row>
    <row r="62815" spans="3:13" ht="12.75" customHeight="1" x14ac:dyDescent="0.25">
      <c r="C62815"/>
      <c r="M62815"/>
    </row>
    <row r="62816" spans="3:13" ht="12.75" customHeight="1" x14ac:dyDescent="0.25">
      <c r="C62816"/>
      <c r="M62816"/>
    </row>
    <row r="62817" spans="3:13" ht="12.75" customHeight="1" x14ac:dyDescent="0.25">
      <c r="C62817"/>
      <c r="M62817"/>
    </row>
    <row r="62818" spans="3:13" ht="12.75" customHeight="1" x14ac:dyDescent="0.25">
      <c r="C62818"/>
      <c r="M62818"/>
    </row>
    <row r="62819" spans="3:13" ht="12.75" customHeight="1" x14ac:dyDescent="0.25">
      <c r="C62819"/>
      <c r="M62819"/>
    </row>
    <row r="62820" spans="3:13" ht="12.75" customHeight="1" x14ac:dyDescent="0.25">
      <c r="C62820"/>
      <c r="M62820"/>
    </row>
    <row r="62821" spans="3:13" ht="12.75" customHeight="1" x14ac:dyDescent="0.25">
      <c r="C62821"/>
      <c r="M62821"/>
    </row>
    <row r="62822" spans="3:13" ht="12.75" customHeight="1" x14ac:dyDescent="0.25">
      <c r="C62822"/>
      <c r="M62822"/>
    </row>
    <row r="62823" spans="3:13" ht="12.75" customHeight="1" x14ac:dyDescent="0.25">
      <c r="C62823"/>
      <c r="M62823"/>
    </row>
    <row r="62824" spans="3:13" ht="12.75" customHeight="1" x14ac:dyDescent="0.25">
      <c r="C62824"/>
      <c r="M62824"/>
    </row>
    <row r="62825" spans="3:13" ht="12.75" customHeight="1" x14ac:dyDescent="0.25">
      <c r="C62825"/>
      <c r="M62825"/>
    </row>
    <row r="62826" spans="3:13" ht="12.75" customHeight="1" x14ac:dyDescent="0.25">
      <c r="C62826"/>
      <c r="M62826"/>
    </row>
    <row r="62827" spans="3:13" ht="12.75" customHeight="1" x14ac:dyDescent="0.25">
      <c r="C62827"/>
      <c r="M62827"/>
    </row>
    <row r="62828" spans="3:13" ht="12.75" customHeight="1" x14ac:dyDescent="0.25">
      <c r="C62828"/>
      <c r="M62828"/>
    </row>
    <row r="62829" spans="3:13" ht="12.75" customHeight="1" x14ac:dyDescent="0.25">
      <c r="C62829"/>
      <c r="M62829"/>
    </row>
    <row r="62830" spans="3:13" ht="12.75" customHeight="1" x14ac:dyDescent="0.25">
      <c r="C62830"/>
      <c r="M62830"/>
    </row>
    <row r="62831" spans="3:13" ht="12.75" customHeight="1" x14ac:dyDescent="0.25">
      <c r="C62831"/>
      <c r="M62831"/>
    </row>
    <row r="62832" spans="3:13" ht="12.75" customHeight="1" x14ac:dyDescent="0.25">
      <c r="C62832"/>
      <c r="M62832"/>
    </row>
    <row r="62833" spans="3:13" ht="12.75" customHeight="1" x14ac:dyDescent="0.25">
      <c r="C62833"/>
      <c r="M62833"/>
    </row>
    <row r="62834" spans="3:13" ht="12.75" customHeight="1" x14ac:dyDescent="0.25">
      <c r="C62834"/>
      <c r="M62834"/>
    </row>
    <row r="62835" spans="3:13" ht="12.75" customHeight="1" x14ac:dyDescent="0.25">
      <c r="C62835"/>
      <c r="M62835"/>
    </row>
    <row r="62836" spans="3:13" ht="12.75" customHeight="1" x14ac:dyDescent="0.25">
      <c r="C62836"/>
      <c r="M62836"/>
    </row>
    <row r="62837" spans="3:13" ht="12.75" customHeight="1" x14ac:dyDescent="0.25">
      <c r="C62837"/>
      <c r="M62837"/>
    </row>
    <row r="62838" spans="3:13" ht="12.75" customHeight="1" x14ac:dyDescent="0.25">
      <c r="C62838"/>
      <c r="M62838"/>
    </row>
    <row r="62839" spans="3:13" ht="12.75" customHeight="1" x14ac:dyDescent="0.25">
      <c r="C62839"/>
      <c r="M62839"/>
    </row>
    <row r="62840" spans="3:13" ht="12.75" customHeight="1" x14ac:dyDescent="0.25">
      <c r="C62840"/>
      <c r="M62840"/>
    </row>
    <row r="62841" spans="3:13" ht="12.75" customHeight="1" x14ac:dyDescent="0.25">
      <c r="C62841"/>
      <c r="M62841"/>
    </row>
    <row r="62842" spans="3:13" ht="12.75" customHeight="1" x14ac:dyDescent="0.25">
      <c r="C62842"/>
      <c r="M62842"/>
    </row>
    <row r="62843" spans="3:13" ht="12.75" customHeight="1" x14ac:dyDescent="0.25">
      <c r="C62843"/>
      <c r="M62843"/>
    </row>
    <row r="62844" spans="3:13" ht="12.75" customHeight="1" x14ac:dyDescent="0.25">
      <c r="C62844"/>
      <c r="M62844"/>
    </row>
    <row r="62845" spans="3:13" ht="12.75" customHeight="1" x14ac:dyDescent="0.25">
      <c r="C62845"/>
      <c r="M62845"/>
    </row>
    <row r="62846" spans="3:13" ht="12.75" customHeight="1" x14ac:dyDescent="0.25">
      <c r="C62846"/>
      <c r="M62846"/>
    </row>
    <row r="62847" spans="3:13" ht="12.75" customHeight="1" x14ac:dyDescent="0.25">
      <c r="C62847"/>
      <c r="M62847"/>
    </row>
    <row r="62848" spans="3:13" ht="12.75" customHeight="1" x14ac:dyDescent="0.25">
      <c r="C62848"/>
      <c r="M62848"/>
    </row>
    <row r="62849" spans="3:13" ht="12.75" customHeight="1" x14ac:dyDescent="0.25">
      <c r="C62849"/>
      <c r="M62849"/>
    </row>
    <row r="62850" spans="3:13" ht="12.75" customHeight="1" x14ac:dyDescent="0.25">
      <c r="C62850"/>
      <c r="M62850"/>
    </row>
    <row r="62851" spans="3:13" ht="12.75" customHeight="1" x14ac:dyDescent="0.25">
      <c r="C62851"/>
      <c r="M62851"/>
    </row>
    <row r="62852" spans="3:13" ht="12.75" customHeight="1" x14ac:dyDescent="0.25">
      <c r="C62852"/>
      <c r="M62852"/>
    </row>
    <row r="62853" spans="3:13" ht="12.75" customHeight="1" x14ac:dyDescent="0.25">
      <c r="C62853"/>
      <c r="M62853"/>
    </row>
    <row r="62854" spans="3:13" ht="12.75" customHeight="1" x14ac:dyDescent="0.25">
      <c r="C62854"/>
      <c r="M62854"/>
    </row>
    <row r="62855" spans="3:13" ht="12.75" customHeight="1" x14ac:dyDescent="0.25">
      <c r="C62855"/>
      <c r="M62855"/>
    </row>
    <row r="62856" spans="3:13" ht="12.75" customHeight="1" x14ac:dyDescent="0.25">
      <c r="C62856"/>
      <c r="M62856"/>
    </row>
    <row r="62857" spans="3:13" ht="12.75" customHeight="1" x14ac:dyDescent="0.25">
      <c r="C62857"/>
      <c r="M62857"/>
    </row>
    <row r="62858" spans="3:13" ht="12.75" customHeight="1" x14ac:dyDescent="0.25">
      <c r="C62858"/>
      <c r="M62858"/>
    </row>
    <row r="62859" spans="3:13" ht="12.75" customHeight="1" x14ac:dyDescent="0.25">
      <c r="C62859"/>
      <c r="M62859"/>
    </row>
    <row r="62860" spans="3:13" ht="12.75" customHeight="1" x14ac:dyDescent="0.25">
      <c r="C62860"/>
      <c r="M62860"/>
    </row>
    <row r="62861" spans="3:13" ht="12.75" customHeight="1" x14ac:dyDescent="0.25">
      <c r="C62861"/>
      <c r="M62861"/>
    </row>
    <row r="62862" spans="3:13" ht="12.75" customHeight="1" x14ac:dyDescent="0.25">
      <c r="C62862"/>
      <c r="M62862"/>
    </row>
    <row r="62863" spans="3:13" ht="12.75" customHeight="1" x14ac:dyDescent="0.25">
      <c r="C62863"/>
      <c r="M62863"/>
    </row>
    <row r="62864" spans="3:13" ht="12.75" customHeight="1" x14ac:dyDescent="0.25">
      <c r="C62864"/>
      <c r="M62864"/>
    </row>
    <row r="62865" spans="3:13" ht="12.75" customHeight="1" x14ac:dyDescent="0.25">
      <c r="C62865"/>
      <c r="M62865"/>
    </row>
    <row r="62866" spans="3:13" ht="12.75" customHeight="1" x14ac:dyDescent="0.25">
      <c r="C62866"/>
      <c r="M62866"/>
    </row>
    <row r="62867" spans="3:13" ht="12.75" customHeight="1" x14ac:dyDescent="0.25">
      <c r="C62867"/>
      <c r="M62867"/>
    </row>
    <row r="62868" spans="3:13" ht="12.75" customHeight="1" x14ac:dyDescent="0.25">
      <c r="C62868"/>
      <c r="M62868"/>
    </row>
    <row r="62869" spans="3:13" ht="12.75" customHeight="1" x14ac:dyDescent="0.25">
      <c r="C62869"/>
      <c r="M62869"/>
    </row>
    <row r="62870" spans="3:13" ht="12.75" customHeight="1" x14ac:dyDescent="0.25">
      <c r="C62870"/>
      <c r="M62870"/>
    </row>
    <row r="62871" spans="3:13" ht="12.75" customHeight="1" x14ac:dyDescent="0.25">
      <c r="C62871"/>
      <c r="M62871"/>
    </row>
    <row r="62872" spans="3:13" ht="12.75" customHeight="1" x14ac:dyDescent="0.25">
      <c r="C62872"/>
      <c r="M62872"/>
    </row>
    <row r="62873" spans="3:13" ht="12.75" customHeight="1" x14ac:dyDescent="0.25">
      <c r="C62873"/>
      <c r="M62873"/>
    </row>
    <row r="62874" spans="3:13" ht="12.75" customHeight="1" x14ac:dyDescent="0.25">
      <c r="C62874"/>
      <c r="M62874"/>
    </row>
    <row r="62875" spans="3:13" ht="12.75" customHeight="1" x14ac:dyDescent="0.25">
      <c r="C62875"/>
      <c r="M62875"/>
    </row>
    <row r="62876" spans="3:13" ht="12.75" customHeight="1" x14ac:dyDescent="0.25">
      <c r="C62876"/>
      <c r="M62876"/>
    </row>
    <row r="62877" spans="3:13" ht="12.75" customHeight="1" x14ac:dyDescent="0.25">
      <c r="C62877"/>
      <c r="M62877"/>
    </row>
    <row r="62878" spans="3:13" ht="12.75" customHeight="1" x14ac:dyDescent="0.25">
      <c r="C62878"/>
      <c r="M62878"/>
    </row>
    <row r="62879" spans="3:13" ht="12.75" customHeight="1" x14ac:dyDescent="0.25">
      <c r="C62879"/>
      <c r="M62879"/>
    </row>
    <row r="62880" spans="3:13" ht="12.75" customHeight="1" x14ac:dyDescent="0.25">
      <c r="C62880"/>
      <c r="M62880"/>
    </row>
    <row r="62881" spans="3:13" ht="12.75" customHeight="1" x14ac:dyDescent="0.25">
      <c r="C62881"/>
      <c r="M62881"/>
    </row>
    <row r="62882" spans="3:13" ht="12.75" customHeight="1" x14ac:dyDescent="0.25">
      <c r="C62882"/>
      <c r="M62882"/>
    </row>
    <row r="62883" spans="3:13" ht="12.75" customHeight="1" x14ac:dyDescent="0.25">
      <c r="C62883"/>
      <c r="M62883"/>
    </row>
    <row r="62884" spans="3:13" ht="12.75" customHeight="1" x14ac:dyDescent="0.25">
      <c r="C62884"/>
      <c r="M62884"/>
    </row>
    <row r="62885" spans="3:13" ht="12.75" customHeight="1" x14ac:dyDescent="0.25">
      <c r="C62885"/>
      <c r="M62885"/>
    </row>
    <row r="62886" spans="3:13" ht="12.75" customHeight="1" x14ac:dyDescent="0.25">
      <c r="C62886"/>
      <c r="M62886"/>
    </row>
    <row r="62887" spans="3:13" ht="12.75" customHeight="1" x14ac:dyDescent="0.25">
      <c r="C62887"/>
      <c r="M62887"/>
    </row>
    <row r="62888" spans="3:13" ht="12.75" customHeight="1" x14ac:dyDescent="0.25">
      <c r="C62888"/>
      <c r="M62888"/>
    </row>
    <row r="62889" spans="3:13" ht="12.75" customHeight="1" x14ac:dyDescent="0.25">
      <c r="C62889"/>
      <c r="M62889"/>
    </row>
    <row r="62890" spans="3:13" ht="12.75" customHeight="1" x14ac:dyDescent="0.25">
      <c r="C62890"/>
      <c r="M62890"/>
    </row>
    <row r="62891" spans="3:13" ht="12.75" customHeight="1" x14ac:dyDescent="0.25">
      <c r="C62891"/>
      <c r="M62891"/>
    </row>
    <row r="62892" spans="3:13" ht="12.75" customHeight="1" x14ac:dyDescent="0.25">
      <c r="C62892"/>
      <c r="M62892"/>
    </row>
    <row r="62893" spans="3:13" ht="12.75" customHeight="1" x14ac:dyDescent="0.25">
      <c r="C62893"/>
      <c r="M62893"/>
    </row>
    <row r="62894" spans="3:13" ht="12.75" customHeight="1" x14ac:dyDescent="0.25">
      <c r="C62894"/>
      <c r="M62894"/>
    </row>
    <row r="62895" spans="3:13" ht="12.75" customHeight="1" x14ac:dyDescent="0.25">
      <c r="C62895"/>
      <c r="M62895"/>
    </row>
    <row r="62896" spans="3:13" ht="12.75" customHeight="1" x14ac:dyDescent="0.25">
      <c r="C62896"/>
      <c r="M62896"/>
    </row>
    <row r="62897" spans="3:13" ht="12.75" customHeight="1" x14ac:dyDescent="0.25">
      <c r="C62897"/>
      <c r="M62897"/>
    </row>
    <row r="62898" spans="3:13" ht="12.75" customHeight="1" x14ac:dyDescent="0.25">
      <c r="C62898"/>
      <c r="M62898"/>
    </row>
    <row r="62899" spans="3:13" ht="12.75" customHeight="1" x14ac:dyDescent="0.25">
      <c r="C62899"/>
      <c r="M62899"/>
    </row>
    <row r="62900" spans="3:13" ht="12.75" customHeight="1" x14ac:dyDescent="0.25">
      <c r="C62900"/>
      <c r="M62900"/>
    </row>
    <row r="62901" spans="3:13" ht="12.75" customHeight="1" x14ac:dyDescent="0.25">
      <c r="C62901"/>
      <c r="M62901"/>
    </row>
    <row r="62902" spans="3:13" ht="12.75" customHeight="1" x14ac:dyDescent="0.25">
      <c r="C62902"/>
      <c r="M62902"/>
    </row>
    <row r="62903" spans="3:13" ht="12.75" customHeight="1" x14ac:dyDescent="0.25">
      <c r="C62903"/>
      <c r="M62903"/>
    </row>
    <row r="62904" spans="3:13" ht="12.75" customHeight="1" x14ac:dyDescent="0.25">
      <c r="C62904"/>
      <c r="M62904"/>
    </row>
    <row r="62905" spans="3:13" ht="12.75" customHeight="1" x14ac:dyDescent="0.25">
      <c r="C62905"/>
      <c r="M62905"/>
    </row>
    <row r="62906" spans="3:13" ht="12.75" customHeight="1" x14ac:dyDescent="0.25">
      <c r="C62906"/>
      <c r="M62906"/>
    </row>
    <row r="62907" spans="3:13" ht="12.75" customHeight="1" x14ac:dyDescent="0.25">
      <c r="C62907"/>
      <c r="M62907"/>
    </row>
    <row r="62908" spans="3:13" ht="12.75" customHeight="1" x14ac:dyDescent="0.25">
      <c r="C62908"/>
      <c r="M62908"/>
    </row>
    <row r="62909" spans="3:13" ht="12.75" customHeight="1" x14ac:dyDescent="0.25">
      <c r="C62909"/>
      <c r="M62909"/>
    </row>
    <row r="62910" spans="3:13" ht="12.75" customHeight="1" x14ac:dyDescent="0.25">
      <c r="C62910"/>
      <c r="M62910"/>
    </row>
    <row r="62911" spans="3:13" ht="12.75" customHeight="1" x14ac:dyDescent="0.25">
      <c r="C62911"/>
      <c r="M62911"/>
    </row>
    <row r="62912" spans="3:13" ht="12.75" customHeight="1" x14ac:dyDescent="0.25">
      <c r="C62912"/>
      <c r="M62912"/>
    </row>
    <row r="62913" spans="3:13" ht="12.75" customHeight="1" x14ac:dyDescent="0.25">
      <c r="C62913"/>
      <c r="M62913"/>
    </row>
    <row r="62914" spans="3:13" ht="12.75" customHeight="1" x14ac:dyDescent="0.25">
      <c r="C62914"/>
      <c r="M62914"/>
    </row>
    <row r="62915" spans="3:13" ht="12.75" customHeight="1" x14ac:dyDescent="0.25">
      <c r="C62915"/>
      <c r="M62915"/>
    </row>
    <row r="62916" spans="3:13" ht="12.75" customHeight="1" x14ac:dyDescent="0.25">
      <c r="C62916"/>
      <c r="M62916"/>
    </row>
    <row r="62917" spans="3:13" ht="12.75" customHeight="1" x14ac:dyDescent="0.25">
      <c r="C62917"/>
      <c r="M62917"/>
    </row>
    <row r="62918" spans="3:13" ht="12.75" customHeight="1" x14ac:dyDescent="0.25">
      <c r="C62918"/>
      <c r="M62918"/>
    </row>
    <row r="62919" spans="3:13" ht="12.75" customHeight="1" x14ac:dyDescent="0.25">
      <c r="C62919"/>
      <c r="M62919"/>
    </row>
    <row r="62920" spans="3:13" ht="12.75" customHeight="1" x14ac:dyDescent="0.25">
      <c r="C62920"/>
      <c r="M62920"/>
    </row>
    <row r="62921" spans="3:13" ht="12.75" customHeight="1" x14ac:dyDescent="0.25">
      <c r="C62921"/>
      <c r="M62921"/>
    </row>
    <row r="62922" spans="3:13" ht="12.75" customHeight="1" x14ac:dyDescent="0.25">
      <c r="C62922"/>
      <c r="M62922"/>
    </row>
    <row r="62923" spans="3:13" ht="12.75" customHeight="1" x14ac:dyDescent="0.25">
      <c r="C62923"/>
      <c r="M62923"/>
    </row>
    <row r="62924" spans="3:13" ht="12.75" customHeight="1" x14ac:dyDescent="0.25">
      <c r="C62924"/>
      <c r="M62924"/>
    </row>
    <row r="62925" spans="3:13" ht="12.75" customHeight="1" x14ac:dyDescent="0.25">
      <c r="C62925"/>
      <c r="M62925"/>
    </row>
    <row r="62926" spans="3:13" ht="12.75" customHeight="1" x14ac:dyDescent="0.25">
      <c r="C62926"/>
      <c r="M62926"/>
    </row>
    <row r="62927" spans="3:13" ht="12.75" customHeight="1" x14ac:dyDescent="0.25">
      <c r="C62927"/>
      <c r="M62927"/>
    </row>
    <row r="62928" spans="3:13" ht="12.75" customHeight="1" x14ac:dyDescent="0.25">
      <c r="C62928"/>
      <c r="M62928"/>
    </row>
    <row r="62929" spans="3:13" ht="12.75" customHeight="1" x14ac:dyDescent="0.25">
      <c r="C62929"/>
      <c r="M62929"/>
    </row>
    <row r="62930" spans="3:13" ht="12.75" customHeight="1" x14ac:dyDescent="0.25">
      <c r="C62930"/>
      <c r="M62930"/>
    </row>
    <row r="62931" spans="3:13" ht="12.75" customHeight="1" x14ac:dyDescent="0.25">
      <c r="C62931"/>
      <c r="M62931"/>
    </row>
    <row r="62932" spans="3:13" ht="12.75" customHeight="1" x14ac:dyDescent="0.25">
      <c r="C62932"/>
      <c r="M62932"/>
    </row>
    <row r="62933" spans="3:13" ht="12.75" customHeight="1" x14ac:dyDescent="0.25">
      <c r="C62933"/>
      <c r="M62933"/>
    </row>
    <row r="62934" spans="3:13" ht="12.75" customHeight="1" x14ac:dyDescent="0.25">
      <c r="C62934"/>
      <c r="M62934"/>
    </row>
    <row r="62935" spans="3:13" ht="12.75" customHeight="1" x14ac:dyDescent="0.25">
      <c r="C62935"/>
      <c r="M62935"/>
    </row>
    <row r="62936" spans="3:13" ht="12.75" customHeight="1" x14ac:dyDescent="0.25">
      <c r="C62936"/>
      <c r="M62936"/>
    </row>
    <row r="62937" spans="3:13" ht="12.75" customHeight="1" x14ac:dyDescent="0.25">
      <c r="C62937"/>
      <c r="M62937"/>
    </row>
    <row r="62938" spans="3:13" ht="12.75" customHeight="1" x14ac:dyDescent="0.25">
      <c r="C62938"/>
      <c r="M62938"/>
    </row>
    <row r="62939" spans="3:13" ht="12.75" customHeight="1" x14ac:dyDescent="0.25">
      <c r="C62939"/>
      <c r="M62939"/>
    </row>
    <row r="62940" spans="3:13" ht="12.75" customHeight="1" x14ac:dyDescent="0.25">
      <c r="C62940"/>
      <c r="M62940"/>
    </row>
    <row r="62941" spans="3:13" ht="12.75" customHeight="1" x14ac:dyDescent="0.25">
      <c r="C62941"/>
      <c r="M62941"/>
    </row>
    <row r="62942" spans="3:13" ht="12.75" customHeight="1" x14ac:dyDescent="0.25">
      <c r="C62942"/>
      <c r="M62942"/>
    </row>
    <row r="62943" spans="3:13" ht="12.75" customHeight="1" x14ac:dyDescent="0.25">
      <c r="C62943"/>
      <c r="M62943"/>
    </row>
    <row r="62944" spans="3:13" ht="12.75" customHeight="1" x14ac:dyDescent="0.25">
      <c r="C62944"/>
      <c r="M62944"/>
    </row>
    <row r="62945" spans="3:13" ht="12.75" customHeight="1" x14ac:dyDescent="0.25">
      <c r="C62945"/>
      <c r="M62945"/>
    </row>
    <row r="62946" spans="3:13" ht="12.75" customHeight="1" x14ac:dyDescent="0.25">
      <c r="C62946"/>
      <c r="M62946"/>
    </row>
    <row r="62947" spans="3:13" ht="12.75" customHeight="1" x14ac:dyDescent="0.25">
      <c r="C62947"/>
      <c r="M62947"/>
    </row>
    <row r="62948" spans="3:13" ht="12.75" customHeight="1" x14ac:dyDescent="0.25">
      <c r="C62948"/>
      <c r="M62948"/>
    </row>
    <row r="62949" spans="3:13" ht="12.75" customHeight="1" x14ac:dyDescent="0.25">
      <c r="C62949"/>
      <c r="M62949"/>
    </row>
    <row r="62950" spans="3:13" ht="12.75" customHeight="1" x14ac:dyDescent="0.25">
      <c r="C62950"/>
      <c r="M62950"/>
    </row>
    <row r="62951" spans="3:13" ht="12.75" customHeight="1" x14ac:dyDescent="0.25">
      <c r="C62951"/>
      <c r="M62951"/>
    </row>
    <row r="62952" spans="3:13" ht="12.75" customHeight="1" x14ac:dyDescent="0.25">
      <c r="C62952"/>
      <c r="M62952"/>
    </row>
    <row r="62953" spans="3:13" ht="12.75" customHeight="1" x14ac:dyDescent="0.25">
      <c r="C62953"/>
      <c r="M62953"/>
    </row>
    <row r="62954" spans="3:13" ht="12.75" customHeight="1" x14ac:dyDescent="0.25">
      <c r="C62954"/>
      <c r="M62954"/>
    </row>
    <row r="62955" spans="3:13" ht="12.75" customHeight="1" x14ac:dyDescent="0.25">
      <c r="C62955"/>
      <c r="M62955"/>
    </row>
    <row r="62956" spans="3:13" ht="12.75" customHeight="1" x14ac:dyDescent="0.25">
      <c r="C62956"/>
      <c r="M62956"/>
    </row>
    <row r="62957" spans="3:13" ht="12.75" customHeight="1" x14ac:dyDescent="0.25">
      <c r="C62957"/>
      <c r="M62957"/>
    </row>
    <row r="62958" spans="3:13" ht="12.75" customHeight="1" x14ac:dyDescent="0.25">
      <c r="C62958"/>
      <c r="M62958"/>
    </row>
    <row r="62959" spans="3:13" ht="12.75" customHeight="1" x14ac:dyDescent="0.25">
      <c r="C62959"/>
      <c r="M62959"/>
    </row>
    <row r="62960" spans="3:13" ht="12.75" customHeight="1" x14ac:dyDescent="0.25">
      <c r="C62960"/>
      <c r="M62960"/>
    </row>
    <row r="62961" spans="3:13" ht="12.75" customHeight="1" x14ac:dyDescent="0.25">
      <c r="C62961"/>
      <c r="M62961"/>
    </row>
    <row r="62962" spans="3:13" ht="12.75" customHeight="1" x14ac:dyDescent="0.25">
      <c r="C62962"/>
      <c r="M62962"/>
    </row>
    <row r="62963" spans="3:13" ht="12.75" customHeight="1" x14ac:dyDescent="0.25">
      <c r="C62963"/>
      <c r="M62963"/>
    </row>
    <row r="62964" spans="3:13" ht="12.75" customHeight="1" x14ac:dyDescent="0.25">
      <c r="C62964"/>
      <c r="M62964"/>
    </row>
    <row r="62965" spans="3:13" ht="12.75" customHeight="1" x14ac:dyDescent="0.25">
      <c r="C62965"/>
      <c r="M62965"/>
    </row>
    <row r="62966" spans="3:13" ht="12.75" customHeight="1" x14ac:dyDescent="0.25">
      <c r="C62966"/>
      <c r="M62966"/>
    </row>
    <row r="62967" spans="3:13" ht="12.75" customHeight="1" x14ac:dyDescent="0.25">
      <c r="C62967"/>
      <c r="M62967"/>
    </row>
    <row r="62968" spans="3:13" ht="12.75" customHeight="1" x14ac:dyDescent="0.25">
      <c r="C62968"/>
      <c r="M62968"/>
    </row>
    <row r="62969" spans="3:13" ht="12.75" customHeight="1" x14ac:dyDescent="0.25">
      <c r="C62969"/>
      <c r="M62969"/>
    </row>
    <row r="62970" spans="3:13" ht="12.75" customHeight="1" x14ac:dyDescent="0.25">
      <c r="C62970"/>
      <c r="M62970"/>
    </row>
    <row r="62971" spans="3:13" ht="12.75" customHeight="1" x14ac:dyDescent="0.25">
      <c r="C62971"/>
      <c r="M62971"/>
    </row>
    <row r="62972" spans="3:13" ht="12.75" customHeight="1" x14ac:dyDescent="0.25">
      <c r="C62972"/>
      <c r="M62972"/>
    </row>
    <row r="62973" spans="3:13" ht="12.75" customHeight="1" x14ac:dyDescent="0.25">
      <c r="C62973"/>
      <c r="M62973"/>
    </row>
    <row r="62974" spans="3:13" ht="12.75" customHeight="1" x14ac:dyDescent="0.25">
      <c r="C62974"/>
      <c r="M62974"/>
    </row>
    <row r="62975" spans="3:13" ht="12.75" customHeight="1" x14ac:dyDescent="0.25">
      <c r="C62975"/>
      <c r="M62975"/>
    </row>
    <row r="62976" spans="3:13" ht="12.75" customHeight="1" x14ac:dyDescent="0.25">
      <c r="C62976"/>
      <c r="M62976"/>
    </row>
    <row r="62977" spans="3:13" ht="12.75" customHeight="1" x14ac:dyDescent="0.25">
      <c r="C62977"/>
      <c r="M62977"/>
    </row>
    <row r="62978" spans="3:13" ht="12.75" customHeight="1" x14ac:dyDescent="0.25">
      <c r="C62978"/>
      <c r="M62978"/>
    </row>
    <row r="62979" spans="3:13" ht="12.75" customHeight="1" x14ac:dyDescent="0.25">
      <c r="C62979"/>
      <c r="M62979"/>
    </row>
    <row r="62980" spans="3:13" ht="12.75" customHeight="1" x14ac:dyDescent="0.25">
      <c r="C62980"/>
      <c r="M62980"/>
    </row>
    <row r="62981" spans="3:13" ht="12.75" customHeight="1" x14ac:dyDescent="0.25">
      <c r="C62981"/>
      <c r="M62981"/>
    </row>
    <row r="62982" spans="3:13" ht="12.75" customHeight="1" x14ac:dyDescent="0.25">
      <c r="C62982"/>
      <c r="M62982"/>
    </row>
    <row r="62983" spans="3:13" ht="12.75" customHeight="1" x14ac:dyDescent="0.25">
      <c r="C62983"/>
      <c r="M62983"/>
    </row>
    <row r="62984" spans="3:13" ht="12.75" customHeight="1" x14ac:dyDescent="0.25">
      <c r="C62984"/>
      <c r="M62984"/>
    </row>
    <row r="62985" spans="3:13" ht="12.75" customHeight="1" x14ac:dyDescent="0.25">
      <c r="C62985"/>
      <c r="M62985"/>
    </row>
    <row r="62986" spans="3:13" ht="12.75" customHeight="1" x14ac:dyDescent="0.25">
      <c r="C62986"/>
      <c r="M62986"/>
    </row>
    <row r="62987" spans="3:13" ht="12.75" customHeight="1" x14ac:dyDescent="0.25">
      <c r="C62987"/>
      <c r="M62987"/>
    </row>
    <row r="62988" spans="3:13" ht="12.75" customHeight="1" x14ac:dyDescent="0.25">
      <c r="C62988"/>
      <c r="M62988"/>
    </row>
    <row r="62989" spans="3:13" ht="12.75" customHeight="1" x14ac:dyDescent="0.25">
      <c r="C62989"/>
      <c r="M62989"/>
    </row>
    <row r="62990" spans="3:13" ht="12.75" customHeight="1" x14ac:dyDescent="0.25">
      <c r="C62990"/>
      <c r="M62990"/>
    </row>
    <row r="62991" spans="3:13" ht="12.75" customHeight="1" x14ac:dyDescent="0.25">
      <c r="C62991"/>
      <c r="M62991"/>
    </row>
    <row r="62992" spans="3:13" ht="12.75" customHeight="1" x14ac:dyDescent="0.25">
      <c r="C62992"/>
      <c r="M62992"/>
    </row>
    <row r="62993" spans="3:13" ht="12.75" customHeight="1" x14ac:dyDescent="0.25">
      <c r="C62993"/>
      <c r="M62993"/>
    </row>
    <row r="62994" spans="3:13" ht="12.75" customHeight="1" x14ac:dyDescent="0.25">
      <c r="C62994"/>
      <c r="M62994"/>
    </row>
    <row r="62995" spans="3:13" ht="12.75" customHeight="1" x14ac:dyDescent="0.25">
      <c r="C62995"/>
      <c r="M62995"/>
    </row>
    <row r="62996" spans="3:13" ht="12.75" customHeight="1" x14ac:dyDescent="0.25">
      <c r="C62996"/>
      <c r="M62996"/>
    </row>
    <row r="62997" spans="3:13" ht="12.75" customHeight="1" x14ac:dyDescent="0.25">
      <c r="C62997"/>
      <c r="M62997"/>
    </row>
    <row r="62998" spans="3:13" ht="12.75" customHeight="1" x14ac:dyDescent="0.25">
      <c r="C62998"/>
      <c r="M62998"/>
    </row>
    <row r="62999" spans="3:13" ht="12.75" customHeight="1" x14ac:dyDescent="0.25">
      <c r="C62999"/>
      <c r="M62999"/>
    </row>
    <row r="63000" spans="3:13" ht="12.75" customHeight="1" x14ac:dyDescent="0.25">
      <c r="C63000"/>
      <c r="M63000"/>
    </row>
    <row r="63001" spans="3:13" ht="12.75" customHeight="1" x14ac:dyDescent="0.25">
      <c r="C63001"/>
      <c r="M63001"/>
    </row>
    <row r="63002" spans="3:13" ht="12.75" customHeight="1" x14ac:dyDescent="0.25">
      <c r="C63002"/>
      <c r="M63002"/>
    </row>
    <row r="63003" spans="3:13" ht="12.75" customHeight="1" x14ac:dyDescent="0.25">
      <c r="C63003"/>
      <c r="M63003"/>
    </row>
    <row r="63004" spans="3:13" ht="12.75" customHeight="1" x14ac:dyDescent="0.25">
      <c r="C63004"/>
      <c r="M63004"/>
    </row>
    <row r="63005" spans="3:13" ht="12.75" customHeight="1" x14ac:dyDescent="0.25">
      <c r="C63005"/>
      <c r="M63005"/>
    </row>
    <row r="63006" spans="3:13" ht="12.75" customHeight="1" x14ac:dyDescent="0.25">
      <c r="C63006"/>
      <c r="M63006"/>
    </row>
    <row r="63007" spans="3:13" ht="12.75" customHeight="1" x14ac:dyDescent="0.25">
      <c r="C63007"/>
      <c r="M63007"/>
    </row>
    <row r="63008" spans="3:13" ht="12.75" customHeight="1" x14ac:dyDescent="0.25">
      <c r="C63008"/>
      <c r="M63008"/>
    </row>
    <row r="63009" spans="3:13" ht="12.75" customHeight="1" x14ac:dyDescent="0.25">
      <c r="C63009"/>
      <c r="M63009"/>
    </row>
    <row r="63010" spans="3:13" ht="12.75" customHeight="1" x14ac:dyDescent="0.25">
      <c r="C63010"/>
      <c r="M63010"/>
    </row>
    <row r="63011" spans="3:13" ht="12.75" customHeight="1" x14ac:dyDescent="0.25">
      <c r="C63011"/>
      <c r="M63011"/>
    </row>
    <row r="63012" spans="3:13" ht="12.75" customHeight="1" x14ac:dyDescent="0.25">
      <c r="C63012"/>
      <c r="M63012"/>
    </row>
    <row r="63013" spans="3:13" ht="12.75" customHeight="1" x14ac:dyDescent="0.25">
      <c r="C63013"/>
      <c r="M63013"/>
    </row>
    <row r="63014" spans="3:13" ht="12.75" customHeight="1" x14ac:dyDescent="0.25">
      <c r="C63014"/>
      <c r="M63014"/>
    </row>
    <row r="63015" spans="3:13" ht="12.75" customHeight="1" x14ac:dyDescent="0.25">
      <c r="C63015"/>
      <c r="M63015"/>
    </row>
    <row r="63016" spans="3:13" ht="12.75" customHeight="1" x14ac:dyDescent="0.25">
      <c r="C63016"/>
      <c r="M63016"/>
    </row>
    <row r="63017" spans="3:13" ht="12.75" customHeight="1" x14ac:dyDescent="0.25">
      <c r="C63017"/>
      <c r="M63017"/>
    </row>
    <row r="63018" spans="3:13" ht="12.75" customHeight="1" x14ac:dyDescent="0.25">
      <c r="C63018"/>
      <c r="M63018"/>
    </row>
    <row r="63019" spans="3:13" ht="12.75" customHeight="1" x14ac:dyDescent="0.25">
      <c r="C63019"/>
      <c r="M63019"/>
    </row>
    <row r="63020" spans="3:13" ht="12.75" customHeight="1" x14ac:dyDescent="0.25">
      <c r="C63020"/>
      <c r="M63020"/>
    </row>
    <row r="63021" spans="3:13" ht="12.75" customHeight="1" x14ac:dyDescent="0.25">
      <c r="C63021"/>
      <c r="M63021"/>
    </row>
    <row r="63022" spans="3:13" ht="12.75" customHeight="1" x14ac:dyDescent="0.25">
      <c r="C63022"/>
      <c r="M63022"/>
    </row>
    <row r="63023" spans="3:13" ht="12.75" customHeight="1" x14ac:dyDescent="0.25">
      <c r="C63023"/>
      <c r="M63023"/>
    </row>
    <row r="63024" spans="3:13" ht="12.75" customHeight="1" x14ac:dyDescent="0.25">
      <c r="C63024"/>
      <c r="M63024"/>
    </row>
    <row r="63025" spans="3:13" ht="12.75" customHeight="1" x14ac:dyDescent="0.25">
      <c r="C63025"/>
      <c r="M63025"/>
    </row>
    <row r="63026" spans="3:13" ht="12.75" customHeight="1" x14ac:dyDescent="0.25">
      <c r="C63026"/>
      <c r="M63026"/>
    </row>
    <row r="63027" spans="3:13" ht="12.75" customHeight="1" x14ac:dyDescent="0.25">
      <c r="C63027"/>
      <c r="M63027"/>
    </row>
    <row r="63028" spans="3:13" ht="12.75" customHeight="1" x14ac:dyDescent="0.25">
      <c r="C63028"/>
      <c r="M63028"/>
    </row>
    <row r="63029" spans="3:13" ht="12.75" customHeight="1" x14ac:dyDescent="0.25">
      <c r="C63029"/>
      <c r="M63029"/>
    </row>
    <row r="63030" spans="3:13" ht="12.75" customHeight="1" x14ac:dyDescent="0.25">
      <c r="C63030"/>
      <c r="M63030"/>
    </row>
    <row r="63031" spans="3:13" ht="12.75" customHeight="1" x14ac:dyDescent="0.25">
      <c r="C63031"/>
      <c r="M63031"/>
    </row>
    <row r="63032" spans="3:13" ht="12.75" customHeight="1" x14ac:dyDescent="0.25">
      <c r="C63032"/>
      <c r="M63032"/>
    </row>
    <row r="63033" spans="3:13" ht="12.75" customHeight="1" x14ac:dyDescent="0.25">
      <c r="C63033"/>
      <c r="M63033"/>
    </row>
    <row r="63034" spans="3:13" ht="12.75" customHeight="1" x14ac:dyDescent="0.25">
      <c r="C63034"/>
      <c r="M63034"/>
    </row>
    <row r="63035" spans="3:13" ht="12.75" customHeight="1" x14ac:dyDescent="0.25">
      <c r="C63035"/>
      <c r="M63035"/>
    </row>
    <row r="63036" spans="3:13" ht="12.75" customHeight="1" x14ac:dyDescent="0.25">
      <c r="C63036"/>
      <c r="M63036"/>
    </row>
    <row r="63037" spans="3:13" ht="12.75" customHeight="1" x14ac:dyDescent="0.25">
      <c r="C63037"/>
      <c r="M63037"/>
    </row>
    <row r="63038" spans="3:13" ht="12.75" customHeight="1" x14ac:dyDescent="0.25">
      <c r="C63038"/>
      <c r="M63038"/>
    </row>
    <row r="63039" spans="3:13" ht="12.75" customHeight="1" x14ac:dyDescent="0.25">
      <c r="C63039"/>
      <c r="M63039"/>
    </row>
    <row r="63040" spans="3:13" ht="12.75" customHeight="1" x14ac:dyDescent="0.25">
      <c r="C63040"/>
      <c r="M63040"/>
    </row>
    <row r="63041" spans="3:13" ht="12.75" customHeight="1" x14ac:dyDescent="0.25">
      <c r="C63041"/>
      <c r="M63041"/>
    </row>
    <row r="63042" spans="3:13" ht="12.75" customHeight="1" x14ac:dyDescent="0.25">
      <c r="C63042"/>
      <c r="M63042"/>
    </row>
    <row r="63043" spans="3:13" ht="12.75" customHeight="1" x14ac:dyDescent="0.25">
      <c r="C63043"/>
      <c r="M63043"/>
    </row>
    <row r="63044" spans="3:13" ht="12.75" customHeight="1" x14ac:dyDescent="0.25">
      <c r="C63044"/>
      <c r="M63044"/>
    </row>
    <row r="63045" spans="3:13" ht="12.75" customHeight="1" x14ac:dyDescent="0.25">
      <c r="C63045"/>
      <c r="M63045"/>
    </row>
    <row r="63046" spans="3:13" ht="12.75" customHeight="1" x14ac:dyDescent="0.25">
      <c r="C63046"/>
      <c r="M63046"/>
    </row>
    <row r="63047" spans="3:13" ht="12.75" customHeight="1" x14ac:dyDescent="0.25">
      <c r="C63047"/>
      <c r="M63047"/>
    </row>
    <row r="63048" spans="3:13" ht="12.75" customHeight="1" x14ac:dyDescent="0.25">
      <c r="C63048"/>
      <c r="M63048"/>
    </row>
    <row r="63049" spans="3:13" ht="12.75" customHeight="1" x14ac:dyDescent="0.25">
      <c r="C63049"/>
      <c r="M63049"/>
    </row>
    <row r="63050" spans="3:13" ht="12.75" customHeight="1" x14ac:dyDescent="0.25">
      <c r="C63050"/>
      <c r="M63050"/>
    </row>
    <row r="63051" spans="3:13" ht="12.75" customHeight="1" x14ac:dyDescent="0.25">
      <c r="C63051"/>
      <c r="M63051"/>
    </row>
    <row r="63052" spans="3:13" ht="12.75" customHeight="1" x14ac:dyDescent="0.25">
      <c r="C63052"/>
      <c r="M63052"/>
    </row>
    <row r="63053" spans="3:13" ht="12.75" customHeight="1" x14ac:dyDescent="0.25">
      <c r="C63053"/>
      <c r="M63053"/>
    </row>
    <row r="63054" spans="3:13" ht="12.75" customHeight="1" x14ac:dyDescent="0.25">
      <c r="C63054"/>
      <c r="M63054"/>
    </row>
    <row r="63055" spans="3:13" ht="12.75" customHeight="1" x14ac:dyDescent="0.25">
      <c r="C63055"/>
      <c r="M63055"/>
    </row>
    <row r="63056" spans="3:13" ht="12.75" customHeight="1" x14ac:dyDescent="0.25">
      <c r="C63056"/>
      <c r="M63056"/>
    </row>
    <row r="63057" spans="3:13" ht="12.75" customHeight="1" x14ac:dyDescent="0.25">
      <c r="C63057"/>
      <c r="M63057"/>
    </row>
    <row r="63058" spans="3:13" ht="12.75" customHeight="1" x14ac:dyDescent="0.25">
      <c r="C63058"/>
      <c r="M63058"/>
    </row>
    <row r="63059" spans="3:13" ht="12.75" customHeight="1" x14ac:dyDescent="0.25">
      <c r="C63059"/>
      <c r="M63059"/>
    </row>
    <row r="63060" spans="3:13" ht="12.75" customHeight="1" x14ac:dyDescent="0.25">
      <c r="C63060"/>
      <c r="M63060"/>
    </row>
    <row r="63061" spans="3:13" ht="12.75" customHeight="1" x14ac:dyDescent="0.25">
      <c r="C63061"/>
      <c r="M63061"/>
    </row>
    <row r="63062" spans="3:13" ht="12.75" customHeight="1" x14ac:dyDescent="0.25">
      <c r="C63062"/>
      <c r="M63062"/>
    </row>
    <row r="63063" spans="3:13" ht="12.75" customHeight="1" x14ac:dyDescent="0.25">
      <c r="C63063"/>
      <c r="M63063"/>
    </row>
    <row r="63064" spans="3:13" ht="12.75" customHeight="1" x14ac:dyDescent="0.25">
      <c r="C63064"/>
      <c r="M63064"/>
    </row>
    <row r="63065" spans="3:13" ht="12.75" customHeight="1" x14ac:dyDescent="0.25">
      <c r="C63065"/>
      <c r="M63065"/>
    </row>
    <row r="63066" spans="3:13" ht="12.75" customHeight="1" x14ac:dyDescent="0.25">
      <c r="C63066"/>
      <c r="M63066"/>
    </row>
    <row r="63067" spans="3:13" ht="12.75" customHeight="1" x14ac:dyDescent="0.25">
      <c r="C63067"/>
      <c r="M63067"/>
    </row>
    <row r="63068" spans="3:13" ht="12.75" customHeight="1" x14ac:dyDescent="0.25">
      <c r="C63068"/>
      <c r="M63068"/>
    </row>
    <row r="63069" spans="3:13" ht="12.75" customHeight="1" x14ac:dyDescent="0.25">
      <c r="C63069"/>
      <c r="M63069"/>
    </row>
    <row r="63070" spans="3:13" ht="12.75" customHeight="1" x14ac:dyDescent="0.25">
      <c r="C63070"/>
      <c r="M63070"/>
    </row>
    <row r="63071" spans="3:13" ht="12.75" customHeight="1" x14ac:dyDescent="0.25">
      <c r="C63071"/>
      <c r="M63071"/>
    </row>
    <row r="63072" spans="3:13" ht="12.75" customHeight="1" x14ac:dyDescent="0.25">
      <c r="C63072"/>
      <c r="M63072"/>
    </row>
    <row r="63073" spans="3:13" ht="12.75" customHeight="1" x14ac:dyDescent="0.25">
      <c r="C63073"/>
      <c r="M63073"/>
    </row>
    <row r="63074" spans="3:13" ht="12.75" customHeight="1" x14ac:dyDescent="0.25">
      <c r="C63074"/>
      <c r="M63074"/>
    </row>
    <row r="63075" spans="3:13" ht="12.75" customHeight="1" x14ac:dyDescent="0.25">
      <c r="C63075"/>
      <c r="M63075"/>
    </row>
    <row r="63076" spans="3:13" ht="12.75" customHeight="1" x14ac:dyDescent="0.25">
      <c r="C63076"/>
      <c r="M63076"/>
    </row>
    <row r="63077" spans="3:13" ht="12.75" customHeight="1" x14ac:dyDescent="0.25">
      <c r="C63077"/>
      <c r="M63077"/>
    </row>
    <row r="63078" spans="3:13" ht="12.75" customHeight="1" x14ac:dyDescent="0.25">
      <c r="C63078"/>
      <c r="M63078"/>
    </row>
    <row r="63079" spans="3:13" ht="12.75" customHeight="1" x14ac:dyDescent="0.25">
      <c r="C63079"/>
      <c r="M63079"/>
    </row>
    <row r="63080" spans="3:13" ht="12.75" customHeight="1" x14ac:dyDescent="0.25">
      <c r="C63080"/>
      <c r="M63080"/>
    </row>
    <row r="63081" spans="3:13" ht="12.75" customHeight="1" x14ac:dyDescent="0.25">
      <c r="C63081"/>
      <c r="M63081"/>
    </row>
    <row r="63082" spans="3:13" ht="12.75" customHeight="1" x14ac:dyDescent="0.25">
      <c r="C63082"/>
      <c r="M63082"/>
    </row>
    <row r="63083" spans="3:13" ht="12.75" customHeight="1" x14ac:dyDescent="0.25">
      <c r="C63083"/>
      <c r="M63083"/>
    </row>
    <row r="63084" spans="3:13" ht="12.75" customHeight="1" x14ac:dyDescent="0.25">
      <c r="C63084"/>
      <c r="M63084"/>
    </row>
    <row r="63085" spans="3:13" ht="12.75" customHeight="1" x14ac:dyDescent="0.25">
      <c r="C63085"/>
      <c r="M63085"/>
    </row>
    <row r="63086" spans="3:13" ht="12.75" customHeight="1" x14ac:dyDescent="0.25">
      <c r="C63086"/>
      <c r="M63086"/>
    </row>
    <row r="63087" spans="3:13" ht="12.75" customHeight="1" x14ac:dyDescent="0.25">
      <c r="C63087"/>
      <c r="M63087"/>
    </row>
    <row r="63088" spans="3:13" ht="12.75" customHeight="1" x14ac:dyDescent="0.25">
      <c r="C63088"/>
      <c r="M63088"/>
    </row>
    <row r="63089" spans="3:13" ht="12.75" customHeight="1" x14ac:dyDescent="0.25">
      <c r="C63089"/>
      <c r="M63089"/>
    </row>
    <row r="63090" spans="3:13" ht="12.75" customHeight="1" x14ac:dyDescent="0.25">
      <c r="C63090"/>
      <c r="M63090"/>
    </row>
    <row r="63091" spans="3:13" ht="12.75" customHeight="1" x14ac:dyDescent="0.25">
      <c r="C63091"/>
      <c r="M63091"/>
    </row>
    <row r="63092" spans="3:13" ht="12.75" customHeight="1" x14ac:dyDescent="0.25">
      <c r="C63092"/>
      <c r="M63092"/>
    </row>
    <row r="63093" spans="3:13" ht="12.75" customHeight="1" x14ac:dyDescent="0.25">
      <c r="C63093"/>
      <c r="M63093"/>
    </row>
    <row r="63094" spans="3:13" ht="12.75" customHeight="1" x14ac:dyDescent="0.25">
      <c r="C63094"/>
      <c r="M63094"/>
    </row>
    <row r="63095" spans="3:13" ht="12.75" customHeight="1" x14ac:dyDescent="0.25">
      <c r="C63095"/>
      <c r="M63095"/>
    </row>
    <row r="63096" spans="3:13" ht="12.75" customHeight="1" x14ac:dyDescent="0.25">
      <c r="C63096"/>
      <c r="M63096"/>
    </row>
    <row r="63097" spans="3:13" ht="12.75" customHeight="1" x14ac:dyDescent="0.25">
      <c r="C63097"/>
      <c r="M63097"/>
    </row>
    <row r="63098" spans="3:13" ht="12.75" customHeight="1" x14ac:dyDescent="0.25">
      <c r="C63098"/>
      <c r="M63098"/>
    </row>
    <row r="63099" spans="3:13" ht="12.75" customHeight="1" x14ac:dyDescent="0.25">
      <c r="C63099"/>
      <c r="M63099"/>
    </row>
    <row r="63100" spans="3:13" ht="12.75" customHeight="1" x14ac:dyDescent="0.25">
      <c r="C63100"/>
      <c r="M63100"/>
    </row>
    <row r="63101" spans="3:13" ht="12.75" customHeight="1" x14ac:dyDescent="0.25">
      <c r="C63101"/>
      <c r="M63101"/>
    </row>
    <row r="63102" spans="3:13" ht="12.75" customHeight="1" x14ac:dyDescent="0.25">
      <c r="C63102"/>
      <c r="M63102"/>
    </row>
    <row r="63103" spans="3:13" ht="12.75" customHeight="1" x14ac:dyDescent="0.25">
      <c r="C63103"/>
      <c r="M63103"/>
    </row>
    <row r="63104" spans="3:13" ht="12.75" customHeight="1" x14ac:dyDescent="0.25">
      <c r="C63104"/>
      <c r="M63104"/>
    </row>
    <row r="63105" spans="3:13" ht="12.75" customHeight="1" x14ac:dyDescent="0.25">
      <c r="C63105"/>
      <c r="M63105"/>
    </row>
    <row r="63106" spans="3:13" ht="12.75" customHeight="1" x14ac:dyDescent="0.25">
      <c r="C63106"/>
      <c r="M63106"/>
    </row>
    <row r="63107" spans="3:13" ht="12.75" customHeight="1" x14ac:dyDescent="0.25">
      <c r="C63107"/>
      <c r="M63107"/>
    </row>
    <row r="63108" spans="3:13" ht="12.75" customHeight="1" x14ac:dyDescent="0.25">
      <c r="C63108"/>
      <c r="M63108"/>
    </row>
    <row r="63109" spans="3:13" ht="12.75" customHeight="1" x14ac:dyDescent="0.25">
      <c r="C63109"/>
      <c r="M63109"/>
    </row>
    <row r="63110" spans="3:13" ht="12.75" customHeight="1" x14ac:dyDescent="0.25">
      <c r="C63110"/>
      <c r="M63110"/>
    </row>
    <row r="63111" spans="3:13" ht="12.75" customHeight="1" x14ac:dyDescent="0.25">
      <c r="C63111"/>
      <c r="M63111"/>
    </row>
    <row r="63112" spans="3:13" ht="12.75" customHeight="1" x14ac:dyDescent="0.25">
      <c r="C63112"/>
      <c r="M63112"/>
    </row>
    <row r="63113" spans="3:13" ht="12.75" customHeight="1" x14ac:dyDescent="0.25">
      <c r="C63113"/>
      <c r="M63113"/>
    </row>
    <row r="63114" spans="3:13" ht="12.75" customHeight="1" x14ac:dyDescent="0.25">
      <c r="C63114"/>
      <c r="M63114"/>
    </row>
    <row r="63115" spans="3:13" ht="12.75" customHeight="1" x14ac:dyDescent="0.25">
      <c r="C63115"/>
      <c r="M63115"/>
    </row>
    <row r="63116" spans="3:13" ht="12.75" customHeight="1" x14ac:dyDescent="0.25">
      <c r="C63116"/>
      <c r="M63116"/>
    </row>
    <row r="63117" spans="3:13" ht="12.75" customHeight="1" x14ac:dyDescent="0.25">
      <c r="C63117"/>
      <c r="M63117"/>
    </row>
    <row r="63118" spans="3:13" ht="12.75" customHeight="1" x14ac:dyDescent="0.25">
      <c r="C63118"/>
      <c r="M63118"/>
    </row>
    <row r="63119" spans="3:13" ht="12.75" customHeight="1" x14ac:dyDescent="0.25">
      <c r="C63119"/>
      <c r="M63119"/>
    </row>
    <row r="63120" spans="3:13" ht="12.75" customHeight="1" x14ac:dyDescent="0.25">
      <c r="C63120"/>
      <c r="M63120"/>
    </row>
    <row r="63121" spans="3:13" ht="12.75" customHeight="1" x14ac:dyDescent="0.25">
      <c r="C63121"/>
      <c r="M63121"/>
    </row>
    <row r="63122" spans="3:13" ht="12.75" customHeight="1" x14ac:dyDescent="0.25">
      <c r="C63122"/>
      <c r="M63122"/>
    </row>
    <row r="63123" spans="3:13" ht="12.75" customHeight="1" x14ac:dyDescent="0.25">
      <c r="C63123"/>
      <c r="M63123"/>
    </row>
    <row r="63124" spans="3:13" ht="12.75" customHeight="1" x14ac:dyDescent="0.25">
      <c r="C63124"/>
      <c r="M63124"/>
    </row>
    <row r="63125" spans="3:13" ht="12.75" customHeight="1" x14ac:dyDescent="0.25">
      <c r="C63125"/>
      <c r="M63125"/>
    </row>
    <row r="63126" spans="3:13" ht="12.75" customHeight="1" x14ac:dyDescent="0.25">
      <c r="C63126"/>
      <c r="M63126"/>
    </row>
    <row r="63127" spans="3:13" ht="12.75" customHeight="1" x14ac:dyDescent="0.25">
      <c r="C63127"/>
      <c r="M63127"/>
    </row>
    <row r="63128" spans="3:13" ht="12.75" customHeight="1" x14ac:dyDescent="0.25">
      <c r="C63128"/>
      <c r="M63128"/>
    </row>
    <row r="63129" spans="3:13" ht="12.75" customHeight="1" x14ac:dyDescent="0.25">
      <c r="C63129"/>
      <c r="M63129"/>
    </row>
    <row r="63130" spans="3:13" ht="12.75" customHeight="1" x14ac:dyDescent="0.25">
      <c r="C63130"/>
      <c r="M63130"/>
    </row>
    <row r="63131" spans="3:13" ht="12.75" customHeight="1" x14ac:dyDescent="0.25">
      <c r="C63131"/>
      <c r="M63131"/>
    </row>
    <row r="63132" spans="3:13" ht="12.75" customHeight="1" x14ac:dyDescent="0.25">
      <c r="C63132"/>
      <c r="M63132"/>
    </row>
    <row r="63133" spans="3:13" ht="12.75" customHeight="1" x14ac:dyDescent="0.25">
      <c r="C63133"/>
      <c r="M63133"/>
    </row>
    <row r="63134" spans="3:13" ht="12.75" customHeight="1" x14ac:dyDescent="0.25">
      <c r="C63134"/>
      <c r="M63134"/>
    </row>
    <row r="63135" spans="3:13" ht="12.75" customHeight="1" x14ac:dyDescent="0.25">
      <c r="C63135"/>
      <c r="M63135"/>
    </row>
    <row r="63136" spans="3:13" ht="12.75" customHeight="1" x14ac:dyDescent="0.25">
      <c r="C63136"/>
      <c r="M63136"/>
    </row>
    <row r="63137" spans="3:13" ht="12.75" customHeight="1" x14ac:dyDescent="0.25">
      <c r="C63137"/>
      <c r="M63137"/>
    </row>
    <row r="63138" spans="3:13" ht="12.75" customHeight="1" x14ac:dyDescent="0.25">
      <c r="C63138"/>
      <c r="M63138"/>
    </row>
    <row r="63139" spans="3:13" ht="12.75" customHeight="1" x14ac:dyDescent="0.25">
      <c r="C63139"/>
      <c r="M63139"/>
    </row>
    <row r="63140" spans="3:13" ht="12.75" customHeight="1" x14ac:dyDescent="0.25">
      <c r="C63140"/>
      <c r="M63140"/>
    </row>
    <row r="63141" spans="3:13" ht="12.75" customHeight="1" x14ac:dyDescent="0.25">
      <c r="C63141"/>
      <c r="M63141"/>
    </row>
    <row r="63142" spans="3:13" ht="12.75" customHeight="1" x14ac:dyDescent="0.25">
      <c r="C63142"/>
      <c r="M63142"/>
    </row>
    <row r="63143" spans="3:13" ht="12.75" customHeight="1" x14ac:dyDescent="0.25">
      <c r="C63143"/>
      <c r="M63143"/>
    </row>
    <row r="63144" spans="3:13" ht="12.75" customHeight="1" x14ac:dyDescent="0.25">
      <c r="C63144"/>
      <c r="M63144"/>
    </row>
    <row r="63145" spans="3:13" ht="12.75" customHeight="1" x14ac:dyDescent="0.25">
      <c r="C63145"/>
      <c r="M63145"/>
    </row>
    <row r="63146" spans="3:13" ht="12.75" customHeight="1" x14ac:dyDescent="0.25">
      <c r="C63146"/>
      <c r="M63146"/>
    </row>
    <row r="63147" spans="3:13" ht="12.75" customHeight="1" x14ac:dyDescent="0.25">
      <c r="C63147"/>
      <c r="M63147"/>
    </row>
    <row r="63148" spans="3:13" ht="12.75" customHeight="1" x14ac:dyDescent="0.25">
      <c r="C63148"/>
      <c r="M63148"/>
    </row>
    <row r="63149" spans="3:13" ht="12.75" customHeight="1" x14ac:dyDescent="0.25">
      <c r="C63149"/>
      <c r="M63149"/>
    </row>
    <row r="63150" spans="3:13" ht="12.75" customHeight="1" x14ac:dyDescent="0.25">
      <c r="C63150"/>
      <c r="M63150"/>
    </row>
    <row r="63151" spans="3:13" ht="12.75" customHeight="1" x14ac:dyDescent="0.25">
      <c r="C63151"/>
      <c r="M63151"/>
    </row>
    <row r="63152" spans="3:13" ht="12.75" customHeight="1" x14ac:dyDescent="0.25">
      <c r="C63152"/>
      <c r="M63152"/>
    </row>
    <row r="63153" spans="3:13" ht="12.75" customHeight="1" x14ac:dyDescent="0.25">
      <c r="C63153"/>
      <c r="M63153"/>
    </row>
    <row r="63154" spans="3:13" ht="12.75" customHeight="1" x14ac:dyDescent="0.25">
      <c r="C63154"/>
      <c r="M63154"/>
    </row>
    <row r="63155" spans="3:13" ht="12.75" customHeight="1" x14ac:dyDescent="0.25">
      <c r="C63155"/>
      <c r="M63155"/>
    </row>
    <row r="63156" spans="3:13" ht="12.75" customHeight="1" x14ac:dyDescent="0.25">
      <c r="C63156"/>
      <c r="M63156"/>
    </row>
    <row r="63157" spans="3:13" ht="12.75" customHeight="1" x14ac:dyDescent="0.25">
      <c r="C63157"/>
      <c r="M63157"/>
    </row>
    <row r="63158" spans="3:13" ht="12.75" customHeight="1" x14ac:dyDescent="0.25">
      <c r="C63158"/>
      <c r="M63158"/>
    </row>
    <row r="63159" spans="3:13" ht="12.75" customHeight="1" x14ac:dyDescent="0.25">
      <c r="C63159"/>
      <c r="M63159"/>
    </row>
    <row r="63160" spans="3:13" ht="12.75" customHeight="1" x14ac:dyDescent="0.25">
      <c r="C63160"/>
      <c r="M63160"/>
    </row>
    <row r="63161" spans="3:13" ht="12.75" customHeight="1" x14ac:dyDescent="0.25">
      <c r="C63161"/>
      <c r="M63161"/>
    </row>
    <row r="63162" spans="3:13" ht="12.75" customHeight="1" x14ac:dyDescent="0.25">
      <c r="C63162"/>
      <c r="M63162"/>
    </row>
    <row r="63163" spans="3:13" ht="12.75" customHeight="1" x14ac:dyDescent="0.25">
      <c r="C63163"/>
      <c r="M63163"/>
    </row>
    <row r="63164" spans="3:13" ht="12.75" customHeight="1" x14ac:dyDescent="0.25">
      <c r="C63164"/>
      <c r="M63164"/>
    </row>
    <row r="63165" spans="3:13" ht="12.75" customHeight="1" x14ac:dyDescent="0.25">
      <c r="C63165"/>
      <c r="M63165"/>
    </row>
    <row r="63166" spans="3:13" ht="12.75" customHeight="1" x14ac:dyDescent="0.25">
      <c r="C63166"/>
      <c r="M63166"/>
    </row>
    <row r="63167" spans="3:13" ht="12.75" customHeight="1" x14ac:dyDescent="0.25">
      <c r="C63167"/>
      <c r="M63167"/>
    </row>
    <row r="63168" spans="3:13" ht="12.75" customHeight="1" x14ac:dyDescent="0.25">
      <c r="C63168"/>
      <c r="M63168"/>
    </row>
    <row r="63169" spans="3:13" ht="12.75" customHeight="1" x14ac:dyDescent="0.25">
      <c r="C63169"/>
      <c r="M63169"/>
    </row>
    <row r="63170" spans="3:13" ht="12.75" customHeight="1" x14ac:dyDescent="0.25">
      <c r="C63170"/>
      <c r="M63170"/>
    </row>
    <row r="63171" spans="3:13" ht="12.75" customHeight="1" x14ac:dyDescent="0.25">
      <c r="C63171"/>
      <c r="M63171"/>
    </row>
    <row r="63172" spans="3:13" ht="12.75" customHeight="1" x14ac:dyDescent="0.25">
      <c r="C63172"/>
      <c r="M63172"/>
    </row>
    <row r="63173" spans="3:13" ht="12.75" customHeight="1" x14ac:dyDescent="0.25">
      <c r="C63173"/>
      <c r="M63173"/>
    </row>
    <row r="63174" spans="3:13" ht="12.75" customHeight="1" x14ac:dyDescent="0.25">
      <c r="C63174"/>
      <c r="M63174"/>
    </row>
    <row r="63175" spans="3:13" ht="12.75" customHeight="1" x14ac:dyDescent="0.25">
      <c r="C63175"/>
      <c r="M63175"/>
    </row>
    <row r="63176" spans="3:13" ht="12.75" customHeight="1" x14ac:dyDescent="0.25">
      <c r="C63176"/>
      <c r="M63176"/>
    </row>
    <row r="63177" spans="3:13" ht="12.75" customHeight="1" x14ac:dyDescent="0.25">
      <c r="C63177"/>
      <c r="M63177"/>
    </row>
    <row r="63178" spans="3:13" ht="12.75" customHeight="1" x14ac:dyDescent="0.25">
      <c r="C63178"/>
      <c r="M63178"/>
    </row>
    <row r="63179" spans="3:13" ht="12.75" customHeight="1" x14ac:dyDescent="0.25">
      <c r="C63179"/>
      <c r="M63179"/>
    </row>
    <row r="63180" spans="3:13" ht="12.75" customHeight="1" x14ac:dyDescent="0.25">
      <c r="C63180"/>
      <c r="M63180"/>
    </row>
    <row r="63181" spans="3:13" ht="12.75" customHeight="1" x14ac:dyDescent="0.25">
      <c r="C63181"/>
      <c r="M63181"/>
    </row>
    <row r="63182" spans="3:13" ht="12.75" customHeight="1" x14ac:dyDescent="0.25">
      <c r="C63182"/>
      <c r="M63182"/>
    </row>
    <row r="63183" spans="3:13" ht="12.75" customHeight="1" x14ac:dyDescent="0.25">
      <c r="C63183"/>
      <c r="M63183"/>
    </row>
    <row r="63184" spans="3:13" ht="12.75" customHeight="1" x14ac:dyDescent="0.25">
      <c r="C63184"/>
      <c r="M63184"/>
    </row>
    <row r="63185" spans="3:13" ht="12.75" customHeight="1" x14ac:dyDescent="0.25">
      <c r="C63185"/>
      <c r="M63185"/>
    </row>
    <row r="63186" spans="3:13" ht="12.75" customHeight="1" x14ac:dyDescent="0.25">
      <c r="C63186"/>
      <c r="M63186"/>
    </row>
    <row r="63187" spans="3:13" ht="12.75" customHeight="1" x14ac:dyDescent="0.25">
      <c r="C63187"/>
      <c r="M63187"/>
    </row>
    <row r="63188" spans="3:13" ht="12.75" customHeight="1" x14ac:dyDescent="0.25">
      <c r="C63188"/>
      <c r="M63188"/>
    </row>
    <row r="63189" spans="3:13" ht="12.75" customHeight="1" x14ac:dyDescent="0.25">
      <c r="C63189"/>
      <c r="M63189"/>
    </row>
    <row r="63190" spans="3:13" ht="12.75" customHeight="1" x14ac:dyDescent="0.25">
      <c r="C63190"/>
      <c r="M63190"/>
    </row>
    <row r="63191" spans="3:13" ht="12.75" customHeight="1" x14ac:dyDescent="0.25">
      <c r="C63191"/>
      <c r="M63191"/>
    </row>
    <row r="63192" spans="3:13" ht="12.75" customHeight="1" x14ac:dyDescent="0.25">
      <c r="C63192"/>
      <c r="M63192"/>
    </row>
    <row r="63193" spans="3:13" ht="12.75" customHeight="1" x14ac:dyDescent="0.25">
      <c r="C63193"/>
      <c r="M63193"/>
    </row>
    <row r="63194" spans="3:13" ht="12.75" customHeight="1" x14ac:dyDescent="0.25">
      <c r="C63194"/>
      <c r="M63194"/>
    </row>
    <row r="63195" spans="3:13" ht="12.75" customHeight="1" x14ac:dyDescent="0.25">
      <c r="C63195"/>
      <c r="M63195"/>
    </row>
    <row r="63196" spans="3:13" ht="12.75" customHeight="1" x14ac:dyDescent="0.25">
      <c r="C63196"/>
      <c r="M63196"/>
    </row>
    <row r="63197" spans="3:13" ht="12.75" customHeight="1" x14ac:dyDescent="0.25">
      <c r="C63197"/>
      <c r="M63197"/>
    </row>
    <row r="63198" spans="3:13" ht="12.75" customHeight="1" x14ac:dyDescent="0.25">
      <c r="C63198"/>
      <c r="M63198"/>
    </row>
    <row r="63199" spans="3:13" ht="12.75" customHeight="1" x14ac:dyDescent="0.25">
      <c r="C63199"/>
      <c r="M63199"/>
    </row>
    <row r="63200" spans="3:13" ht="12.75" customHeight="1" x14ac:dyDescent="0.25">
      <c r="C63200"/>
      <c r="M63200"/>
    </row>
    <row r="63201" spans="3:13" ht="12.75" customHeight="1" x14ac:dyDescent="0.25">
      <c r="C63201"/>
      <c r="M63201"/>
    </row>
    <row r="63202" spans="3:13" ht="12.75" customHeight="1" x14ac:dyDescent="0.25">
      <c r="C63202"/>
      <c r="M63202"/>
    </row>
    <row r="63203" spans="3:13" ht="12.75" customHeight="1" x14ac:dyDescent="0.25">
      <c r="C63203"/>
      <c r="M63203"/>
    </row>
    <row r="63204" spans="3:13" ht="12.75" customHeight="1" x14ac:dyDescent="0.25">
      <c r="C63204"/>
      <c r="M63204"/>
    </row>
    <row r="63205" spans="3:13" ht="12.75" customHeight="1" x14ac:dyDescent="0.25">
      <c r="C63205"/>
      <c r="M63205"/>
    </row>
    <row r="63206" spans="3:13" ht="12.75" customHeight="1" x14ac:dyDescent="0.25">
      <c r="C63206"/>
      <c r="M63206"/>
    </row>
    <row r="63207" spans="3:13" ht="12.75" customHeight="1" x14ac:dyDescent="0.25">
      <c r="C63207"/>
      <c r="M63207"/>
    </row>
    <row r="63208" spans="3:13" ht="12.75" customHeight="1" x14ac:dyDescent="0.25">
      <c r="C63208"/>
      <c r="M63208"/>
    </row>
    <row r="63209" spans="3:13" ht="12.75" customHeight="1" x14ac:dyDescent="0.25">
      <c r="C63209"/>
      <c r="M63209"/>
    </row>
    <row r="63210" spans="3:13" ht="12.75" customHeight="1" x14ac:dyDescent="0.25">
      <c r="C63210"/>
      <c r="M63210"/>
    </row>
    <row r="63211" spans="3:13" ht="12.75" customHeight="1" x14ac:dyDescent="0.25">
      <c r="C63211"/>
      <c r="M63211"/>
    </row>
    <row r="63212" spans="3:13" ht="12.75" customHeight="1" x14ac:dyDescent="0.25">
      <c r="C63212"/>
      <c r="M63212"/>
    </row>
    <row r="63213" spans="3:13" ht="12.75" customHeight="1" x14ac:dyDescent="0.25">
      <c r="C63213"/>
      <c r="M63213"/>
    </row>
    <row r="63214" spans="3:13" ht="12.75" customHeight="1" x14ac:dyDescent="0.25">
      <c r="C63214"/>
      <c r="M63214"/>
    </row>
    <row r="63215" spans="3:13" ht="12.75" customHeight="1" x14ac:dyDescent="0.25">
      <c r="C63215"/>
      <c r="M63215"/>
    </row>
    <row r="63216" spans="3:13" ht="12.75" customHeight="1" x14ac:dyDescent="0.25">
      <c r="C63216"/>
      <c r="M63216"/>
    </row>
    <row r="63217" spans="3:13" ht="12.75" customHeight="1" x14ac:dyDescent="0.25">
      <c r="C63217"/>
      <c r="M63217"/>
    </row>
    <row r="63218" spans="3:13" ht="12.75" customHeight="1" x14ac:dyDescent="0.25">
      <c r="C63218"/>
      <c r="M63218"/>
    </row>
    <row r="63219" spans="3:13" ht="12.75" customHeight="1" x14ac:dyDescent="0.25">
      <c r="C63219"/>
      <c r="M63219"/>
    </row>
    <row r="63220" spans="3:13" ht="12.75" customHeight="1" x14ac:dyDescent="0.25">
      <c r="C63220"/>
      <c r="M63220"/>
    </row>
    <row r="63221" spans="3:13" ht="12.75" customHeight="1" x14ac:dyDescent="0.25">
      <c r="C63221"/>
      <c r="M63221"/>
    </row>
    <row r="63222" spans="3:13" ht="12.75" customHeight="1" x14ac:dyDescent="0.25">
      <c r="C63222"/>
      <c r="M63222"/>
    </row>
    <row r="63223" spans="3:13" ht="12.75" customHeight="1" x14ac:dyDescent="0.25">
      <c r="C63223"/>
      <c r="M63223"/>
    </row>
    <row r="63224" spans="3:13" ht="12.75" customHeight="1" x14ac:dyDescent="0.25">
      <c r="C63224"/>
      <c r="M63224"/>
    </row>
    <row r="63225" spans="3:13" ht="12.75" customHeight="1" x14ac:dyDescent="0.25">
      <c r="C63225"/>
      <c r="M63225"/>
    </row>
    <row r="63226" spans="3:13" ht="12.75" customHeight="1" x14ac:dyDescent="0.25">
      <c r="C63226"/>
      <c r="M63226"/>
    </row>
    <row r="63227" spans="3:13" ht="12.75" customHeight="1" x14ac:dyDescent="0.25">
      <c r="C63227"/>
      <c r="M63227"/>
    </row>
    <row r="63228" spans="3:13" ht="12.75" customHeight="1" x14ac:dyDescent="0.25">
      <c r="C63228"/>
      <c r="M63228"/>
    </row>
    <row r="63229" spans="3:13" ht="12.75" customHeight="1" x14ac:dyDescent="0.25">
      <c r="C63229"/>
      <c r="M63229"/>
    </row>
    <row r="63230" spans="3:13" ht="12.75" customHeight="1" x14ac:dyDescent="0.25">
      <c r="C63230"/>
      <c r="M63230"/>
    </row>
    <row r="63231" spans="3:13" ht="12.75" customHeight="1" x14ac:dyDescent="0.25">
      <c r="C63231"/>
      <c r="M63231"/>
    </row>
    <row r="63232" spans="3:13" ht="12.75" customHeight="1" x14ac:dyDescent="0.25">
      <c r="C63232"/>
      <c r="M63232"/>
    </row>
    <row r="63233" spans="3:13" ht="12.75" customHeight="1" x14ac:dyDescent="0.25">
      <c r="C63233"/>
      <c r="M63233"/>
    </row>
    <row r="63234" spans="3:13" ht="12.75" customHeight="1" x14ac:dyDescent="0.25">
      <c r="C63234"/>
      <c r="M63234"/>
    </row>
    <row r="63235" spans="3:13" ht="12.75" customHeight="1" x14ac:dyDescent="0.25">
      <c r="C63235"/>
      <c r="M63235"/>
    </row>
    <row r="63236" spans="3:13" ht="12.75" customHeight="1" x14ac:dyDescent="0.25">
      <c r="C63236"/>
      <c r="M63236"/>
    </row>
    <row r="63237" spans="3:13" ht="12.75" customHeight="1" x14ac:dyDescent="0.25">
      <c r="C63237"/>
      <c r="M63237"/>
    </row>
    <row r="63238" spans="3:13" ht="12.75" customHeight="1" x14ac:dyDescent="0.25">
      <c r="C63238"/>
      <c r="M63238"/>
    </row>
    <row r="63239" spans="3:13" ht="12.75" customHeight="1" x14ac:dyDescent="0.25">
      <c r="C63239"/>
      <c r="M63239"/>
    </row>
    <row r="63240" spans="3:13" ht="12.75" customHeight="1" x14ac:dyDescent="0.25">
      <c r="C63240"/>
      <c r="M63240"/>
    </row>
    <row r="63241" spans="3:13" ht="12.75" customHeight="1" x14ac:dyDescent="0.25">
      <c r="C63241"/>
      <c r="M63241"/>
    </row>
    <row r="63242" spans="3:13" ht="12.75" customHeight="1" x14ac:dyDescent="0.25">
      <c r="C63242"/>
      <c r="M63242"/>
    </row>
    <row r="63243" spans="3:13" ht="12.75" customHeight="1" x14ac:dyDescent="0.25">
      <c r="C63243"/>
      <c r="M63243"/>
    </row>
    <row r="63244" spans="3:13" ht="12.75" customHeight="1" x14ac:dyDescent="0.25">
      <c r="C63244"/>
      <c r="M63244"/>
    </row>
    <row r="63245" spans="3:13" ht="12.75" customHeight="1" x14ac:dyDescent="0.25">
      <c r="C63245"/>
      <c r="M63245"/>
    </row>
    <row r="63246" spans="3:13" ht="12.75" customHeight="1" x14ac:dyDescent="0.25">
      <c r="C63246"/>
      <c r="M63246"/>
    </row>
    <row r="63247" spans="3:13" ht="12.75" customHeight="1" x14ac:dyDescent="0.25">
      <c r="C63247"/>
      <c r="M63247"/>
    </row>
    <row r="63248" spans="3:13" ht="12.75" customHeight="1" x14ac:dyDescent="0.25">
      <c r="C63248"/>
      <c r="M63248"/>
    </row>
    <row r="63249" spans="3:13" ht="12.75" customHeight="1" x14ac:dyDescent="0.25">
      <c r="C63249"/>
      <c r="M63249"/>
    </row>
    <row r="63250" spans="3:13" ht="12.75" customHeight="1" x14ac:dyDescent="0.25">
      <c r="C63250"/>
      <c r="M63250"/>
    </row>
    <row r="63251" spans="3:13" ht="12.75" customHeight="1" x14ac:dyDescent="0.25">
      <c r="C63251"/>
      <c r="M63251"/>
    </row>
    <row r="63252" spans="3:13" ht="12.75" customHeight="1" x14ac:dyDescent="0.25">
      <c r="C63252"/>
      <c r="M63252"/>
    </row>
    <row r="63253" spans="3:13" ht="12.75" customHeight="1" x14ac:dyDescent="0.25">
      <c r="C63253"/>
      <c r="M63253"/>
    </row>
    <row r="63254" spans="3:13" ht="12.75" customHeight="1" x14ac:dyDescent="0.25">
      <c r="C63254"/>
      <c r="M63254"/>
    </row>
    <row r="63255" spans="3:13" ht="12.75" customHeight="1" x14ac:dyDescent="0.25">
      <c r="C63255"/>
      <c r="M63255"/>
    </row>
    <row r="63256" spans="3:13" ht="12.75" customHeight="1" x14ac:dyDescent="0.25">
      <c r="C63256"/>
      <c r="M63256"/>
    </row>
    <row r="63257" spans="3:13" ht="12.75" customHeight="1" x14ac:dyDescent="0.25">
      <c r="C63257"/>
      <c r="M63257"/>
    </row>
    <row r="63258" spans="3:13" ht="12.75" customHeight="1" x14ac:dyDescent="0.25">
      <c r="C63258"/>
      <c r="M63258"/>
    </row>
    <row r="63259" spans="3:13" ht="12.75" customHeight="1" x14ac:dyDescent="0.25">
      <c r="C63259"/>
      <c r="M63259"/>
    </row>
    <row r="63260" spans="3:13" ht="12.75" customHeight="1" x14ac:dyDescent="0.25">
      <c r="C63260"/>
      <c r="M63260"/>
    </row>
    <row r="63261" spans="3:13" ht="12.75" customHeight="1" x14ac:dyDescent="0.25">
      <c r="C63261"/>
      <c r="M63261"/>
    </row>
    <row r="63262" spans="3:13" ht="12.75" customHeight="1" x14ac:dyDescent="0.25">
      <c r="C63262"/>
      <c r="M63262"/>
    </row>
    <row r="63263" spans="3:13" ht="12.75" customHeight="1" x14ac:dyDescent="0.25">
      <c r="C63263"/>
      <c r="M63263"/>
    </row>
    <row r="63264" spans="3:13" ht="12.75" customHeight="1" x14ac:dyDescent="0.25">
      <c r="C63264"/>
      <c r="M63264"/>
    </row>
    <row r="63265" spans="3:13" ht="12.75" customHeight="1" x14ac:dyDescent="0.25">
      <c r="C63265"/>
      <c r="M63265"/>
    </row>
    <row r="63266" spans="3:13" ht="12.75" customHeight="1" x14ac:dyDescent="0.25">
      <c r="C63266"/>
      <c r="M63266"/>
    </row>
    <row r="63267" spans="3:13" ht="12.75" customHeight="1" x14ac:dyDescent="0.25">
      <c r="C63267"/>
      <c r="M63267"/>
    </row>
    <row r="63268" spans="3:13" ht="12.75" customHeight="1" x14ac:dyDescent="0.25">
      <c r="C63268"/>
      <c r="M63268"/>
    </row>
    <row r="63269" spans="3:13" ht="12.75" customHeight="1" x14ac:dyDescent="0.25">
      <c r="C63269"/>
      <c r="M63269"/>
    </row>
    <row r="63270" spans="3:13" ht="12.75" customHeight="1" x14ac:dyDescent="0.25">
      <c r="C63270"/>
      <c r="M63270"/>
    </row>
    <row r="63271" spans="3:13" ht="12.75" customHeight="1" x14ac:dyDescent="0.25">
      <c r="C63271"/>
      <c r="M63271"/>
    </row>
    <row r="63272" spans="3:13" ht="12.75" customHeight="1" x14ac:dyDescent="0.25">
      <c r="C63272"/>
      <c r="M63272"/>
    </row>
    <row r="63273" spans="3:13" ht="12.75" customHeight="1" x14ac:dyDescent="0.25">
      <c r="C63273"/>
      <c r="M63273"/>
    </row>
    <row r="63274" spans="3:13" ht="12.75" customHeight="1" x14ac:dyDescent="0.25">
      <c r="C63274"/>
      <c r="M63274"/>
    </row>
    <row r="63275" spans="3:13" ht="12.75" customHeight="1" x14ac:dyDescent="0.25">
      <c r="C63275"/>
      <c r="M63275"/>
    </row>
    <row r="63276" spans="3:13" ht="12.75" customHeight="1" x14ac:dyDescent="0.25">
      <c r="C63276"/>
      <c r="M63276"/>
    </row>
    <row r="63277" spans="3:13" ht="12.75" customHeight="1" x14ac:dyDescent="0.25">
      <c r="C63277"/>
      <c r="M63277"/>
    </row>
    <row r="63278" spans="3:13" ht="12.75" customHeight="1" x14ac:dyDescent="0.25">
      <c r="C63278"/>
      <c r="M63278"/>
    </row>
    <row r="63279" spans="3:13" ht="12.75" customHeight="1" x14ac:dyDescent="0.25">
      <c r="C63279"/>
      <c r="M63279"/>
    </row>
    <row r="63280" spans="3:13" ht="12.75" customHeight="1" x14ac:dyDescent="0.25">
      <c r="C63280"/>
      <c r="M63280"/>
    </row>
    <row r="63281" spans="3:13" ht="12.75" customHeight="1" x14ac:dyDescent="0.25">
      <c r="C63281"/>
      <c r="M63281"/>
    </row>
    <row r="63282" spans="3:13" ht="12.75" customHeight="1" x14ac:dyDescent="0.25">
      <c r="C63282"/>
      <c r="M63282"/>
    </row>
    <row r="63283" spans="3:13" ht="12.75" customHeight="1" x14ac:dyDescent="0.25">
      <c r="C63283"/>
      <c r="M63283"/>
    </row>
    <row r="63284" spans="3:13" ht="12.75" customHeight="1" x14ac:dyDescent="0.25">
      <c r="C63284"/>
      <c r="M63284"/>
    </row>
    <row r="63285" spans="3:13" ht="12.75" customHeight="1" x14ac:dyDescent="0.25">
      <c r="C63285"/>
      <c r="M63285"/>
    </row>
    <row r="63286" spans="3:13" ht="12.75" customHeight="1" x14ac:dyDescent="0.25">
      <c r="C63286"/>
      <c r="M63286"/>
    </row>
    <row r="63287" spans="3:13" ht="12.75" customHeight="1" x14ac:dyDescent="0.25">
      <c r="C63287"/>
      <c r="M63287"/>
    </row>
    <row r="63288" spans="3:13" ht="12.75" customHeight="1" x14ac:dyDescent="0.25">
      <c r="C63288"/>
      <c r="M63288"/>
    </row>
    <row r="63289" spans="3:13" ht="12.75" customHeight="1" x14ac:dyDescent="0.25">
      <c r="C63289"/>
      <c r="M63289"/>
    </row>
    <row r="63290" spans="3:13" ht="12.75" customHeight="1" x14ac:dyDescent="0.25">
      <c r="C63290"/>
      <c r="M63290"/>
    </row>
    <row r="63291" spans="3:13" ht="12.75" customHeight="1" x14ac:dyDescent="0.25">
      <c r="C63291"/>
      <c r="M63291"/>
    </row>
    <row r="63292" spans="3:13" ht="12.75" customHeight="1" x14ac:dyDescent="0.25">
      <c r="C63292"/>
      <c r="M63292"/>
    </row>
    <row r="63293" spans="3:13" ht="12.75" customHeight="1" x14ac:dyDescent="0.25">
      <c r="C63293"/>
      <c r="M63293"/>
    </row>
    <row r="63294" spans="3:13" ht="12.75" customHeight="1" x14ac:dyDescent="0.25">
      <c r="C63294"/>
      <c r="M63294"/>
    </row>
    <row r="63295" spans="3:13" ht="12.75" customHeight="1" x14ac:dyDescent="0.25">
      <c r="C63295"/>
      <c r="M63295"/>
    </row>
    <row r="63296" spans="3:13" ht="12.75" customHeight="1" x14ac:dyDescent="0.25">
      <c r="C63296"/>
      <c r="M63296"/>
    </row>
    <row r="63297" spans="3:13" ht="12.75" customHeight="1" x14ac:dyDescent="0.25">
      <c r="C63297"/>
      <c r="M63297"/>
    </row>
    <row r="63298" spans="3:13" ht="12.75" customHeight="1" x14ac:dyDescent="0.25">
      <c r="C63298"/>
      <c r="M63298"/>
    </row>
    <row r="63299" spans="3:13" ht="12.75" customHeight="1" x14ac:dyDescent="0.25">
      <c r="C63299"/>
      <c r="M63299"/>
    </row>
    <row r="63300" spans="3:13" ht="12.75" customHeight="1" x14ac:dyDescent="0.25">
      <c r="C63300"/>
      <c r="M63300"/>
    </row>
    <row r="63301" spans="3:13" ht="12.75" customHeight="1" x14ac:dyDescent="0.25">
      <c r="C63301"/>
      <c r="M63301"/>
    </row>
    <row r="63302" spans="3:13" ht="12.75" customHeight="1" x14ac:dyDescent="0.25">
      <c r="C63302"/>
      <c r="M63302"/>
    </row>
    <row r="63303" spans="3:13" ht="12.75" customHeight="1" x14ac:dyDescent="0.25">
      <c r="C63303"/>
      <c r="M63303"/>
    </row>
    <row r="63304" spans="3:13" ht="12.75" customHeight="1" x14ac:dyDescent="0.25">
      <c r="C63304"/>
      <c r="M63304"/>
    </row>
    <row r="63305" spans="3:13" ht="12.75" customHeight="1" x14ac:dyDescent="0.25">
      <c r="C63305"/>
      <c r="M63305"/>
    </row>
    <row r="63306" spans="3:13" ht="12.75" customHeight="1" x14ac:dyDescent="0.25">
      <c r="C63306"/>
      <c r="M63306"/>
    </row>
    <row r="63307" spans="3:13" ht="12.75" customHeight="1" x14ac:dyDescent="0.25">
      <c r="C63307"/>
      <c r="M63307"/>
    </row>
    <row r="63308" spans="3:13" ht="12.75" customHeight="1" x14ac:dyDescent="0.25">
      <c r="C63308"/>
      <c r="M63308"/>
    </row>
    <row r="63309" spans="3:13" ht="12.75" customHeight="1" x14ac:dyDescent="0.25">
      <c r="C63309"/>
      <c r="M63309"/>
    </row>
    <row r="63310" spans="3:13" ht="12.75" customHeight="1" x14ac:dyDescent="0.25">
      <c r="C63310"/>
      <c r="M63310"/>
    </row>
    <row r="63311" spans="3:13" ht="12.75" customHeight="1" x14ac:dyDescent="0.25">
      <c r="C63311"/>
      <c r="M63311"/>
    </row>
    <row r="63312" spans="3:13" ht="12.75" customHeight="1" x14ac:dyDescent="0.25">
      <c r="C63312"/>
      <c r="M63312"/>
    </row>
    <row r="63313" spans="3:13" ht="12.75" customHeight="1" x14ac:dyDescent="0.25">
      <c r="C63313"/>
      <c r="M63313"/>
    </row>
    <row r="63314" spans="3:13" ht="12.75" customHeight="1" x14ac:dyDescent="0.25">
      <c r="C63314"/>
      <c r="M63314"/>
    </row>
    <row r="63315" spans="3:13" ht="12.75" customHeight="1" x14ac:dyDescent="0.25">
      <c r="C63315"/>
      <c r="M63315"/>
    </row>
    <row r="63316" spans="3:13" ht="12.75" customHeight="1" x14ac:dyDescent="0.25">
      <c r="C63316"/>
      <c r="M63316"/>
    </row>
    <row r="63317" spans="3:13" ht="12.75" customHeight="1" x14ac:dyDescent="0.25">
      <c r="C63317"/>
      <c r="M63317"/>
    </row>
    <row r="63318" spans="3:13" ht="12.75" customHeight="1" x14ac:dyDescent="0.25">
      <c r="C63318"/>
      <c r="M63318"/>
    </row>
    <row r="63319" spans="3:13" ht="12.75" customHeight="1" x14ac:dyDescent="0.25">
      <c r="C63319"/>
      <c r="M63319"/>
    </row>
    <row r="63320" spans="3:13" ht="12.75" customHeight="1" x14ac:dyDescent="0.25">
      <c r="C63320"/>
      <c r="M63320"/>
    </row>
    <row r="63321" spans="3:13" ht="12.75" customHeight="1" x14ac:dyDescent="0.25">
      <c r="C63321"/>
      <c r="M63321"/>
    </row>
    <row r="63322" spans="3:13" ht="12.75" customHeight="1" x14ac:dyDescent="0.25">
      <c r="C63322"/>
      <c r="M63322"/>
    </row>
    <row r="63323" spans="3:13" ht="12.75" customHeight="1" x14ac:dyDescent="0.25">
      <c r="C63323"/>
      <c r="M63323"/>
    </row>
    <row r="63324" spans="3:13" ht="12.75" customHeight="1" x14ac:dyDescent="0.25">
      <c r="C63324"/>
      <c r="M63324"/>
    </row>
    <row r="63325" spans="3:13" ht="12.75" customHeight="1" x14ac:dyDescent="0.25">
      <c r="C63325"/>
      <c r="M63325"/>
    </row>
    <row r="63326" spans="3:13" ht="12.75" customHeight="1" x14ac:dyDescent="0.25">
      <c r="C63326"/>
      <c r="M63326"/>
    </row>
    <row r="63327" spans="3:13" ht="12.75" customHeight="1" x14ac:dyDescent="0.25">
      <c r="C63327"/>
      <c r="M63327"/>
    </row>
    <row r="63328" spans="3:13" ht="12.75" customHeight="1" x14ac:dyDescent="0.25">
      <c r="C63328"/>
      <c r="M63328"/>
    </row>
    <row r="63329" spans="3:13" ht="12.75" customHeight="1" x14ac:dyDescent="0.25">
      <c r="C63329"/>
      <c r="M63329"/>
    </row>
    <row r="63330" spans="3:13" ht="12.75" customHeight="1" x14ac:dyDescent="0.25">
      <c r="C63330"/>
      <c r="M63330"/>
    </row>
    <row r="63331" spans="3:13" ht="12.75" customHeight="1" x14ac:dyDescent="0.25">
      <c r="C63331"/>
      <c r="M63331"/>
    </row>
    <row r="63332" spans="3:13" ht="12.75" customHeight="1" x14ac:dyDescent="0.25">
      <c r="C63332"/>
      <c r="M63332"/>
    </row>
    <row r="63333" spans="3:13" ht="12.75" customHeight="1" x14ac:dyDescent="0.25">
      <c r="C63333"/>
      <c r="M63333"/>
    </row>
    <row r="63334" spans="3:13" ht="12.75" customHeight="1" x14ac:dyDescent="0.25">
      <c r="C63334"/>
      <c r="M63334"/>
    </row>
    <row r="63335" spans="3:13" ht="12.75" customHeight="1" x14ac:dyDescent="0.25">
      <c r="C63335"/>
      <c r="M63335"/>
    </row>
    <row r="63336" spans="3:13" ht="12.75" customHeight="1" x14ac:dyDescent="0.25">
      <c r="C63336"/>
      <c r="M63336"/>
    </row>
    <row r="63337" spans="3:13" ht="12.75" customHeight="1" x14ac:dyDescent="0.25">
      <c r="C63337"/>
      <c r="M63337"/>
    </row>
    <row r="63338" spans="3:13" ht="12.75" customHeight="1" x14ac:dyDescent="0.25">
      <c r="C63338"/>
      <c r="M63338"/>
    </row>
    <row r="63339" spans="3:13" ht="12.75" customHeight="1" x14ac:dyDescent="0.25">
      <c r="C63339"/>
      <c r="M63339"/>
    </row>
    <row r="63340" spans="3:13" ht="12.75" customHeight="1" x14ac:dyDescent="0.25">
      <c r="C63340"/>
      <c r="M63340"/>
    </row>
    <row r="63341" spans="3:13" ht="12.75" customHeight="1" x14ac:dyDescent="0.25">
      <c r="C63341"/>
      <c r="M63341"/>
    </row>
    <row r="63342" spans="3:13" ht="12.75" customHeight="1" x14ac:dyDescent="0.25">
      <c r="C63342"/>
      <c r="M63342"/>
    </row>
    <row r="63343" spans="3:13" ht="12.75" customHeight="1" x14ac:dyDescent="0.25">
      <c r="C63343"/>
      <c r="M63343"/>
    </row>
    <row r="63344" spans="3:13" ht="12.75" customHeight="1" x14ac:dyDescent="0.25">
      <c r="C63344"/>
      <c r="M63344"/>
    </row>
    <row r="63345" spans="3:13" ht="12.75" customHeight="1" x14ac:dyDescent="0.25">
      <c r="C63345"/>
      <c r="M63345"/>
    </row>
    <row r="63346" spans="3:13" ht="12.75" customHeight="1" x14ac:dyDescent="0.25">
      <c r="C63346"/>
      <c r="M63346"/>
    </row>
    <row r="63347" spans="3:13" ht="12.75" customHeight="1" x14ac:dyDescent="0.25">
      <c r="C63347"/>
      <c r="M63347"/>
    </row>
    <row r="63348" spans="3:13" ht="12.75" customHeight="1" x14ac:dyDescent="0.25">
      <c r="C63348"/>
      <c r="M63348"/>
    </row>
    <row r="63349" spans="3:13" ht="12.75" customHeight="1" x14ac:dyDescent="0.25">
      <c r="C63349"/>
      <c r="M63349"/>
    </row>
    <row r="63350" spans="3:13" ht="12.75" customHeight="1" x14ac:dyDescent="0.25">
      <c r="C63350"/>
      <c r="M63350"/>
    </row>
    <row r="63351" spans="3:13" ht="12.75" customHeight="1" x14ac:dyDescent="0.25">
      <c r="C63351"/>
      <c r="M63351"/>
    </row>
    <row r="63352" spans="3:13" ht="12.75" customHeight="1" x14ac:dyDescent="0.25">
      <c r="C63352"/>
      <c r="M63352"/>
    </row>
    <row r="63353" spans="3:13" ht="12.75" customHeight="1" x14ac:dyDescent="0.25">
      <c r="C63353"/>
      <c r="M63353"/>
    </row>
    <row r="63354" spans="3:13" ht="12.75" customHeight="1" x14ac:dyDescent="0.25">
      <c r="C63354"/>
      <c r="M63354"/>
    </row>
    <row r="63355" spans="3:13" ht="12.75" customHeight="1" x14ac:dyDescent="0.25">
      <c r="C63355"/>
      <c r="M63355"/>
    </row>
    <row r="63356" spans="3:13" ht="12.75" customHeight="1" x14ac:dyDescent="0.25">
      <c r="C63356"/>
      <c r="M63356"/>
    </row>
    <row r="63357" spans="3:13" ht="12.75" customHeight="1" x14ac:dyDescent="0.25">
      <c r="C63357"/>
      <c r="M63357"/>
    </row>
    <row r="63358" spans="3:13" ht="12.75" customHeight="1" x14ac:dyDescent="0.25">
      <c r="C63358"/>
      <c r="M63358"/>
    </row>
    <row r="63359" spans="3:13" ht="12.75" customHeight="1" x14ac:dyDescent="0.25">
      <c r="C63359"/>
      <c r="M63359"/>
    </row>
    <row r="63360" spans="3:13" ht="12.75" customHeight="1" x14ac:dyDescent="0.25">
      <c r="C63360"/>
      <c r="M63360"/>
    </row>
    <row r="63361" spans="3:13" ht="12.75" customHeight="1" x14ac:dyDescent="0.25">
      <c r="C63361"/>
      <c r="M63361"/>
    </row>
    <row r="63362" spans="3:13" ht="12.75" customHeight="1" x14ac:dyDescent="0.25">
      <c r="C63362"/>
      <c r="M63362"/>
    </row>
    <row r="63363" spans="3:13" ht="12.75" customHeight="1" x14ac:dyDescent="0.25">
      <c r="C63363"/>
      <c r="M63363"/>
    </row>
    <row r="63364" spans="3:13" ht="12.75" customHeight="1" x14ac:dyDescent="0.25">
      <c r="C63364"/>
      <c r="M63364"/>
    </row>
    <row r="63365" spans="3:13" ht="12.75" customHeight="1" x14ac:dyDescent="0.25">
      <c r="C63365"/>
      <c r="M63365"/>
    </row>
    <row r="63366" spans="3:13" ht="12.75" customHeight="1" x14ac:dyDescent="0.25">
      <c r="C63366"/>
      <c r="M63366"/>
    </row>
    <row r="63367" spans="3:13" ht="12.75" customHeight="1" x14ac:dyDescent="0.25">
      <c r="C63367"/>
      <c r="M63367"/>
    </row>
    <row r="63368" spans="3:13" ht="12.75" customHeight="1" x14ac:dyDescent="0.25">
      <c r="C63368"/>
      <c r="M63368"/>
    </row>
    <row r="63369" spans="3:13" ht="12.75" customHeight="1" x14ac:dyDescent="0.25">
      <c r="C63369"/>
      <c r="M63369"/>
    </row>
    <row r="63370" spans="3:13" ht="12.75" customHeight="1" x14ac:dyDescent="0.25">
      <c r="C63370"/>
      <c r="M63370"/>
    </row>
    <row r="63371" spans="3:13" ht="12.75" customHeight="1" x14ac:dyDescent="0.25">
      <c r="C63371"/>
      <c r="M63371"/>
    </row>
    <row r="63372" spans="3:13" ht="12.75" customHeight="1" x14ac:dyDescent="0.25">
      <c r="C63372"/>
      <c r="M63372"/>
    </row>
    <row r="63373" spans="3:13" ht="12.75" customHeight="1" x14ac:dyDescent="0.25">
      <c r="C63373"/>
      <c r="M63373"/>
    </row>
    <row r="63374" spans="3:13" ht="12.75" customHeight="1" x14ac:dyDescent="0.25">
      <c r="C63374"/>
      <c r="M63374"/>
    </row>
    <row r="63375" spans="3:13" ht="12.75" customHeight="1" x14ac:dyDescent="0.25">
      <c r="C63375"/>
      <c r="M63375"/>
    </row>
    <row r="63376" spans="3:13" ht="12.75" customHeight="1" x14ac:dyDescent="0.25">
      <c r="C63376"/>
      <c r="M63376"/>
    </row>
    <row r="63377" spans="3:13" ht="12.75" customHeight="1" x14ac:dyDescent="0.25">
      <c r="C63377"/>
      <c r="M63377"/>
    </row>
    <row r="63378" spans="3:13" ht="12.75" customHeight="1" x14ac:dyDescent="0.25">
      <c r="C63378"/>
      <c r="M63378"/>
    </row>
    <row r="63379" spans="3:13" ht="12.75" customHeight="1" x14ac:dyDescent="0.25">
      <c r="C63379"/>
      <c r="M63379"/>
    </row>
    <row r="63380" spans="3:13" ht="12.75" customHeight="1" x14ac:dyDescent="0.25">
      <c r="C63380"/>
      <c r="M63380"/>
    </row>
    <row r="63381" spans="3:13" ht="12.75" customHeight="1" x14ac:dyDescent="0.25">
      <c r="C63381"/>
      <c r="M63381"/>
    </row>
    <row r="63382" spans="3:13" ht="12.75" customHeight="1" x14ac:dyDescent="0.25">
      <c r="C63382"/>
      <c r="M63382"/>
    </row>
    <row r="63383" spans="3:13" ht="12.75" customHeight="1" x14ac:dyDescent="0.25">
      <c r="C63383"/>
      <c r="M63383"/>
    </row>
    <row r="63384" spans="3:13" ht="12.75" customHeight="1" x14ac:dyDescent="0.25">
      <c r="C63384"/>
      <c r="M63384"/>
    </row>
    <row r="63385" spans="3:13" ht="12.75" customHeight="1" x14ac:dyDescent="0.25">
      <c r="C63385"/>
      <c r="M63385"/>
    </row>
    <row r="63386" spans="3:13" ht="12.75" customHeight="1" x14ac:dyDescent="0.25">
      <c r="C63386"/>
      <c r="M63386"/>
    </row>
    <row r="63387" spans="3:13" ht="12.75" customHeight="1" x14ac:dyDescent="0.25">
      <c r="C63387"/>
      <c r="M63387"/>
    </row>
    <row r="63388" spans="3:13" ht="12.75" customHeight="1" x14ac:dyDescent="0.25">
      <c r="C63388"/>
      <c r="M63388"/>
    </row>
    <row r="63389" spans="3:13" ht="12.75" customHeight="1" x14ac:dyDescent="0.25">
      <c r="C63389"/>
      <c r="M63389"/>
    </row>
    <row r="63390" spans="3:13" ht="12.75" customHeight="1" x14ac:dyDescent="0.25">
      <c r="C63390"/>
      <c r="M63390"/>
    </row>
    <row r="63391" spans="3:13" ht="12.75" customHeight="1" x14ac:dyDescent="0.25">
      <c r="C63391"/>
      <c r="M63391"/>
    </row>
    <row r="63392" spans="3:13" ht="12.75" customHeight="1" x14ac:dyDescent="0.25">
      <c r="C63392"/>
      <c r="M63392"/>
    </row>
    <row r="63393" spans="3:13" ht="12.75" customHeight="1" x14ac:dyDescent="0.25">
      <c r="C63393"/>
      <c r="M63393"/>
    </row>
    <row r="63394" spans="3:13" ht="12.75" customHeight="1" x14ac:dyDescent="0.25">
      <c r="C63394"/>
      <c r="M63394"/>
    </row>
    <row r="63395" spans="3:13" ht="12.75" customHeight="1" x14ac:dyDescent="0.25">
      <c r="C63395"/>
      <c r="M63395"/>
    </row>
    <row r="63396" spans="3:13" ht="12.75" customHeight="1" x14ac:dyDescent="0.25">
      <c r="C63396"/>
      <c r="M63396"/>
    </row>
    <row r="63397" spans="3:13" ht="12.75" customHeight="1" x14ac:dyDescent="0.25">
      <c r="C63397"/>
      <c r="M63397"/>
    </row>
    <row r="63398" spans="3:13" ht="12.75" customHeight="1" x14ac:dyDescent="0.25">
      <c r="C63398"/>
      <c r="M63398"/>
    </row>
    <row r="63399" spans="3:13" ht="12.75" customHeight="1" x14ac:dyDescent="0.25">
      <c r="C63399"/>
      <c r="M63399"/>
    </row>
    <row r="63400" spans="3:13" ht="12.75" customHeight="1" x14ac:dyDescent="0.25">
      <c r="C63400"/>
      <c r="M63400"/>
    </row>
    <row r="63401" spans="3:13" ht="12.75" customHeight="1" x14ac:dyDescent="0.25">
      <c r="C63401"/>
      <c r="M63401"/>
    </row>
    <row r="63402" spans="3:13" ht="12.75" customHeight="1" x14ac:dyDescent="0.25">
      <c r="C63402"/>
      <c r="M63402"/>
    </row>
    <row r="63403" spans="3:13" ht="12.75" customHeight="1" x14ac:dyDescent="0.25">
      <c r="C63403"/>
      <c r="M63403"/>
    </row>
    <row r="63404" spans="3:13" ht="12.75" customHeight="1" x14ac:dyDescent="0.25">
      <c r="C63404"/>
      <c r="M63404"/>
    </row>
    <row r="63405" spans="3:13" ht="12.75" customHeight="1" x14ac:dyDescent="0.25">
      <c r="C63405"/>
      <c r="M63405"/>
    </row>
    <row r="63406" spans="3:13" ht="12.75" customHeight="1" x14ac:dyDescent="0.25">
      <c r="C63406"/>
      <c r="M63406"/>
    </row>
    <row r="63407" spans="3:13" ht="12.75" customHeight="1" x14ac:dyDescent="0.25">
      <c r="C63407"/>
      <c r="M63407"/>
    </row>
    <row r="63408" spans="3:13" ht="12.75" customHeight="1" x14ac:dyDescent="0.25">
      <c r="C63408"/>
      <c r="M63408"/>
    </row>
    <row r="63409" spans="3:13" ht="12.75" customHeight="1" x14ac:dyDescent="0.25">
      <c r="C63409"/>
      <c r="M63409"/>
    </row>
    <row r="63410" spans="3:13" ht="12.75" customHeight="1" x14ac:dyDescent="0.25">
      <c r="C63410"/>
      <c r="M63410"/>
    </row>
    <row r="63411" spans="3:13" ht="12.75" customHeight="1" x14ac:dyDescent="0.25">
      <c r="C63411"/>
      <c r="M63411"/>
    </row>
    <row r="63412" spans="3:13" ht="12.75" customHeight="1" x14ac:dyDescent="0.25">
      <c r="C63412"/>
      <c r="M63412"/>
    </row>
    <row r="63413" spans="3:13" ht="12.75" customHeight="1" x14ac:dyDescent="0.25">
      <c r="C63413"/>
      <c r="M63413"/>
    </row>
    <row r="63414" spans="3:13" ht="12.75" customHeight="1" x14ac:dyDescent="0.25">
      <c r="C63414"/>
      <c r="M63414"/>
    </row>
    <row r="63415" spans="3:13" ht="12.75" customHeight="1" x14ac:dyDescent="0.25">
      <c r="C63415"/>
      <c r="M63415"/>
    </row>
    <row r="63416" spans="3:13" ht="12.75" customHeight="1" x14ac:dyDescent="0.25">
      <c r="C63416"/>
      <c r="M63416"/>
    </row>
    <row r="63417" spans="3:13" ht="12.75" customHeight="1" x14ac:dyDescent="0.25">
      <c r="C63417"/>
      <c r="M63417"/>
    </row>
    <row r="63418" spans="3:13" ht="12.75" customHeight="1" x14ac:dyDescent="0.25">
      <c r="C63418"/>
      <c r="M63418"/>
    </row>
    <row r="63419" spans="3:13" ht="12.75" customHeight="1" x14ac:dyDescent="0.25">
      <c r="C63419"/>
      <c r="M63419"/>
    </row>
    <row r="63420" spans="3:13" ht="12.75" customHeight="1" x14ac:dyDescent="0.25">
      <c r="C63420"/>
      <c r="M63420"/>
    </row>
    <row r="63421" spans="3:13" ht="12.75" customHeight="1" x14ac:dyDescent="0.25">
      <c r="C63421"/>
      <c r="M63421"/>
    </row>
    <row r="63422" spans="3:13" ht="12.75" customHeight="1" x14ac:dyDescent="0.25">
      <c r="C63422"/>
      <c r="M63422"/>
    </row>
    <row r="63423" spans="3:13" ht="12.75" customHeight="1" x14ac:dyDescent="0.25">
      <c r="C63423"/>
      <c r="M63423"/>
    </row>
    <row r="63424" spans="3:13" ht="12.75" customHeight="1" x14ac:dyDescent="0.25">
      <c r="C63424"/>
      <c r="M63424"/>
    </row>
    <row r="63425" spans="3:13" ht="12.75" customHeight="1" x14ac:dyDescent="0.25">
      <c r="C63425"/>
      <c r="M63425"/>
    </row>
    <row r="63426" spans="3:13" ht="12.75" customHeight="1" x14ac:dyDescent="0.25">
      <c r="C63426"/>
      <c r="M63426"/>
    </row>
    <row r="63427" spans="3:13" ht="12.75" customHeight="1" x14ac:dyDescent="0.25">
      <c r="C63427"/>
      <c r="M63427"/>
    </row>
    <row r="63428" spans="3:13" ht="12.75" customHeight="1" x14ac:dyDescent="0.25">
      <c r="C63428"/>
      <c r="M63428"/>
    </row>
    <row r="63429" spans="3:13" ht="12.75" customHeight="1" x14ac:dyDescent="0.25">
      <c r="C63429"/>
      <c r="M63429"/>
    </row>
    <row r="63430" spans="3:13" ht="12.75" customHeight="1" x14ac:dyDescent="0.25">
      <c r="C63430"/>
      <c r="M63430"/>
    </row>
    <row r="63431" spans="3:13" ht="12.75" customHeight="1" x14ac:dyDescent="0.25">
      <c r="C63431"/>
      <c r="M63431"/>
    </row>
    <row r="63432" spans="3:13" ht="12.75" customHeight="1" x14ac:dyDescent="0.25">
      <c r="C63432"/>
      <c r="M63432"/>
    </row>
    <row r="63433" spans="3:13" ht="12.75" customHeight="1" x14ac:dyDescent="0.25">
      <c r="C63433"/>
      <c r="M63433"/>
    </row>
    <row r="63434" spans="3:13" ht="12.75" customHeight="1" x14ac:dyDescent="0.25">
      <c r="C63434"/>
      <c r="M63434"/>
    </row>
    <row r="63435" spans="3:13" ht="12.75" customHeight="1" x14ac:dyDescent="0.25">
      <c r="C63435"/>
      <c r="M63435"/>
    </row>
    <row r="63436" spans="3:13" ht="12.75" customHeight="1" x14ac:dyDescent="0.25">
      <c r="C63436"/>
      <c r="M63436"/>
    </row>
    <row r="63437" spans="3:13" ht="12.75" customHeight="1" x14ac:dyDescent="0.25">
      <c r="C63437"/>
      <c r="M63437"/>
    </row>
    <row r="63438" spans="3:13" ht="12.75" customHeight="1" x14ac:dyDescent="0.25">
      <c r="C63438"/>
      <c r="M63438"/>
    </row>
    <row r="63439" spans="3:13" ht="12.75" customHeight="1" x14ac:dyDescent="0.25">
      <c r="C63439"/>
      <c r="M63439"/>
    </row>
    <row r="63440" spans="3:13" ht="12.75" customHeight="1" x14ac:dyDescent="0.25">
      <c r="C63440"/>
      <c r="M63440"/>
    </row>
    <row r="63441" spans="3:13" ht="12.75" customHeight="1" x14ac:dyDescent="0.25">
      <c r="C63441"/>
      <c r="M63441"/>
    </row>
    <row r="63442" spans="3:13" ht="12.75" customHeight="1" x14ac:dyDescent="0.25">
      <c r="C63442"/>
      <c r="M63442"/>
    </row>
    <row r="63443" spans="3:13" ht="12.75" customHeight="1" x14ac:dyDescent="0.25">
      <c r="C63443"/>
      <c r="M63443"/>
    </row>
    <row r="63444" spans="3:13" ht="12.75" customHeight="1" x14ac:dyDescent="0.25">
      <c r="C63444"/>
      <c r="M63444"/>
    </row>
    <row r="63445" spans="3:13" ht="12.75" customHeight="1" x14ac:dyDescent="0.25">
      <c r="C63445"/>
      <c r="M63445"/>
    </row>
    <row r="63446" spans="3:13" ht="12.75" customHeight="1" x14ac:dyDescent="0.25">
      <c r="C63446"/>
      <c r="M63446"/>
    </row>
    <row r="63447" spans="3:13" ht="12.75" customHeight="1" x14ac:dyDescent="0.25">
      <c r="C63447"/>
      <c r="M63447"/>
    </row>
    <row r="63448" spans="3:13" ht="12.75" customHeight="1" x14ac:dyDescent="0.25">
      <c r="C63448"/>
      <c r="M63448"/>
    </row>
    <row r="63449" spans="3:13" ht="12.75" customHeight="1" x14ac:dyDescent="0.25">
      <c r="C63449"/>
      <c r="M63449"/>
    </row>
    <row r="63450" spans="3:13" ht="12.75" customHeight="1" x14ac:dyDescent="0.25">
      <c r="C63450"/>
      <c r="M63450"/>
    </row>
    <row r="63451" spans="3:13" ht="12.75" customHeight="1" x14ac:dyDescent="0.25">
      <c r="C63451"/>
      <c r="M63451"/>
    </row>
    <row r="63452" spans="3:13" ht="12.75" customHeight="1" x14ac:dyDescent="0.25">
      <c r="C63452"/>
      <c r="M63452"/>
    </row>
    <row r="63453" spans="3:13" ht="12.75" customHeight="1" x14ac:dyDescent="0.25">
      <c r="C63453"/>
      <c r="M63453"/>
    </row>
    <row r="63454" spans="3:13" ht="12.75" customHeight="1" x14ac:dyDescent="0.25">
      <c r="C63454"/>
      <c r="M63454"/>
    </row>
    <row r="63455" spans="3:13" ht="12.75" customHeight="1" x14ac:dyDescent="0.25">
      <c r="C63455"/>
      <c r="M63455"/>
    </row>
    <row r="63456" spans="3:13" ht="12.75" customHeight="1" x14ac:dyDescent="0.25">
      <c r="C63456"/>
      <c r="M63456"/>
    </row>
    <row r="63457" spans="3:13" ht="12.75" customHeight="1" x14ac:dyDescent="0.25">
      <c r="C63457"/>
      <c r="M63457"/>
    </row>
    <row r="63458" spans="3:13" ht="12.75" customHeight="1" x14ac:dyDescent="0.25">
      <c r="C63458"/>
      <c r="M63458"/>
    </row>
    <row r="63459" spans="3:13" ht="12.75" customHeight="1" x14ac:dyDescent="0.25">
      <c r="C63459"/>
      <c r="M63459"/>
    </row>
    <row r="63460" spans="3:13" ht="12.75" customHeight="1" x14ac:dyDescent="0.25">
      <c r="C63460"/>
      <c r="M63460"/>
    </row>
    <row r="63461" spans="3:13" ht="12.75" customHeight="1" x14ac:dyDescent="0.25">
      <c r="C63461"/>
      <c r="M63461"/>
    </row>
    <row r="63462" spans="3:13" ht="12.75" customHeight="1" x14ac:dyDescent="0.25">
      <c r="C63462"/>
      <c r="M63462"/>
    </row>
    <row r="63463" spans="3:13" ht="12.75" customHeight="1" x14ac:dyDescent="0.25">
      <c r="C63463"/>
      <c r="M63463"/>
    </row>
    <row r="63464" spans="3:13" ht="12.75" customHeight="1" x14ac:dyDescent="0.25">
      <c r="C63464"/>
      <c r="M63464"/>
    </row>
    <row r="63465" spans="3:13" ht="12.75" customHeight="1" x14ac:dyDescent="0.25">
      <c r="C63465"/>
      <c r="M63465"/>
    </row>
    <row r="63466" spans="3:13" ht="12.75" customHeight="1" x14ac:dyDescent="0.25">
      <c r="C63466"/>
      <c r="M63466"/>
    </row>
    <row r="63467" spans="3:13" ht="12.75" customHeight="1" x14ac:dyDescent="0.25">
      <c r="C63467"/>
      <c r="M63467"/>
    </row>
    <row r="63468" spans="3:13" ht="12.75" customHeight="1" x14ac:dyDescent="0.25">
      <c r="C63468"/>
      <c r="M63468"/>
    </row>
    <row r="63469" spans="3:13" ht="12.75" customHeight="1" x14ac:dyDescent="0.25">
      <c r="C63469"/>
      <c r="M63469"/>
    </row>
    <row r="63470" spans="3:13" ht="12.75" customHeight="1" x14ac:dyDescent="0.25">
      <c r="C63470"/>
      <c r="M63470"/>
    </row>
    <row r="63471" spans="3:13" ht="12.75" customHeight="1" x14ac:dyDescent="0.25">
      <c r="C63471"/>
      <c r="M63471"/>
    </row>
    <row r="63472" spans="3:13" ht="12.75" customHeight="1" x14ac:dyDescent="0.25">
      <c r="C63472"/>
      <c r="M63472"/>
    </row>
    <row r="63473" spans="3:13" ht="12.75" customHeight="1" x14ac:dyDescent="0.25">
      <c r="C63473"/>
      <c r="M63473"/>
    </row>
    <row r="63474" spans="3:13" ht="12.75" customHeight="1" x14ac:dyDescent="0.25">
      <c r="C63474"/>
      <c r="M63474"/>
    </row>
    <row r="63475" spans="3:13" ht="12.75" customHeight="1" x14ac:dyDescent="0.25">
      <c r="C63475"/>
      <c r="M63475"/>
    </row>
    <row r="63476" spans="3:13" ht="12.75" customHeight="1" x14ac:dyDescent="0.25">
      <c r="C63476"/>
      <c r="M63476"/>
    </row>
    <row r="63477" spans="3:13" ht="12.75" customHeight="1" x14ac:dyDescent="0.25">
      <c r="C63477"/>
      <c r="M63477"/>
    </row>
    <row r="63478" spans="3:13" ht="12.75" customHeight="1" x14ac:dyDescent="0.25">
      <c r="C63478"/>
      <c r="M63478"/>
    </row>
    <row r="63479" spans="3:13" ht="12.75" customHeight="1" x14ac:dyDescent="0.25">
      <c r="C63479"/>
      <c r="M63479"/>
    </row>
    <row r="63480" spans="3:13" ht="12.75" customHeight="1" x14ac:dyDescent="0.25">
      <c r="C63480"/>
      <c r="M63480"/>
    </row>
    <row r="63481" spans="3:13" ht="12.75" customHeight="1" x14ac:dyDescent="0.25">
      <c r="C63481"/>
      <c r="M63481"/>
    </row>
    <row r="63482" spans="3:13" ht="12.75" customHeight="1" x14ac:dyDescent="0.25">
      <c r="C63482"/>
      <c r="M63482"/>
    </row>
    <row r="63483" spans="3:13" ht="12.75" customHeight="1" x14ac:dyDescent="0.25">
      <c r="C63483"/>
      <c r="M63483"/>
    </row>
    <row r="63484" spans="3:13" ht="12.75" customHeight="1" x14ac:dyDescent="0.25">
      <c r="C63484"/>
      <c r="M63484"/>
    </row>
    <row r="63485" spans="3:13" ht="12.75" customHeight="1" x14ac:dyDescent="0.25">
      <c r="C63485"/>
      <c r="M63485"/>
    </row>
    <row r="63486" spans="3:13" ht="12.75" customHeight="1" x14ac:dyDescent="0.25">
      <c r="C63486"/>
      <c r="M63486"/>
    </row>
    <row r="63487" spans="3:13" ht="12.75" customHeight="1" x14ac:dyDescent="0.25">
      <c r="C63487"/>
      <c r="M63487"/>
    </row>
    <row r="63488" spans="3:13" ht="12.75" customHeight="1" x14ac:dyDescent="0.25">
      <c r="C63488"/>
      <c r="M63488"/>
    </row>
    <row r="63489" spans="3:13" ht="12.75" customHeight="1" x14ac:dyDescent="0.25">
      <c r="C63489"/>
      <c r="M63489"/>
    </row>
    <row r="63490" spans="3:13" ht="12.75" customHeight="1" x14ac:dyDescent="0.25">
      <c r="C63490"/>
      <c r="M63490"/>
    </row>
    <row r="63491" spans="3:13" ht="12.75" customHeight="1" x14ac:dyDescent="0.25">
      <c r="C63491"/>
      <c r="M63491"/>
    </row>
    <row r="63492" spans="3:13" ht="12.75" customHeight="1" x14ac:dyDescent="0.25">
      <c r="C63492"/>
      <c r="M63492"/>
    </row>
    <row r="63493" spans="3:13" ht="12.75" customHeight="1" x14ac:dyDescent="0.25">
      <c r="C63493"/>
      <c r="M63493"/>
    </row>
    <row r="63494" spans="3:13" ht="12.75" customHeight="1" x14ac:dyDescent="0.25">
      <c r="C63494"/>
      <c r="M63494"/>
    </row>
    <row r="63495" spans="3:13" ht="12.75" customHeight="1" x14ac:dyDescent="0.25">
      <c r="C63495"/>
      <c r="M63495"/>
    </row>
    <row r="63496" spans="3:13" ht="12.75" customHeight="1" x14ac:dyDescent="0.25">
      <c r="C63496"/>
      <c r="M63496"/>
    </row>
    <row r="63497" spans="3:13" ht="12.75" customHeight="1" x14ac:dyDescent="0.25">
      <c r="C63497"/>
      <c r="M63497"/>
    </row>
    <row r="63498" spans="3:13" ht="12.75" customHeight="1" x14ac:dyDescent="0.25">
      <c r="C63498"/>
      <c r="M63498"/>
    </row>
    <row r="63499" spans="3:13" ht="12.75" customHeight="1" x14ac:dyDescent="0.25">
      <c r="C63499"/>
      <c r="M63499"/>
    </row>
    <row r="63500" spans="3:13" ht="12.75" customHeight="1" x14ac:dyDescent="0.25">
      <c r="C63500"/>
      <c r="M63500"/>
    </row>
    <row r="63501" spans="3:13" ht="12.75" customHeight="1" x14ac:dyDescent="0.25">
      <c r="C63501"/>
      <c r="M63501"/>
    </row>
    <row r="63502" spans="3:13" ht="12.75" customHeight="1" x14ac:dyDescent="0.25">
      <c r="C63502"/>
      <c r="M63502"/>
    </row>
    <row r="63503" spans="3:13" ht="12.75" customHeight="1" x14ac:dyDescent="0.25">
      <c r="C63503"/>
      <c r="M63503"/>
    </row>
    <row r="63504" spans="3:13" ht="12.75" customHeight="1" x14ac:dyDescent="0.25">
      <c r="C63504"/>
      <c r="M63504"/>
    </row>
    <row r="63505" spans="3:13" ht="12.75" customHeight="1" x14ac:dyDescent="0.25">
      <c r="C63505"/>
      <c r="M63505"/>
    </row>
    <row r="63506" spans="3:13" ht="12.75" customHeight="1" x14ac:dyDescent="0.25">
      <c r="C63506"/>
      <c r="M63506"/>
    </row>
    <row r="63507" spans="3:13" ht="12.75" customHeight="1" x14ac:dyDescent="0.25">
      <c r="C63507"/>
      <c r="M63507"/>
    </row>
    <row r="63508" spans="3:13" ht="12.75" customHeight="1" x14ac:dyDescent="0.25">
      <c r="C63508"/>
      <c r="M63508"/>
    </row>
    <row r="63509" spans="3:13" ht="12.75" customHeight="1" x14ac:dyDescent="0.25">
      <c r="C63509"/>
      <c r="M63509"/>
    </row>
    <row r="63510" spans="3:13" ht="12.75" customHeight="1" x14ac:dyDescent="0.25">
      <c r="C63510"/>
      <c r="M63510"/>
    </row>
    <row r="63511" spans="3:13" ht="12.75" customHeight="1" x14ac:dyDescent="0.25">
      <c r="C63511"/>
      <c r="M63511"/>
    </row>
    <row r="63512" spans="3:13" ht="12.75" customHeight="1" x14ac:dyDescent="0.25">
      <c r="C63512"/>
      <c r="M63512"/>
    </row>
    <row r="63513" spans="3:13" ht="12.75" customHeight="1" x14ac:dyDescent="0.25">
      <c r="C63513"/>
      <c r="M63513"/>
    </row>
    <row r="63514" spans="3:13" ht="12.75" customHeight="1" x14ac:dyDescent="0.25">
      <c r="C63514"/>
      <c r="M63514"/>
    </row>
    <row r="63515" spans="3:13" ht="12.75" customHeight="1" x14ac:dyDescent="0.25">
      <c r="C63515"/>
      <c r="M63515"/>
    </row>
    <row r="63516" spans="3:13" ht="12.75" customHeight="1" x14ac:dyDescent="0.25">
      <c r="C63516"/>
      <c r="M63516"/>
    </row>
    <row r="63517" spans="3:13" ht="12.75" customHeight="1" x14ac:dyDescent="0.25">
      <c r="C63517"/>
      <c r="M63517"/>
    </row>
    <row r="63518" spans="3:13" ht="12.75" customHeight="1" x14ac:dyDescent="0.25">
      <c r="C63518"/>
      <c r="M63518"/>
    </row>
    <row r="63519" spans="3:13" ht="12.75" customHeight="1" x14ac:dyDescent="0.25">
      <c r="C63519"/>
      <c r="M63519"/>
    </row>
    <row r="63520" spans="3:13" ht="12.75" customHeight="1" x14ac:dyDescent="0.25">
      <c r="C63520"/>
      <c r="M63520"/>
    </row>
    <row r="63521" spans="3:13" ht="12.75" customHeight="1" x14ac:dyDescent="0.25">
      <c r="C63521"/>
      <c r="M63521"/>
    </row>
    <row r="63522" spans="3:13" ht="12.75" customHeight="1" x14ac:dyDescent="0.25">
      <c r="C63522"/>
      <c r="M63522"/>
    </row>
    <row r="63523" spans="3:13" ht="12.75" customHeight="1" x14ac:dyDescent="0.25">
      <c r="C63523"/>
      <c r="M63523"/>
    </row>
    <row r="63524" spans="3:13" ht="12.75" customHeight="1" x14ac:dyDescent="0.25">
      <c r="C63524"/>
      <c r="M63524"/>
    </row>
    <row r="63525" spans="3:13" ht="12.75" customHeight="1" x14ac:dyDescent="0.25">
      <c r="C63525"/>
      <c r="M63525"/>
    </row>
    <row r="63526" spans="3:13" ht="12.75" customHeight="1" x14ac:dyDescent="0.25">
      <c r="C63526"/>
      <c r="M63526"/>
    </row>
    <row r="63527" spans="3:13" ht="12.75" customHeight="1" x14ac:dyDescent="0.25">
      <c r="C63527"/>
      <c r="M63527"/>
    </row>
    <row r="63528" spans="3:13" ht="12.75" customHeight="1" x14ac:dyDescent="0.25">
      <c r="C63528"/>
      <c r="M63528"/>
    </row>
    <row r="63529" spans="3:13" ht="12.75" customHeight="1" x14ac:dyDescent="0.25">
      <c r="C63529"/>
      <c r="M63529"/>
    </row>
    <row r="63530" spans="3:13" ht="12.75" customHeight="1" x14ac:dyDescent="0.25">
      <c r="C63530"/>
      <c r="M63530"/>
    </row>
    <row r="63531" spans="3:13" ht="12.75" customHeight="1" x14ac:dyDescent="0.25">
      <c r="C63531"/>
      <c r="M63531"/>
    </row>
    <row r="63532" spans="3:13" ht="12.75" customHeight="1" x14ac:dyDescent="0.25">
      <c r="C63532"/>
      <c r="M63532"/>
    </row>
    <row r="63533" spans="3:13" ht="12.75" customHeight="1" x14ac:dyDescent="0.25">
      <c r="C63533"/>
      <c r="M63533"/>
    </row>
    <row r="63534" spans="3:13" ht="12.75" customHeight="1" x14ac:dyDescent="0.25">
      <c r="C63534"/>
      <c r="M63534"/>
    </row>
    <row r="63535" spans="3:13" ht="12.75" customHeight="1" x14ac:dyDescent="0.25">
      <c r="C63535"/>
      <c r="M63535"/>
    </row>
    <row r="63536" spans="3:13" ht="12.75" customHeight="1" x14ac:dyDescent="0.25">
      <c r="C63536"/>
      <c r="M63536"/>
    </row>
    <row r="63537" spans="3:13" ht="12.75" customHeight="1" x14ac:dyDescent="0.25">
      <c r="C63537"/>
      <c r="M63537"/>
    </row>
    <row r="63538" spans="3:13" ht="12.75" customHeight="1" x14ac:dyDescent="0.25">
      <c r="C63538"/>
      <c r="M63538"/>
    </row>
    <row r="63539" spans="3:13" ht="12.75" customHeight="1" x14ac:dyDescent="0.25">
      <c r="C63539"/>
      <c r="M63539"/>
    </row>
    <row r="63540" spans="3:13" ht="12.75" customHeight="1" x14ac:dyDescent="0.25">
      <c r="C63540"/>
      <c r="M63540"/>
    </row>
    <row r="63541" spans="3:13" ht="12.75" customHeight="1" x14ac:dyDescent="0.25">
      <c r="C63541"/>
      <c r="M63541"/>
    </row>
    <row r="63542" spans="3:13" ht="12.75" customHeight="1" x14ac:dyDescent="0.25">
      <c r="C63542"/>
      <c r="M63542"/>
    </row>
    <row r="63543" spans="3:13" ht="12.75" customHeight="1" x14ac:dyDescent="0.25">
      <c r="C63543"/>
      <c r="M63543"/>
    </row>
    <row r="63544" spans="3:13" ht="12.75" customHeight="1" x14ac:dyDescent="0.25">
      <c r="C63544"/>
      <c r="M63544"/>
    </row>
    <row r="63545" spans="3:13" ht="12.75" customHeight="1" x14ac:dyDescent="0.25">
      <c r="C63545"/>
      <c r="M63545"/>
    </row>
    <row r="63546" spans="3:13" ht="12.75" customHeight="1" x14ac:dyDescent="0.25">
      <c r="C63546"/>
      <c r="M63546"/>
    </row>
    <row r="63547" spans="3:13" ht="12.75" customHeight="1" x14ac:dyDescent="0.25">
      <c r="C63547"/>
      <c r="M63547"/>
    </row>
    <row r="63548" spans="3:13" ht="12.75" customHeight="1" x14ac:dyDescent="0.25">
      <c r="C63548"/>
      <c r="M63548"/>
    </row>
    <row r="63549" spans="3:13" ht="12.75" customHeight="1" x14ac:dyDescent="0.25">
      <c r="C63549"/>
      <c r="M63549"/>
    </row>
    <row r="63550" spans="3:13" ht="12.75" customHeight="1" x14ac:dyDescent="0.25">
      <c r="C63550"/>
      <c r="M63550"/>
    </row>
    <row r="63551" spans="3:13" ht="12.75" customHeight="1" x14ac:dyDescent="0.25">
      <c r="C63551"/>
      <c r="M63551"/>
    </row>
    <row r="63552" spans="3:13" ht="12.75" customHeight="1" x14ac:dyDescent="0.25">
      <c r="C63552"/>
      <c r="M63552"/>
    </row>
    <row r="63553" spans="3:13" ht="12.75" customHeight="1" x14ac:dyDescent="0.25">
      <c r="C63553"/>
      <c r="M63553"/>
    </row>
    <row r="63554" spans="3:13" ht="12.75" customHeight="1" x14ac:dyDescent="0.25">
      <c r="C63554"/>
      <c r="M63554"/>
    </row>
    <row r="63555" spans="3:13" ht="12.75" customHeight="1" x14ac:dyDescent="0.25">
      <c r="C63555"/>
      <c r="M63555"/>
    </row>
    <row r="63556" spans="3:13" ht="12.75" customHeight="1" x14ac:dyDescent="0.25">
      <c r="C63556"/>
      <c r="M63556"/>
    </row>
    <row r="63557" spans="3:13" ht="12.75" customHeight="1" x14ac:dyDescent="0.25">
      <c r="C63557"/>
      <c r="M63557"/>
    </row>
    <row r="63558" spans="3:13" ht="12.75" customHeight="1" x14ac:dyDescent="0.25">
      <c r="C63558"/>
      <c r="M63558"/>
    </row>
    <row r="63559" spans="3:13" ht="12.75" customHeight="1" x14ac:dyDescent="0.25">
      <c r="C63559"/>
      <c r="M63559"/>
    </row>
    <row r="63560" spans="3:13" ht="12.75" customHeight="1" x14ac:dyDescent="0.25">
      <c r="C63560"/>
      <c r="M63560"/>
    </row>
    <row r="63561" spans="3:13" ht="12.75" customHeight="1" x14ac:dyDescent="0.25">
      <c r="C63561"/>
      <c r="M63561"/>
    </row>
    <row r="63562" spans="3:13" ht="12.75" customHeight="1" x14ac:dyDescent="0.25">
      <c r="C63562"/>
      <c r="M63562"/>
    </row>
    <row r="63563" spans="3:13" ht="12.75" customHeight="1" x14ac:dyDescent="0.25">
      <c r="C63563"/>
      <c r="M63563"/>
    </row>
    <row r="63564" spans="3:13" ht="12.75" customHeight="1" x14ac:dyDescent="0.25">
      <c r="C63564"/>
      <c r="M63564"/>
    </row>
    <row r="63565" spans="3:13" ht="12.75" customHeight="1" x14ac:dyDescent="0.25">
      <c r="C63565"/>
      <c r="M63565"/>
    </row>
    <row r="63566" spans="3:13" ht="12.75" customHeight="1" x14ac:dyDescent="0.25">
      <c r="C63566"/>
      <c r="M63566"/>
    </row>
    <row r="63567" spans="3:13" ht="12.75" customHeight="1" x14ac:dyDescent="0.25">
      <c r="C63567"/>
      <c r="M63567"/>
    </row>
    <row r="63568" spans="3:13" ht="12.75" customHeight="1" x14ac:dyDescent="0.25">
      <c r="C63568"/>
      <c r="M63568"/>
    </row>
    <row r="63569" spans="3:13" ht="12.75" customHeight="1" x14ac:dyDescent="0.25">
      <c r="C63569"/>
      <c r="M63569"/>
    </row>
    <row r="63570" spans="3:13" ht="12.75" customHeight="1" x14ac:dyDescent="0.25">
      <c r="C63570"/>
      <c r="M63570"/>
    </row>
    <row r="63571" spans="3:13" ht="12.75" customHeight="1" x14ac:dyDescent="0.25">
      <c r="C63571"/>
      <c r="M63571"/>
    </row>
    <row r="63572" spans="3:13" ht="12.75" customHeight="1" x14ac:dyDescent="0.25">
      <c r="C63572"/>
      <c r="M63572"/>
    </row>
    <row r="63573" spans="3:13" ht="12.75" customHeight="1" x14ac:dyDescent="0.25">
      <c r="C63573"/>
      <c r="M63573"/>
    </row>
    <row r="63574" spans="3:13" ht="12.75" customHeight="1" x14ac:dyDescent="0.25">
      <c r="C63574"/>
      <c r="M63574"/>
    </row>
    <row r="63575" spans="3:13" ht="12.75" customHeight="1" x14ac:dyDescent="0.25">
      <c r="C63575"/>
      <c r="M63575"/>
    </row>
    <row r="63576" spans="3:13" ht="12.75" customHeight="1" x14ac:dyDescent="0.25">
      <c r="C63576"/>
      <c r="M63576"/>
    </row>
    <row r="63577" spans="3:13" ht="12.75" customHeight="1" x14ac:dyDescent="0.25">
      <c r="C63577"/>
      <c r="M63577"/>
    </row>
    <row r="63578" spans="3:13" ht="12.75" customHeight="1" x14ac:dyDescent="0.25">
      <c r="C63578"/>
      <c r="M63578"/>
    </row>
    <row r="63579" spans="3:13" ht="12.75" customHeight="1" x14ac:dyDescent="0.25">
      <c r="C63579"/>
      <c r="M63579"/>
    </row>
    <row r="63580" spans="3:13" ht="12.75" customHeight="1" x14ac:dyDescent="0.25">
      <c r="C63580"/>
      <c r="M63580"/>
    </row>
    <row r="63581" spans="3:13" ht="12.75" customHeight="1" x14ac:dyDescent="0.25">
      <c r="C63581"/>
      <c r="M63581"/>
    </row>
    <row r="63582" spans="3:13" ht="12.75" customHeight="1" x14ac:dyDescent="0.25">
      <c r="C63582"/>
      <c r="M63582"/>
    </row>
    <row r="63583" spans="3:13" ht="12.75" customHeight="1" x14ac:dyDescent="0.25">
      <c r="C63583"/>
      <c r="M63583"/>
    </row>
    <row r="63584" spans="3:13" ht="12.75" customHeight="1" x14ac:dyDescent="0.25">
      <c r="C63584"/>
      <c r="M63584"/>
    </row>
    <row r="63585" spans="3:13" ht="12.75" customHeight="1" x14ac:dyDescent="0.25">
      <c r="C63585"/>
      <c r="M63585"/>
    </row>
    <row r="63586" spans="3:13" ht="12.75" customHeight="1" x14ac:dyDescent="0.25">
      <c r="C63586"/>
      <c r="M63586"/>
    </row>
    <row r="63587" spans="3:13" ht="12.75" customHeight="1" x14ac:dyDescent="0.25">
      <c r="C63587"/>
      <c r="M63587"/>
    </row>
    <row r="63588" spans="3:13" ht="12.75" customHeight="1" x14ac:dyDescent="0.25">
      <c r="C63588"/>
      <c r="M63588"/>
    </row>
    <row r="63589" spans="3:13" ht="12.75" customHeight="1" x14ac:dyDescent="0.25">
      <c r="C63589"/>
      <c r="M63589"/>
    </row>
    <row r="63590" spans="3:13" ht="12.75" customHeight="1" x14ac:dyDescent="0.25">
      <c r="C63590"/>
      <c r="M63590"/>
    </row>
    <row r="63591" spans="3:13" ht="12.75" customHeight="1" x14ac:dyDescent="0.25">
      <c r="C63591"/>
      <c r="M63591"/>
    </row>
    <row r="63592" spans="3:13" ht="12.75" customHeight="1" x14ac:dyDescent="0.25">
      <c r="C63592"/>
      <c r="M63592"/>
    </row>
    <row r="63593" spans="3:13" ht="12.75" customHeight="1" x14ac:dyDescent="0.25">
      <c r="C63593"/>
      <c r="M63593"/>
    </row>
    <row r="63594" spans="3:13" ht="12.75" customHeight="1" x14ac:dyDescent="0.25">
      <c r="C63594"/>
      <c r="M63594"/>
    </row>
    <row r="63595" spans="3:13" ht="12.75" customHeight="1" x14ac:dyDescent="0.25">
      <c r="C63595"/>
      <c r="M63595"/>
    </row>
    <row r="63596" spans="3:13" ht="12.75" customHeight="1" x14ac:dyDescent="0.25">
      <c r="C63596"/>
      <c r="M63596"/>
    </row>
    <row r="63597" spans="3:13" ht="12.75" customHeight="1" x14ac:dyDescent="0.25">
      <c r="C63597"/>
      <c r="M63597"/>
    </row>
    <row r="63598" spans="3:13" ht="12.75" customHeight="1" x14ac:dyDescent="0.25">
      <c r="C63598"/>
      <c r="M63598"/>
    </row>
    <row r="63599" spans="3:13" ht="12.75" customHeight="1" x14ac:dyDescent="0.25">
      <c r="C63599"/>
      <c r="M63599"/>
    </row>
    <row r="63600" spans="3:13" ht="12.75" customHeight="1" x14ac:dyDescent="0.25">
      <c r="C63600"/>
      <c r="M63600"/>
    </row>
    <row r="63601" spans="3:13" ht="12.75" customHeight="1" x14ac:dyDescent="0.25">
      <c r="C63601"/>
      <c r="M63601"/>
    </row>
    <row r="63602" spans="3:13" ht="12.75" customHeight="1" x14ac:dyDescent="0.25">
      <c r="C63602"/>
      <c r="M63602"/>
    </row>
    <row r="63603" spans="3:13" ht="12.75" customHeight="1" x14ac:dyDescent="0.25">
      <c r="C63603"/>
      <c r="M63603"/>
    </row>
    <row r="63604" spans="3:13" ht="12.75" customHeight="1" x14ac:dyDescent="0.25">
      <c r="C63604"/>
      <c r="M63604"/>
    </row>
    <row r="63605" spans="3:13" ht="12.75" customHeight="1" x14ac:dyDescent="0.25">
      <c r="C63605"/>
      <c r="M63605"/>
    </row>
    <row r="63606" spans="3:13" ht="12.75" customHeight="1" x14ac:dyDescent="0.25">
      <c r="C63606"/>
      <c r="M63606"/>
    </row>
    <row r="63607" spans="3:13" ht="12.75" customHeight="1" x14ac:dyDescent="0.25">
      <c r="C63607"/>
      <c r="M63607"/>
    </row>
    <row r="63608" spans="3:13" ht="12.75" customHeight="1" x14ac:dyDescent="0.25">
      <c r="C63608"/>
      <c r="M63608"/>
    </row>
    <row r="63609" spans="3:13" ht="12.75" customHeight="1" x14ac:dyDescent="0.25">
      <c r="C63609"/>
      <c r="M63609"/>
    </row>
    <row r="63610" spans="3:13" ht="12.75" customHeight="1" x14ac:dyDescent="0.25">
      <c r="C63610"/>
      <c r="M63610"/>
    </row>
    <row r="63611" spans="3:13" ht="12.75" customHeight="1" x14ac:dyDescent="0.25">
      <c r="C63611"/>
      <c r="M63611"/>
    </row>
    <row r="63612" spans="3:13" ht="12.75" customHeight="1" x14ac:dyDescent="0.25">
      <c r="C63612"/>
      <c r="M63612"/>
    </row>
    <row r="63613" spans="3:13" ht="12.75" customHeight="1" x14ac:dyDescent="0.25">
      <c r="C63613"/>
      <c r="M63613"/>
    </row>
    <row r="63614" spans="3:13" ht="12.75" customHeight="1" x14ac:dyDescent="0.25">
      <c r="C63614"/>
      <c r="M63614"/>
    </row>
    <row r="63615" spans="3:13" ht="12.75" customHeight="1" x14ac:dyDescent="0.25">
      <c r="C63615"/>
      <c r="M63615"/>
    </row>
    <row r="63616" spans="3:13" ht="12.75" customHeight="1" x14ac:dyDescent="0.25">
      <c r="C63616"/>
      <c r="M63616"/>
    </row>
    <row r="63617" spans="3:13" ht="12.75" customHeight="1" x14ac:dyDescent="0.25">
      <c r="C63617"/>
      <c r="M63617"/>
    </row>
    <row r="63618" spans="3:13" ht="12.75" customHeight="1" x14ac:dyDescent="0.25">
      <c r="C63618"/>
      <c r="M63618"/>
    </row>
    <row r="63619" spans="3:13" ht="12.75" customHeight="1" x14ac:dyDescent="0.25">
      <c r="C63619"/>
      <c r="M63619"/>
    </row>
    <row r="63620" spans="3:13" ht="12.75" customHeight="1" x14ac:dyDescent="0.25">
      <c r="C63620"/>
      <c r="M63620"/>
    </row>
    <row r="63621" spans="3:13" ht="12.75" customHeight="1" x14ac:dyDescent="0.25">
      <c r="C63621"/>
      <c r="M63621"/>
    </row>
    <row r="63622" spans="3:13" ht="12.75" customHeight="1" x14ac:dyDescent="0.25">
      <c r="C63622"/>
      <c r="M63622"/>
    </row>
    <row r="63623" spans="3:13" ht="12.75" customHeight="1" x14ac:dyDescent="0.25">
      <c r="C63623"/>
      <c r="M63623"/>
    </row>
    <row r="63624" spans="3:13" ht="12.75" customHeight="1" x14ac:dyDescent="0.25">
      <c r="C63624"/>
      <c r="M63624"/>
    </row>
    <row r="63625" spans="3:13" ht="12.75" customHeight="1" x14ac:dyDescent="0.25">
      <c r="C63625"/>
      <c r="M63625"/>
    </row>
    <row r="63626" spans="3:13" ht="12.75" customHeight="1" x14ac:dyDescent="0.25">
      <c r="C63626"/>
      <c r="M63626"/>
    </row>
    <row r="63627" spans="3:13" ht="12.75" customHeight="1" x14ac:dyDescent="0.25">
      <c r="C63627"/>
      <c r="M63627"/>
    </row>
    <row r="63628" spans="3:13" ht="12.75" customHeight="1" x14ac:dyDescent="0.25">
      <c r="C63628"/>
      <c r="M63628"/>
    </row>
    <row r="63629" spans="3:13" ht="12.75" customHeight="1" x14ac:dyDescent="0.25">
      <c r="C63629"/>
      <c r="M63629"/>
    </row>
    <row r="63630" spans="3:13" ht="12.75" customHeight="1" x14ac:dyDescent="0.25">
      <c r="C63630"/>
      <c r="M63630"/>
    </row>
    <row r="63631" spans="3:13" ht="12.75" customHeight="1" x14ac:dyDescent="0.25">
      <c r="C63631"/>
      <c r="M63631"/>
    </row>
    <row r="63632" spans="3:13" ht="12.75" customHeight="1" x14ac:dyDescent="0.25">
      <c r="C63632"/>
      <c r="M63632"/>
    </row>
    <row r="63633" spans="3:13" ht="12.75" customHeight="1" x14ac:dyDescent="0.25">
      <c r="C63633"/>
      <c r="M63633"/>
    </row>
    <row r="63634" spans="3:13" ht="12.75" customHeight="1" x14ac:dyDescent="0.25">
      <c r="C63634"/>
      <c r="M63634"/>
    </row>
    <row r="63635" spans="3:13" ht="12.75" customHeight="1" x14ac:dyDescent="0.25">
      <c r="C63635"/>
      <c r="M63635"/>
    </row>
    <row r="63636" spans="3:13" ht="12.75" customHeight="1" x14ac:dyDescent="0.25">
      <c r="C63636"/>
      <c r="M63636"/>
    </row>
    <row r="63637" spans="3:13" ht="12.75" customHeight="1" x14ac:dyDescent="0.25">
      <c r="C63637"/>
      <c r="M63637"/>
    </row>
    <row r="63638" spans="3:13" ht="12.75" customHeight="1" x14ac:dyDescent="0.25">
      <c r="C63638"/>
      <c r="M63638"/>
    </row>
    <row r="63639" spans="3:13" ht="12.75" customHeight="1" x14ac:dyDescent="0.25">
      <c r="C63639"/>
      <c r="M63639"/>
    </row>
    <row r="63640" spans="3:13" ht="12.75" customHeight="1" x14ac:dyDescent="0.25">
      <c r="C63640"/>
      <c r="M63640"/>
    </row>
    <row r="63641" spans="3:13" ht="12.75" customHeight="1" x14ac:dyDescent="0.25">
      <c r="C63641"/>
      <c r="M63641"/>
    </row>
    <row r="63642" spans="3:13" ht="12.75" customHeight="1" x14ac:dyDescent="0.25">
      <c r="C63642"/>
      <c r="M63642"/>
    </row>
    <row r="63643" spans="3:13" ht="12.75" customHeight="1" x14ac:dyDescent="0.25">
      <c r="C63643"/>
      <c r="M63643"/>
    </row>
    <row r="63644" spans="3:13" ht="12.75" customHeight="1" x14ac:dyDescent="0.25">
      <c r="C63644"/>
      <c r="M63644"/>
    </row>
    <row r="63645" spans="3:13" ht="12.75" customHeight="1" x14ac:dyDescent="0.25">
      <c r="C63645"/>
      <c r="M63645"/>
    </row>
    <row r="63646" spans="3:13" ht="12.75" customHeight="1" x14ac:dyDescent="0.25">
      <c r="C63646"/>
      <c r="M63646"/>
    </row>
    <row r="63647" spans="3:13" ht="12.75" customHeight="1" x14ac:dyDescent="0.25">
      <c r="C63647"/>
      <c r="M63647"/>
    </row>
    <row r="63648" spans="3:13" ht="12.75" customHeight="1" x14ac:dyDescent="0.25">
      <c r="C63648"/>
      <c r="M63648"/>
    </row>
    <row r="63649" spans="3:13" ht="12.75" customHeight="1" x14ac:dyDescent="0.25">
      <c r="C63649"/>
      <c r="M63649"/>
    </row>
    <row r="63650" spans="3:13" ht="12.75" customHeight="1" x14ac:dyDescent="0.25">
      <c r="C63650"/>
      <c r="M63650"/>
    </row>
    <row r="63651" spans="3:13" ht="12.75" customHeight="1" x14ac:dyDescent="0.25">
      <c r="C63651"/>
      <c r="M63651"/>
    </row>
    <row r="63652" spans="3:13" ht="12.75" customHeight="1" x14ac:dyDescent="0.25">
      <c r="C63652"/>
      <c r="M63652"/>
    </row>
    <row r="63653" spans="3:13" ht="12.75" customHeight="1" x14ac:dyDescent="0.25">
      <c r="C63653"/>
      <c r="M63653"/>
    </row>
    <row r="63654" spans="3:13" ht="12.75" customHeight="1" x14ac:dyDescent="0.25">
      <c r="C63654"/>
      <c r="M63654"/>
    </row>
    <row r="63655" spans="3:13" ht="12.75" customHeight="1" x14ac:dyDescent="0.25">
      <c r="C63655"/>
      <c r="M63655"/>
    </row>
    <row r="63656" spans="3:13" ht="12.75" customHeight="1" x14ac:dyDescent="0.25">
      <c r="C63656"/>
      <c r="M63656"/>
    </row>
    <row r="63657" spans="3:13" ht="12.75" customHeight="1" x14ac:dyDescent="0.25">
      <c r="C63657"/>
      <c r="M63657"/>
    </row>
    <row r="63658" spans="3:13" ht="12.75" customHeight="1" x14ac:dyDescent="0.25">
      <c r="C63658"/>
      <c r="M63658"/>
    </row>
    <row r="63659" spans="3:13" ht="12.75" customHeight="1" x14ac:dyDescent="0.25">
      <c r="C63659"/>
      <c r="M63659"/>
    </row>
    <row r="63660" spans="3:13" ht="12.75" customHeight="1" x14ac:dyDescent="0.25">
      <c r="C63660"/>
      <c r="M63660"/>
    </row>
    <row r="63661" spans="3:13" ht="12.75" customHeight="1" x14ac:dyDescent="0.25">
      <c r="C63661"/>
      <c r="M63661"/>
    </row>
    <row r="63662" spans="3:13" ht="12.75" customHeight="1" x14ac:dyDescent="0.25">
      <c r="C63662"/>
      <c r="M63662"/>
    </row>
    <row r="63663" spans="3:13" ht="12.75" customHeight="1" x14ac:dyDescent="0.25">
      <c r="C63663"/>
      <c r="M63663"/>
    </row>
    <row r="63664" spans="3:13" ht="12.75" customHeight="1" x14ac:dyDescent="0.25">
      <c r="C63664"/>
      <c r="M63664"/>
    </row>
    <row r="63665" spans="3:13" ht="12.75" customHeight="1" x14ac:dyDescent="0.25">
      <c r="C63665"/>
      <c r="M63665"/>
    </row>
    <row r="63666" spans="3:13" ht="12.75" customHeight="1" x14ac:dyDescent="0.25">
      <c r="C63666"/>
      <c r="M63666"/>
    </row>
    <row r="63667" spans="3:13" ht="12.75" customHeight="1" x14ac:dyDescent="0.25">
      <c r="C63667"/>
      <c r="M63667"/>
    </row>
    <row r="63668" spans="3:13" ht="12.75" customHeight="1" x14ac:dyDescent="0.25">
      <c r="C63668"/>
      <c r="M63668"/>
    </row>
    <row r="63669" spans="3:13" ht="12.75" customHeight="1" x14ac:dyDescent="0.25">
      <c r="C63669"/>
      <c r="M63669"/>
    </row>
    <row r="63670" spans="3:13" ht="12.75" customHeight="1" x14ac:dyDescent="0.25">
      <c r="C63670"/>
      <c r="M63670"/>
    </row>
    <row r="63671" spans="3:13" ht="12.75" customHeight="1" x14ac:dyDescent="0.25">
      <c r="C63671"/>
      <c r="M63671"/>
    </row>
    <row r="63672" spans="3:13" ht="12.75" customHeight="1" x14ac:dyDescent="0.25">
      <c r="C63672"/>
      <c r="M63672"/>
    </row>
    <row r="63673" spans="3:13" ht="12.75" customHeight="1" x14ac:dyDescent="0.25">
      <c r="C63673"/>
      <c r="M63673"/>
    </row>
    <row r="63674" spans="3:13" ht="12.75" customHeight="1" x14ac:dyDescent="0.25">
      <c r="C63674"/>
      <c r="M63674"/>
    </row>
    <row r="63675" spans="3:13" ht="12.75" customHeight="1" x14ac:dyDescent="0.25">
      <c r="C63675"/>
      <c r="M63675"/>
    </row>
    <row r="63676" spans="3:13" ht="12.75" customHeight="1" x14ac:dyDescent="0.25">
      <c r="C63676"/>
      <c r="M63676"/>
    </row>
    <row r="63677" spans="3:13" ht="12.75" customHeight="1" x14ac:dyDescent="0.25">
      <c r="C63677"/>
      <c r="M63677"/>
    </row>
    <row r="63678" spans="3:13" ht="12.75" customHeight="1" x14ac:dyDescent="0.25">
      <c r="C63678"/>
      <c r="M63678"/>
    </row>
    <row r="63679" spans="3:13" ht="12.75" customHeight="1" x14ac:dyDescent="0.25">
      <c r="C63679"/>
      <c r="M63679"/>
    </row>
    <row r="63680" spans="3:13" ht="12.75" customHeight="1" x14ac:dyDescent="0.25">
      <c r="C63680"/>
      <c r="M63680"/>
    </row>
    <row r="63681" spans="3:13" ht="12.75" customHeight="1" x14ac:dyDescent="0.25">
      <c r="C63681"/>
      <c r="M63681"/>
    </row>
    <row r="63682" spans="3:13" ht="12.75" customHeight="1" x14ac:dyDescent="0.25">
      <c r="C63682"/>
      <c r="M63682"/>
    </row>
    <row r="63683" spans="3:13" ht="12.75" customHeight="1" x14ac:dyDescent="0.25">
      <c r="C63683"/>
      <c r="M63683"/>
    </row>
    <row r="63684" spans="3:13" ht="12.75" customHeight="1" x14ac:dyDescent="0.25">
      <c r="C63684"/>
      <c r="M63684"/>
    </row>
    <row r="63685" spans="3:13" ht="12.75" customHeight="1" x14ac:dyDescent="0.25">
      <c r="C63685"/>
      <c r="M63685"/>
    </row>
    <row r="63686" spans="3:13" ht="12.75" customHeight="1" x14ac:dyDescent="0.25">
      <c r="C63686"/>
      <c r="M63686"/>
    </row>
    <row r="63687" spans="3:13" ht="12.75" customHeight="1" x14ac:dyDescent="0.25">
      <c r="C63687"/>
      <c r="M63687"/>
    </row>
    <row r="63688" spans="3:13" ht="12.75" customHeight="1" x14ac:dyDescent="0.25">
      <c r="C63688"/>
      <c r="M63688"/>
    </row>
    <row r="63689" spans="3:13" ht="12.75" customHeight="1" x14ac:dyDescent="0.25">
      <c r="C63689"/>
      <c r="M63689"/>
    </row>
    <row r="63690" spans="3:13" ht="12.75" customHeight="1" x14ac:dyDescent="0.25">
      <c r="C63690"/>
      <c r="M63690"/>
    </row>
    <row r="63691" spans="3:13" ht="12.75" customHeight="1" x14ac:dyDescent="0.25">
      <c r="C63691"/>
      <c r="M63691"/>
    </row>
    <row r="63692" spans="3:13" ht="12.75" customHeight="1" x14ac:dyDescent="0.25">
      <c r="C63692"/>
      <c r="M63692"/>
    </row>
    <row r="63693" spans="3:13" ht="12.75" customHeight="1" x14ac:dyDescent="0.25">
      <c r="C63693"/>
      <c r="M63693"/>
    </row>
    <row r="63694" spans="3:13" ht="12.75" customHeight="1" x14ac:dyDescent="0.25">
      <c r="C63694"/>
      <c r="M63694"/>
    </row>
    <row r="63695" spans="3:13" ht="12.75" customHeight="1" x14ac:dyDescent="0.25">
      <c r="C63695"/>
      <c r="M63695"/>
    </row>
    <row r="63696" spans="3:13" ht="12.75" customHeight="1" x14ac:dyDescent="0.25">
      <c r="C63696"/>
      <c r="M63696"/>
    </row>
    <row r="63697" spans="3:13" ht="12.75" customHeight="1" x14ac:dyDescent="0.25">
      <c r="C63697"/>
      <c r="M63697"/>
    </row>
    <row r="63698" spans="3:13" ht="12.75" customHeight="1" x14ac:dyDescent="0.25">
      <c r="C63698"/>
      <c r="M63698"/>
    </row>
    <row r="63699" spans="3:13" ht="12.75" customHeight="1" x14ac:dyDescent="0.25">
      <c r="C63699"/>
      <c r="M63699"/>
    </row>
    <row r="63700" spans="3:13" ht="12.75" customHeight="1" x14ac:dyDescent="0.25">
      <c r="C63700"/>
      <c r="M63700"/>
    </row>
    <row r="63701" spans="3:13" ht="12.75" customHeight="1" x14ac:dyDescent="0.25">
      <c r="C63701"/>
      <c r="M63701"/>
    </row>
    <row r="63702" spans="3:13" ht="12.75" customHeight="1" x14ac:dyDescent="0.25">
      <c r="C63702"/>
      <c r="M63702"/>
    </row>
    <row r="63703" spans="3:13" ht="12.75" customHeight="1" x14ac:dyDescent="0.25">
      <c r="C63703"/>
      <c r="M63703"/>
    </row>
    <row r="63704" spans="3:13" ht="12.75" customHeight="1" x14ac:dyDescent="0.25">
      <c r="C63704"/>
      <c r="M63704"/>
    </row>
    <row r="63705" spans="3:13" ht="12.75" customHeight="1" x14ac:dyDescent="0.25">
      <c r="C63705"/>
      <c r="M63705"/>
    </row>
    <row r="63706" spans="3:13" ht="12.75" customHeight="1" x14ac:dyDescent="0.25">
      <c r="C63706"/>
      <c r="M63706"/>
    </row>
    <row r="63707" spans="3:13" ht="12.75" customHeight="1" x14ac:dyDescent="0.25">
      <c r="C63707"/>
      <c r="M63707"/>
    </row>
    <row r="63708" spans="3:13" ht="12.75" customHeight="1" x14ac:dyDescent="0.25">
      <c r="C63708"/>
      <c r="M63708"/>
    </row>
    <row r="63709" spans="3:13" ht="12.75" customHeight="1" x14ac:dyDescent="0.25">
      <c r="C63709"/>
      <c r="M63709"/>
    </row>
    <row r="63710" spans="3:13" ht="12.75" customHeight="1" x14ac:dyDescent="0.25">
      <c r="C63710"/>
      <c r="M63710"/>
    </row>
    <row r="63711" spans="3:13" ht="12.75" customHeight="1" x14ac:dyDescent="0.25">
      <c r="C63711"/>
      <c r="M63711"/>
    </row>
    <row r="63712" spans="3:13" ht="12.75" customHeight="1" x14ac:dyDescent="0.25">
      <c r="C63712"/>
      <c r="M63712"/>
    </row>
    <row r="63713" spans="3:13" ht="12.75" customHeight="1" x14ac:dyDescent="0.25">
      <c r="C63713"/>
      <c r="M63713"/>
    </row>
    <row r="63714" spans="3:13" ht="12.75" customHeight="1" x14ac:dyDescent="0.25">
      <c r="C63714"/>
      <c r="M63714"/>
    </row>
    <row r="63715" spans="3:13" ht="12.75" customHeight="1" x14ac:dyDescent="0.25">
      <c r="C63715"/>
      <c r="M63715"/>
    </row>
    <row r="63716" spans="3:13" ht="12.75" customHeight="1" x14ac:dyDescent="0.25">
      <c r="C63716"/>
      <c r="M63716"/>
    </row>
    <row r="63717" spans="3:13" ht="12.75" customHeight="1" x14ac:dyDescent="0.25">
      <c r="C63717"/>
      <c r="M63717"/>
    </row>
    <row r="63718" spans="3:13" ht="12.75" customHeight="1" x14ac:dyDescent="0.25">
      <c r="C63718"/>
      <c r="M63718"/>
    </row>
    <row r="63719" spans="3:13" ht="12.75" customHeight="1" x14ac:dyDescent="0.25">
      <c r="C63719"/>
      <c r="M63719"/>
    </row>
    <row r="63720" spans="3:13" ht="12.75" customHeight="1" x14ac:dyDescent="0.25">
      <c r="C63720"/>
      <c r="M63720"/>
    </row>
    <row r="63721" spans="3:13" ht="12.75" customHeight="1" x14ac:dyDescent="0.25">
      <c r="C63721"/>
      <c r="M63721"/>
    </row>
    <row r="63722" spans="3:13" ht="12.75" customHeight="1" x14ac:dyDescent="0.25">
      <c r="C63722"/>
      <c r="M63722"/>
    </row>
    <row r="63723" spans="3:13" ht="12.75" customHeight="1" x14ac:dyDescent="0.25">
      <c r="C63723"/>
      <c r="M63723"/>
    </row>
    <row r="63724" spans="3:13" ht="12.75" customHeight="1" x14ac:dyDescent="0.25">
      <c r="C63724"/>
      <c r="M63724"/>
    </row>
    <row r="63725" spans="3:13" ht="12.75" customHeight="1" x14ac:dyDescent="0.25">
      <c r="C63725"/>
      <c r="M63725"/>
    </row>
    <row r="63726" spans="3:13" ht="12.75" customHeight="1" x14ac:dyDescent="0.25">
      <c r="C63726"/>
      <c r="M63726"/>
    </row>
    <row r="63727" spans="3:13" ht="12.75" customHeight="1" x14ac:dyDescent="0.25">
      <c r="C63727"/>
      <c r="M63727"/>
    </row>
    <row r="63728" spans="3:13" ht="12.75" customHeight="1" x14ac:dyDescent="0.25">
      <c r="C63728"/>
      <c r="M63728"/>
    </row>
    <row r="63729" spans="3:13" ht="12.75" customHeight="1" x14ac:dyDescent="0.25">
      <c r="C63729"/>
      <c r="M63729"/>
    </row>
    <row r="63730" spans="3:13" ht="12.75" customHeight="1" x14ac:dyDescent="0.25">
      <c r="C63730"/>
      <c r="M63730"/>
    </row>
    <row r="63731" spans="3:13" ht="12.75" customHeight="1" x14ac:dyDescent="0.25">
      <c r="C63731"/>
      <c r="M63731"/>
    </row>
    <row r="63732" spans="3:13" ht="12.75" customHeight="1" x14ac:dyDescent="0.25">
      <c r="C63732"/>
      <c r="M63732"/>
    </row>
    <row r="63733" spans="3:13" ht="12.75" customHeight="1" x14ac:dyDescent="0.25">
      <c r="C63733"/>
      <c r="M63733"/>
    </row>
    <row r="63734" spans="3:13" ht="12.75" customHeight="1" x14ac:dyDescent="0.25">
      <c r="C63734"/>
      <c r="M63734"/>
    </row>
    <row r="63735" spans="3:13" ht="12.75" customHeight="1" x14ac:dyDescent="0.25">
      <c r="C63735"/>
      <c r="M63735"/>
    </row>
    <row r="63736" spans="3:13" ht="12.75" customHeight="1" x14ac:dyDescent="0.25">
      <c r="C63736"/>
      <c r="M63736"/>
    </row>
    <row r="63737" spans="3:13" ht="12.75" customHeight="1" x14ac:dyDescent="0.25">
      <c r="C63737"/>
      <c r="M63737"/>
    </row>
    <row r="63738" spans="3:13" ht="12.75" customHeight="1" x14ac:dyDescent="0.25">
      <c r="C63738"/>
      <c r="M63738"/>
    </row>
    <row r="63739" spans="3:13" ht="12.75" customHeight="1" x14ac:dyDescent="0.25">
      <c r="C63739"/>
      <c r="M63739"/>
    </row>
    <row r="63740" spans="3:13" ht="12.75" customHeight="1" x14ac:dyDescent="0.25">
      <c r="C63740"/>
      <c r="M63740"/>
    </row>
    <row r="63741" spans="3:13" ht="12.75" customHeight="1" x14ac:dyDescent="0.25">
      <c r="C63741"/>
      <c r="M63741"/>
    </row>
    <row r="63742" spans="3:13" ht="12.75" customHeight="1" x14ac:dyDescent="0.25">
      <c r="C63742"/>
      <c r="M63742"/>
    </row>
    <row r="63743" spans="3:13" ht="12.75" customHeight="1" x14ac:dyDescent="0.25">
      <c r="C63743"/>
      <c r="M63743"/>
    </row>
    <row r="63744" spans="3:13" ht="12.75" customHeight="1" x14ac:dyDescent="0.25">
      <c r="C63744"/>
      <c r="M63744"/>
    </row>
    <row r="63745" spans="3:13" ht="12.75" customHeight="1" x14ac:dyDescent="0.25">
      <c r="C63745"/>
      <c r="M63745"/>
    </row>
    <row r="63746" spans="3:13" ht="12.75" customHeight="1" x14ac:dyDescent="0.25">
      <c r="C63746"/>
      <c r="M63746"/>
    </row>
    <row r="63747" spans="3:13" ht="12.75" customHeight="1" x14ac:dyDescent="0.25">
      <c r="C63747"/>
      <c r="M63747"/>
    </row>
    <row r="63748" spans="3:13" ht="12.75" customHeight="1" x14ac:dyDescent="0.25">
      <c r="C63748"/>
      <c r="M63748"/>
    </row>
    <row r="63749" spans="3:13" ht="12.75" customHeight="1" x14ac:dyDescent="0.25">
      <c r="C63749"/>
      <c r="M63749"/>
    </row>
    <row r="63750" spans="3:13" ht="12.75" customHeight="1" x14ac:dyDescent="0.25">
      <c r="C63750"/>
      <c r="M63750"/>
    </row>
    <row r="63751" spans="3:13" ht="12.75" customHeight="1" x14ac:dyDescent="0.25">
      <c r="C63751"/>
      <c r="M63751"/>
    </row>
    <row r="63752" spans="3:13" ht="12.75" customHeight="1" x14ac:dyDescent="0.25">
      <c r="C63752"/>
      <c r="M63752"/>
    </row>
    <row r="63753" spans="3:13" ht="12.75" customHeight="1" x14ac:dyDescent="0.25">
      <c r="C63753"/>
      <c r="M63753"/>
    </row>
    <row r="63754" spans="3:13" ht="12.75" customHeight="1" x14ac:dyDescent="0.25">
      <c r="C63754"/>
      <c r="M63754"/>
    </row>
    <row r="63755" spans="3:13" ht="12.75" customHeight="1" x14ac:dyDescent="0.25">
      <c r="C63755"/>
      <c r="M63755"/>
    </row>
    <row r="63756" spans="3:13" ht="12.75" customHeight="1" x14ac:dyDescent="0.25">
      <c r="C63756"/>
      <c r="M63756"/>
    </row>
    <row r="63757" spans="3:13" ht="12.75" customHeight="1" x14ac:dyDescent="0.25">
      <c r="C63757"/>
      <c r="M63757"/>
    </row>
    <row r="63758" spans="3:13" ht="12.75" customHeight="1" x14ac:dyDescent="0.25">
      <c r="C63758"/>
      <c r="M63758"/>
    </row>
    <row r="63759" spans="3:13" ht="12.75" customHeight="1" x14ac:dyDescent="0.25">
      <c r="C63759"/>
      <c r="M63759"/>
    </row>
    <row r="63760" spans="3:13" ht="12.75" customHeight="1" x14ac:dyDescent="0.25">
      <c r="C63760"/>
      <c r="M63760"/>
    </row>
    <row r="63761" spans="3:13" ht="12.75" customHeight="1" x14ac:dyDescent="0.25">
      <c r="C63761"/>
      <c r="M63761"/>
    </row>
    <row r="63762" spans="3:13" ht="12.75" customHeight="1" x14ac:dyDescent="0.25">
      <c r="C63762"/>
      <c r="M63762"/>
    </row>
    <row r="63763" spans="3:13" ht="12.75" customHeight="1" x14ac:dyDescent="0.25">
      <c r="C63763"/>
      <c r="M63763"/>
    </row>
    <row r="63764" spans="3:13" ht="12.75" customHeight="1" x14ac:dyDescent="0.25">
      <c r="C63764"/>
      <c r="M63764"/>
    </row>
    <row r="63765" spans="3:13" ht="12.75" customHeight="1" x14ac:dyDescent="0.25">
      <c r="C63765"/>
      <c r="M63765"/>
    </row>
    <row r="63766" spans="3:13" ht="12.75" customHeight="1" x14ac:dyDescent="0.25">
      <c r="C63766"/>
      <c r="M63766"/>
    </row>
    <row r="63767" spans="3:13" ht="12.75" customHeight="1" x14ac:dyDescent="0.25">
      <c r="C63767"/>
      <c r="M63767"/>
    </row>
    <row r="63768" spans="3:13" ht="12.75" customHeight="1" x14ac:dyDescent="0.25">
      <c r="C63768"/>
      <c r="M63768"/>
    </row>
    <row r="63769" spans="3:13" ht="12.75" customHeight="1" x14ac:dyDescent="0.25">
      <c r="C63769"/>
      <c r="M63769"/>
    </row>
    <row r="63770" spans="3:13" ht="12.75" customHeight="1" x14ac:dyDescent="0.25">
      <c r="C63770"/>
      <c r="M63770"/>
    </row>
    <row r="63771" spans="3:13" ht="12.75" customHeight="1" x14ac:dyDescent="0.25">
      <c r="C63771"/>
      <c r="M63771"/>
    </row>
    <row r="63772" spans="3:13" ht="12.75" customHeight="1" x14ac:dyDescent="0.25">
      <c r="C63772"/>
      <c r="M63772"/>
    </row>
    <row r="63773" spans="3:13" ht="12.75" customHeight="1" x14ac:dyDescent="0.25">
      <c r="C63773"/>
      <c r="M63773"/>
    </row>
    <row r="63774" spans="3:13" ht="12.75" customHeight="1" x14ac:dyDescent="0.25">
      <c r="C63774"/>
      <c r="M63774"/>
    </row>
    <row r="63775" spans="3:13" ht="12.75" customHeight="1" x14ac:dyDescent="0.25">
      <c r="C63775"/>
      <c r="M63775"/>
    </row>
    <row r="63776" spans="3:13" ht="12.75" customHeight="1" x14ac:dyDescent="0.25">
      <c r="C63776"/>
      <c r="M63776"/>
    </row>
    <row r="63777" spans="3:13" ht="12.75" customHeight="1" x14ac:dyDescent="0.25">
      <c r="C63777"/>
      <c r="M63777"/>
    </row>
    <row r="63778" spans="3:13" ht="12.75" customHeight="1" x14ac:dyDescent="0.25">
      <c r="C63778"/>
      <c r="M63778"/>
    </row>
    <row r="63779" spans="3:13" ht="12.75" customHeight="1" x14ac:dyDescent="0.25">
      <c r="C63779"/>
      <c r="M63779"/>
    </row>
    <row r="63780" spans="3:13" ht="12.75" customHeight="1" x14ac:dyDescent="0.25">
      <c r="C63780"/>
      <c r="M63780"/>
    </row>
    <row r="63781" spans="3:13" ht="12.75" customHeight="1" x14ac:dyDescent="0.25">
      <c r="C63781"/>
      <c r="M63781"/>
    </row>
    <row r="63782" spans="3:13" ht="12.75" customHeight="1" x14ac:dyDescent="0.25">
      <c r="C63782"/>
      <c r="M63782"/>
    </row>
    <row r="63783" spans="3:13" ht="12.75" customHeight="1" x14ac:dyDescent="0.25">
      <c r="C63783"/>
      <c r="M63783"/>
    </row>
    <row r="63784" spans="3:13" ht="12.75" customHeight="1" x14ac:dyDescent="0.25">
      <c r="C63784"/>
      <c r="M63784"/>
    </row>
    <row r="63785" spans="3:13" ht="12.75" customHeight="1" x14ac:dyDescent="0.25">
      <c r="C63785"/>
      <c r="M63785"/>
    </row>
    <row r="63786" spans="3:13" ht="12.75" customHeight="1" x14ac:dyDescent="0.25">
      <c r="C63786"/>
      <c r="M63786"/>
    </row>
    <row r="63787" spans="3:13" ht="12.75" customHeight="1" x14ac:dyDescent="0.25">
      <c r="C63787"/>
      <c r="M63787"/>
    </row>
    <row r="63788" spans="3:13" ht="12.75" customHeight="1" x14ac:dyDescent="0.25">
      <c r="C63788"/>
      <c r="M63788"/>
    </row>
    <row r="63789" spans="3:13" ht="12.75" customHeight="1" x14ac:dyDescent="0.25">
      <c r="C63789"/>
      <c r="M63789"/>
    </row>
    <row r="63790" spans="3:13" ht="12.75" customHeight="1" x14ac:dyDescent="0.25">
      <c r="C63790"/>
      <c r="M63790"/>
    </row>
    <row r="63791" spans="3:13" ht="12.75" customHeight="1" x14ac:dyDescent="0.25">
      <c r="C63791"/>
      <c r="M63791"/>
    </row>
    <row r="63792" spans="3:13" ht="12.75" customHeight="1" x14ac:dyDescent="0.25">
      <c r="C63792"/>
      <c r="M63792"/>
    </row>
    <row r="63793" spans="3:13" ht="12.75" customHeight="1" x14ac:dyDescent="0.25">
      <c r="C63793"/>
      <c r="M63793"/>
    </row>
    <row r="63794" spans="3:13" ht="12.75" customHeight="1" x14ac:dyDescent="0.25">
      <c r="C63794"/>
      <c r="M63794"/>
    </row>
    <row r="63795" spans="3:13" ht="12.75" customHeight="1" x14ac:dyDescent="0.25">
      <c r="C63795"/>
      <c r="M63795"/>
    </row>
    <row r="63796" spans="3:13" ht="12.75" customHeight="1" x14ac:dyDescent="0.25">
      <c r="C63796"/>
      <c r="M63796"/>
    </row>
    <row r="63797" spans="3:13" ht="12.75" customHeight="1" x14ac:dyDescent="0.25">
      <c r="C63797"/>
      <c r="M63797"/>
    </row>
    <row r="63798" spans="3:13" ht="12.75" customHeight="1" x14ac:dyDescent="0.25">
      <c r="C63798"/>
      <c r="M63798"/>
    </row>
    <row r="63799" spans="3:13" ht="12.75" customHeight="1" x14ac:dyDescent="0.25">
      <c r="C63799"/>
      <c r="M63799"/>
    </row>
    <row r="63800" spans="3:13" ht="12.75" customHeight="1" x14ac:dyDescent="0.25">
      <c r="C63800"/>
      <c r="M63800"/>
    </row>
    <row r="63801" spans="3:13" ht="12.75" customHeight="1" x14ac:dyDescent="0.25">
      <c r="C63801"/>
      <c r="M63801"/>
    </row>
    <row r="63802" spans="3:13" ht="12.75" customHeight="1" x14ac:dyDescent="0.25">
      <c r="C63802"/>
      <c r="M63802"/>
    </row>
    <row r="63803" spans="3:13" ht="12.75" customHeight="1" x14ac:dyDescent="0.25">
      <c r="C63803"/>
      <c r="M63803"/>
    </row>
    <row r="63804" spans="3:13" ht="12.75" customHeight="1" x14ac:dyDescent="0.25">
      <c r="C63804"/>
      <c r="M63804"/>
    </row>
    <row r="63805" spans="3:13" ht="12.75" customHeight="1" x14ac:dyDescent="0.25">
      <c r="C63805"/>
      <c r="M63805"/>
    </row>
    <row r="63806" spans="3:13" ht="12.75" customHeight="1" x14ac:dyDescent="0.25">
      <c r="C63806"/>
      <c r="M63806"/>
    </row>
    <row r="63807" spans="3:13" ht="12.75" customHeight="1" x14ac:dyDescent="0.25">
      <c r="C63807"/>
      <c r="M63807"/>
    </row>
    <row r="63808" spans="3:13" ht="12.75" customHeight="1" x14ac:dyDescent="0.25">
      <c r="C63808"/>
      <c r="M63808"/>
    </row>
    <row r="63809" spans="3:13" ht="12.75" customHeight="1" x14ac:dyDescent="0.25">
      <c r="C63809"/>
      <c r="M63809"/>
    </row>
    <row r="63810" spans="3:13" ht="12.75" customHeight="1" x14ac:dyDescent="0.25">
      <c r="C63810"/>
      <c r="M63810"/>
    </row>
    <row r="63811" spans="3:13" ht="12.75" customHeight="1" x14ac:dyDescent="0.25">
      <c r="C63811"/>
      <c r="M63811"/>
    </row>
    <row r="63812" spans="3:13" ht="12.75" customHeight="1" x14ac:dyDescent="0.25">
      <c r="C63812"/>
      <c r="M63812"/>
    </row>
    <row r="63813" spans="3:13" ht="12.75" customHeight="1" x14ac:dyDescent="0.25">
      <c r="C63813"/>
      <c r="M63813"/>
    </row>
    <row r="63814" spans="3:13" ht="12.75" customHeight="1" x14ac:dyDescent="0.25">
      <c r="C63814"/>
      <c r="M63814"/>
    </row>
    <row r="63815" spans="3:13" ht="12.75" customHeight="1" x14ac:dyDescent="0.25">
      <c r="C63815"/>
      <c r="M63815"/>
    </row>
    <row r="63816" spans="3:13" ht="12.75" customHeight="1" x14ac:dyDescent="0.25">
      <c r="C63816"/>
      <c r="M63816"/>
    </row>
    <row r="63817" spans="3:13" ht="12.75" customHeight="1" x14ac:dyDescent="0.25">
      <c r="C63817"/>
      <c r="M63817"/>
    </row>
    <row r="63818" spans="3:13" ht="12.75" customHeight="1" x14ac:dyDescent="0.25">
      <c r="C63818"/>
      <c r="M63818"/>
    </row>
    <row r="63819" spans="3:13" ht="12.75" customHeight="1" x14ac:dyDescent="0.25">
      <c r="C63819"/>
      <c r="M63819"/>
    </row>
    <row r="63820" spans="3:13" ht="12.75" customHeight="1" x14ac:dyDescent="0.25">
      <c r="C63820"/>
      <c r="M63820"/>
    </row>
    <row r="63821" spans="3:13" ht="12.75" customHeight="1" x14ac:dyDescent="0.25">
      <c r="C63821"/>
      <c r="M63821"/>
    </row>
    <row r="63822" spans="3:13" ht="12.75" customHeight="1" x14ac:dyDescent="0.25">
      <c r="C63822"/>
      <c r="M63822"/>
    </row>
    <row r="63823" spans="3:13" ht="12.75" customHeight="1" x14ac:dyDescent="0.25">
      <c r="C63823"/>
      <c r="M63823"/>
    </row>
    <row r="63824" spans="3:13" ht="12.75" customHeight="1" x14ac:dyDescent="0.25">
      <c r="C63824"/>
      <c r="M63824"/>
    </row>
    <row r="63825" spans="3:13" ht="12.75" customHeight="1" x14ac:dyDescent="0.25">
      <c r="C63825"/>
      <c r="M63825"/>
    </row>
    <row r="63826" spans="3:13" ht="12.75" customHeight="1" x14ac:dyDescent="0.25">
      <c r="C63826"/>
      <c r="M63826"/>
    </row>
    <row r="63827" spans="3:13" ht="12.75" customHeight="1" x14ac:dyDescent="0.25">
      <c r="C63827"/>
      <c r="M63827"/>
    </row>
    <row r="63828" spans="3:13" ht="12.75" customHeight="1" x14ac:dyDescent="0.25">
      <c r="C63828"/>
      <c r="M63828"/>
    </row>
    <row r="63829" spans="3:13" ht="12.75" customHeight="1" x14ac:dyDescent="0.25">
      <c r="C63829"/>
      <c r="M63829"/>
    </row>
    <row r="63830" spans="3:13" ht="12.75" customHeight="1" x14ac:dyDescent="0.25">
      <c r="C63830"/>
      <c r="M63830"/>
    </row>
    <row r="63831" spans="3:13" ht="12.75" customHeight="1" x14ac:dyDescent="0.25">
      <c r="C63831"/>
      <c r="M63831"/>
    </row>
    <row r="63832" spans="3:13" ht="12.75" customHeight="1" x14ac:dyDescent="0.25">
      <c r="C63832"/>
      <c r="M63832"/>
    </row>
    <row r="63833" spans="3:13" ht="12.75" customHeight="1" x14ac:dyDescent="0.25">
      <c r="C63833"/>
      <c r="M63833"/>
    </row>
    <row r="63834" spans="3:13" ht="12.75" customHeight="1" x14ac:dyDescent="0.25">
      <c r="C63834"/>
      <c r="M63834"/>
    </row>
    <row r="63835" spans="3:13" ht="12.75" customHeight="1" x14ac:dyDescent="0.25">
      <c r="C63835"/>
      <c r="M63835"/>
    </row>
    <row r="63836" spans="3:13" ht="12.75" customHeight="1" x14ac:dyDescent="0.25">
      <c r="C63836"/>
      <c r="M63836"/>
    </row>
    <row r="63837" spans="3:13" ht="12.75" customHeight="1" x14ac:dyDescent="0.25">
      <c r="C63837"/>
      <c r="M63837"/>
    </row>
    <row r="63838" spans="3:13" ht="12.75" customHeight="1" x14ac:dyDescent="0.25">
      <c r="C63838"/>
      <c r="M63838"/>
    </row>
    <row r="63839" spans="3:13" ht="12.75" customHeight="1" x14ac:dyDescent="0.25">
      <c r="C63839"/>
      <c r="M63839"/>
    </row>
    <row r="63840" spans="3:13" ht="12.75" customHeight="1" x14ac:dyDescent="0.25">
      <c r="C63840"/>
      <c r="M63840"/>
    </row>
    <row r="63841" spans="3:13" ht="12.75" customHeight="1" x14ac:dyDescent="0.25">
      <c r="C63841"/>
      <c r="M63841"/>
    </row>
    <row r="63842" spans="3:13" ht="12.75" customHeight="1" x14ac:dyDescent="0.25">
      <c r="C63842"/>
      <c r="M63842"/>
    </row>
    <row r="63843" spans="3:13" ht="12.75" customHeight="1" x14ac:dyDescent="0.25">
      <c r="C63843"/>
      <c r="M63843"/>
    </row>
    <row r="63844" spans="3:13" ht="12.75" customHeight="1" x14ac:dyDescent="0.25">
      <c r="C63844"/>
      <c r="M63844"/>
    </row>
    <row r="63845" spans="3:13" ht="12.75" customHeight="1" x14ac:dyDescent="0.25">
      <c r="C63845"/>
      <c r="M63845"/>
    </row>
    <row r="63846" spans="3:13" ht="12.75" customHeight="1" x14ac:dyDescent="0.25">
      <c r="C63846"/>
      <c r="M63846"/>
    </row>
    <row r="63847" spans="3:13" ht="12.75" customHeight="1" x14ac:dyDescent="0.25">
      <c r="C63847"/>
      <c r="M63847"/>
    </row>
    <row r="63848" spans="3:13" ht="12.75" customHeight="1" x14ac:dyDescent="0.25">
      <c r="C63848"/>
      <c r="M63848"/>
    </row>
    <row r="63849" spans="3:13" ht="12.75" customHeight="1" x14ac:dyDescent="0.25">
      <c r="C63849"/>
      <c r="M63849"/>
    </row>
    <row r="63850" spans="3:13" ht="12.75" customHeight="1" x14ac:dyDescent="0.25">
      <c r="C63850"/>
      <c r="M63850"/>
    </row>
    <row r="63851" spans="3:13" ht="12.75" customHeight="1" x14ac:dyDescent="0.25">
      <c r="C63851"/>
      <c r="M63851"/>
    </row>
    <row r="63852" spans="3:13" ht="12.75" customHeight="1" x14ac:dyDescent="0.25">
      <c r="C63852"/>
      <c r="M63852"/>
    </row>
    <row r="63853" spans="3:13" ht="12.75" customHeight="1" x14ac:dyDescent="0.25">
      <c r="C63853"/>
      <c r="M63853"/>
    </row>
    <row r="63854" spans="3:13" ht="12.75" customHeight="1" x14ac:dyDescent="0.25">
      <c r="C63854"/>
      <c r="M63854"/>
    </row>
    <row r="63855" spans="3:13" ht="12.75" customHeight="1" x14ac:dyDescent="0.25">
      <c r="C63855"/>
      <c r="M63855"/>
    </row>
    <row r="63856" spans="3:13" ht="12.75" customHeight="1" x14ac:dyDescent="0.25">
      <c r="C63856"/>
      <c r="M63856"/>
    </row>
    <row r="63857" spans="3:13" ht="12.75" customHeight="1" x14ac:dyDescent="0.25">
      <c r="C63857"/>
      <c r="M63857"/>
    </row>
    <row r="63858" spans="3:13" ht="12.75" customHeight="1" x14ac:dyDescent="0.25">
      <c r="C63858"/>
      <c r="M63858"/>
    </row>
    <row r="63859" spans="3:13" ht="12.75" customHeight="1" x14ac:dyDescent="0.25">
      <c r="C63859"/>
      <c r="M63859"/>
    </row>
    <row r="63860" spans="3:13" ht="12.75" customHeight="1" x14ac:dyDescent="0.25">
      <c r="C63860"/>
      <c r="M63860"/>
    </row>
    <row r="63861" spans="3:13" ht="12.75" customHeight="1" x14ac:dyDescent="0.25">
      <c r="C63861"/>
      <c r="M63861"/>
    </row>
    <row r="63862" spans="3:13" ht="12.75" customHeight="1" x14ac:dyDescent="0.25">
      <c r="C63862"/>
      <c r="M63862"/>
    </row>
    <row r="63863" spans="3:13" ht="12.75" customHeight="1" x14ac:dyDescent="0.25">
      <c r="C63863"/>
      <c r="M63863"/>
    </row>
    <row r="63864" spans="3:13" ht="12.75" customHeight="1" x14ac:dyDescent="0.25">
      <c r="C63864"/>
      <c r="M63864"/>
    </row>
    <row r="63865" spans="3:13" ht="12.75" customHeight="1" x14ac:dyDescent="0.25">
      <c r="C63865"/>
      <c r="M63865"/>
    </row>
    <row r="63866" spans="3:13" ht="12.75" customHeight="1" x14ac:dyDescent="0.25">
      <c r="C63866"/>
      <c r="M63866"/>
    </row>
    <row r="63867" spans="3:13" ht="12.75" customHeight="1" x14ac:dyDescent="0.25">
      <c r="C63867"/>
      <c r="M63867"/>
    </row>
    <row r="63868" spans="3:13" ht="12.75" customHeight="1" x14ac:dyDescent="0.25">
      <c r="C63868"/>
      <c r="M63868"/>
    </row>
    <row r="63869" spans="3:13" ht="12.75" customHeight="1" x14ac:dyDescent="0.25">
      <c r="C63869"/>
      <c r="M63869"/>
    </row>
    <row r="63870" spans="3:13" ht="12.75" customHeight="1" x14ac:dyDescent="0.25">
      <c r="C63870"/>
      <c r="M63870"/>
    </row>
    <row r="63871" spans="3:13" ht="12.75" customHeight="1" x14ac:dyDescent="0.25">
      <c r="C63871"/>
      <c r="M63871"/>
    </row>
    <row r="63872" spans="3:13" ht="12.75" customHeight="1" x14ac:dyDescent="0.25">
      <c r="C63872"/>
      <c r="M63872"/>
    </row>
    <row r="63873" spans="3:13" ht="12.75" customHeight="1" x14ac:dyDescent="0.25">
      <c r="C63873"/>
      <c r="M63873"/>
    </row>
    <row r="63874" spans="3:13" ht="12.75" customHeight="1" x14ac:dyDescent="0.25">
      <c r="C63874"/>
      <c r="M63874"/>
    </row>
    <row r="63875" spans="3:13" ht="12.75" customHeight="1" x14ac:dyDescent="0.25">
      <c r="C63875"/>
      <c r="M63875"/>
    </row>
    <row r="63876" spans="3:13" ht="12.75" customHeight="1" x14ac:dyDescent="0.25">
      <c r="C63876"/>
      <c r="M63876"/>
    </row>
    <row r="63877" spans="3:13" ht="12.75" customHeight="1" x14ac:dyDescent="0.25">
      <c r="C63877"/>
      <c r="M63877"/>
    </row>
    <row r="63878" spans="3:13" ht="12.75" customHeight="1" x14ac:dyDescent="0.25">
      <c r="C63878"/>
      <c r="M63878"/>
    </row>
    <row r="63879" spans="3:13" ht="12.75" customHeight="1" x14ac:dyDescent="0.25">
      <c r="C63879"/>
      <c r="M63879"/>
    </row>
    <row r="63880" spans="3:13" ht="12.75" customHeight="1" x14ac:dyDescent="0.25">
      <c r="C63880"/>
      <c r="M63880"/>
    </row>
    <row r="63881" spans="3:13" ht="12.75" customHeight="1" x14ac:dyDescent="0.25">
      <c r="C63881"/>
      <c r="M63881"/>
    </row>
    <row r="63882" spans="3:13" ht="12.75" customHeight="1" x14ac:dyDescent="0.25">
      <c r="C63882"/>
      <c r="M63882"/>
    </row>
    <row r="63883" spans="3:13" ht="12.75" customHeight="1" x14ac:dyDescent="0.25">
      <c r="C63883"/>
      <c r="M63883"/>
    </row>
    <row r="63884" spans="3:13" ht="12.75" customHeight="1" x14ac:dyDescent="0.25">
      <c r="C63884"/>
      <c r="M63884"/>
    </row>
    <row r="63885" spans="3:13" ht="12.75" customHeight="1" x14ac:dyDescent="0.25">
      <c r="C63885"/>
      <c r="M63885"/>
    </row>
    <row r="63886" spans="3:13" ht="12.75" customHeight="1" x14ac:dyDescent="0.25">
      <c r="C63886"/>
      <c r="M63886"/>
    </row>
    <row r="63887" spans="3:13" ht="12.75" customHeight="1" x14ac:dyDescent="0.25">
      <c r="C63887"/>
      <c r="M63887"/>
    </row>
    <row r="63888" spans="3:13" ht="12.75" customHeight="1" x14ac:dyDescent="0.25">
      <c r="C63888"/>
      <c r="M63888"/>
    </row>
    <row r="63889" spans="3:13" ht="12.75" customHeight="1" x14ac:dyDescent="0.25">
      <c r="C63889"/>
      <c r="M63889"/>
    </row>
    <row r="63890" spans="3:13" ht="12.75" customHeight="1" x14ac:dyDescent="0.25">
      <c r="C63890"/>
      <c r="M63890"/>
    </row>
    <row r="63891" spans="3:13" ht="12.75" customHeight="1" x14ac:dyDescent="0.25">
      <c r="C63891"/>
      <c r="M63891"/>
    </row>
    <row r="63892" spans="3:13" ht="12.75" customHeight="1" x14ac:dyDescent="0.25">
      <c r="C63892"/>
      <c r="M63892"/>
    </row>
    <row r="63893" spans="3:13" ht="12.75" customHeight="1" x14ac:dyDescent="0.25">
      <c r="C63893"/>
      <c r="M63893"/>
    </row>
    <row r="63894" spans="3:13" ht="12.75" customHeight="1" x14ac:dyDescent="0.25">
      <c r="C63894"/>
      <c r="M63894"/>
    </row>
    <row r="63895" spans="3:13" ht="12.75" customHeight="1" x14ac:dyDescent="0.25">
      <c r="C63895"/>
      <c r="M63895"/>
    </row>
    <row r="63896" spans="3:13" ht="12.75" customHeight="1" x14ac:dyDescent="0.25">
      <c r="C63896"/>
      <c r="M63896"/>
    </row>
    <row r="63897" spans="3:13" ht="12.75" customHeight="1" x14ac:dyDescent="0.25">
      <c r="C63897"/>
      <c r="M63897"/>
    </row>
    <row r="63898" spans="3:13" ht="12.75" customHeight="1" x14ac:dyDescent="0.25">
      <c r="C63898"/>
      <c r="M63898"/>
    </row>
    <row r="63899" spans="3:13" ht="12.75" customHeight="1" x14ac:dyDescent="0.25">
      <c r="C63899"/>
      <c r="M63899"/>
    </row>
    <row r="63900" spans="3:13" ht="12.75" customHeight="1" x14ac:dyDescent="0.25">
      <c r="C63900"/>
      <c r="M63900"/>
    </row>
    <row r="63901" spans="3:13" ht="12.75" customHeight="1" x14ac:dyDescent="0.25">
      <c r="C63901"/>
      <c r="M63901"/>
    </row>
    <row r="63902" spans="3:13" ht="12.75" customHeight="1" x14ac:dyDescent="0.25">
      <c r="C63902"/>
      <c r="M63902"/>
    </row>
    <row r="63903" spans="3:13" ht="12.75" customHeight="1" x14ac:dyDescent="0.25">
      <c r="C63903"/>
      <c r="M63903"/>
    </row>
    <row r="63904" spans="3:13" ht="12.75" customHeight="1" x14ac:dyDescent="0.25">
      <c r="C63904"/>
      <c r="M63904"/>
    </row>
    <row r="63905" spans="3:13" ht="12.75" customHeight="1" x14ac:dyDescent="0.25">
      <c r="C63905"/>
      <c r="M63905"/>
    </row>
    <row r="63906" spans="3:13" ht="12.75" customHeight="1" x14ac:dyDescent="0.25">
      <c r="C63906"/>
      <c r="M63906"/>
    </row>
    <row r="63907" spans="3:13" ht="12.75" customHeight="1" x14ac:dyDescent="0.25">
      <c r="C63907"/>
      <c r="M63907"/>
    </row>
    <row r="63908" spans="3:13" ht="12.75" customHeight="1" x14ac:dyDescent="0.25">
      <c r="C63908"/>
      <c r="M63908"/>
    </row>
    <row r="63909" spans="3:13" ht="12.75" customHeight="1" x14ac:dyDescent="0.25">
      <c r="C63909"/>
      <c r="M63909"/>
    </row>
    <row r="63910" spans="3:13" ht="12.75" customHeight="1" x14ac:dyDescent="0.25">
      <c r="C63910"/>
      <c r="M63910"/>
    </row>
    <row r="63911" spans="3:13" ht="12.75" customHeight="1" x14ac:dyDescent="0.25">
      <c r="C63911"/>
      <c r="M63911"/>
    </row>
    <row r="63912" spans="3:13" ht="12.75" customHeight="1" x14ac:dyDescent="0.25">
      <c r="C63912"/>
      <c r="M63912"/>
    </row>
    <row r="63913" spans="3:13" ht="12.75" customHeight="1" x14ac:dyDescent="0.25">
      <c r="C63913"/>
      <c r="M63913"/>
    </row>
    <row r="63914" spans="3:13" ht="12.75" customHeight="1" x14ac:dyDescent="0.25">
      <c r="C63914"/>
      <c r="M63914"/>
    </row>
    <row r="63915" spans="3:13" ht="12.75" customHeight="1" x14ac:dyDescent="0.25">
      <c r="C63915"/>
      <c r="M63915"/>
    </row>
    <row r="63916" spans="3:13" ht="12.75" customHeight="1" x14ac:dyDescent="0.25">
      <c r="C63916"/>
      <c r="M63916"/>
    </row>
    <row r="63917" spans="3:13" ht="12.75" customHeight="1" x14ac:dyDescent="0.25">
      <c r="C63917"/>
      <c r="M63917"/>
    </row>
    <row r="63918" spans="3:13" ht="12.75" customHeight="1" x14ac:dyDescent="0.25">
      <c r="C63918"/>
      <c r="M63918"/>
    </row>
    <row r="63919" spans="3:13" ht="12.75" customHeight="1" x14ac:dyDescent="0.25">
      <c r="C63919"/>
      <c r="M63919"/>
    </row>
    <row r="63920" spans="3:13" ht="12.75" customHeight="1" x14ac:dyDescent="0.25">
      <c r="C63920"/>
      <c r="M63920"/>
    </row>
    <row r="63921" spans="3:13" ht="12.75" customHeight="1" x14ac:dyDescent="0.25">
      <c r="C63921"/>
      <c r="M63921"/>
    </row>
    <row r="63922" spans="3:13" ht="12.75" customHeight="1" x14ac:dyDescent="0.25">
      <c r="C63922"/>
      <c r="M63922"/>
    </row>
    <row r="63923" spans="3:13" ht="12.75" customHeight="1" x14ac:dyDescent="0.25">
      <c r="C63923"/>
      <c r="M63923"/>
    </row>
    <row r="63924" spans="3:13" ht="12.75" customHeight="1" x14ac:dyDescent="0.25">
      <c r="C63924"/>
      <c r="M63924"/>
    </row>
    <row r="63925" spans="3:13" ht="12.75" customHeight="1" x14ac:dyDescent="0.25">
      <c r="C63925"/>
      <c r="M63925"/>
    </row>
    <row r="63926" spans="3:13" ht="12.75" customHeight="1" x14ac:dyDescent="0.25">
      <c r="C63926"/>
      <c r="M63926"/>
    </row>
    <row r="63927" spans="3:13" ht="12.75" customHeight="1" x14ac:dyDescent="0.25">
      <c r="C63927"/>
      <c r="M63927"/>
    </row>
    <row r="63928" spans="3:13" ht="12.75" customHeight="1" x14ac:dyDescent="0.25">
      <c r="C63928"/>
      <c r="M63928"/>
    </row>
    <row r="63929" spans="3:13" ht="12.75" customHeight="1" x14ac:dyDescent="0.25">
      <c r="C63929"/>
      <c r="M63929"/>
    </row>
    <row r="63930" spans="3:13" ht="12.75" customHeight="1" x14ac:dyDescent="0.25">
      <c r="C63930"/>
      <c r="M63930"/>
    </row>
    <row r="63931" spans="3:13" ht="12.75" customHeight="1" x14ac:dyDescent="0.25">
      <c r="C63931"/>
      <c r="M63931"/>
    </row>
    <row r="63932" spans="3:13" ht="12.75" customHeight="1" x14ac:dyDescent="0.25">
      <c r="C63932"/>
      <c r="M63932"/>
    </row>
    <row r="63933" spans="3:13" ht="12.75" customHeight="1" x14ac:dyDescent="0.25">
      <c r="C63933"/>
      <c r="M63933"/>
    </row>
    <row r="63934" spans="3:13" ht="12.75" customHeight="1" x14ac:dyDescent="0.25">
      <c r="C63934"/>
      <c r="M63934"/>
    </row>
    <row r="63935" spans="3:13" ht="12.75" customHeight="1" x14ac:dyDescent="0.25">
      <c r="C63935"/>
      <c r="M63935"/>
    </row>
    <row r="63936" spans="3:13" ht="12.75" customHeight="1" x14ac:dyDescent="0.25">
      <c r="C63936"/>
      <c r="M63936"/>
    </row>
    <row r="63937" spans="3:13" ht="12.75" customHeight="1" x14ac:dyDescent="0.25">
      <c r="C63937"/>
      <c r="M63937"/>
    </row>
    <row r="63938" spans="3:13" ht="12.75" customHeight="1" x14ac:dyDescent="0.25">
      <c r="C63938"/>
      <c r="M63938"/>
    </row>
    <row r="63939" spans="3:13" ht="12.75" customHeight="1" x14ac:dyDescent="0.25">
      <c r="C63939"/>
      <c r="M63939"/>
    </row>
    <row r="63940" spans="3:13" ht="12.75" customHeight="1" x14ac:dyDescent="0.25">
      <c r="C63940"/>
      <c r="M63940"/>
    </row>
    <row r="63941" spans="3:13" ht="12.75" customHeight="1" x14ac:dyDescent="0.25">
      <c r="C63941"/>
      <c r="M63941"/>
    </row>
    <row r="63942" spans="3:13" ht="12.75" customHeight="1" x14ac:dyDescent="0.25">
      <c r="C63942"/>
      <c r="M63942"/>
    </row>
    <row r="63943" spans="3:13" ht="12.75" customHeight="1" x14ac:dyDescent="0.25">
      <c r="C63943"/>
      <c r="M63943"/>
    </row>
    <row r="63944" spans="3:13" ht="12.75" customHeight="1" x14ac:dyDescent="0.25">
      <c r="C63944"/>
      <c r="M63944"/>
    </row>
    <row r="63945" spans="3:13" ht="12.75" customHeight="1" x14ac:dyDescent="0.25">
      <c r="C63945"/>
      <c r="M63945"/>
    </row>
    <row r="63946" spans="3:13" ht="12.75" customHeight="1" x14ac:dyDescent="0.25">
      <c r="C63946"/>
      <c r="M63946"/>
    </row>
    <row r="63947" spans="3:13" ht="12.75" customHeight="1" x14ac:dyDescent="0.25">
      <c r="C63947"/>
      <c r="M63947"/>
    </row>
    <row r="63948" spans="3:13" ht="12.75" customHeight="1" x14ac:dyDescent="0.25">
      <c r="C63948"/>
      <c r="M63948"/>
    </row>
    <row r="63949" spans="3:13" ht="12.75" customHeight="1" x14ac:dyDescent="0.25">
      <c r="C63949"/>
      <c r="M63949"/>
    </row>
    <row r="63950" spans="3:13" ht="12.75" customHeight="1" x14ac:dyDescent="0.25">
      <c r="C63950"/>
      <c r="M63950"/>
    </row>
    <row r="63951" spans="3:13" ht="12.75" customHeight="1" x14ac:dyDescent="0.25">
      <c r="C63951"/>
      <c r="M63951"/>
    </row>
    <row r="63952" spans="3:13" ht="12.75" customHeight="1" x14ac:dyDescent="0.25">
      <c r="C63952"/>
      <c r="M63952"/>
    </row>
    <row r="63953" spans="3:13" ht="12.75" customHeight="1" x14ac:dyDescent="0.25">
      <c r="C63953"/>
      <c r="M63953"/>
    </row>
    <row r="63954" spans="3:13" ht="12.75" customHeight="1" x14ac:dyDescent="0.25">
      <c r="C63954"/>
      <c r="M63954"/>
    </row>
    <row r="63955" spans="3:13" ht="12.75" customHeight="1" x14ac:dyDescent="0.25">
      <c r="C63955"/>
      <c r="M63955"/>
    </row>
    <row r="63956" spans="3:13" ht="12.75" customHeight="1" x14ac:dyDescent="0.25">
      <c r="C63956"/>
      <c r="M63956"/>
    </row>
    <row r="63957" spans="3:13" ht="12.75" customHeight="1" x14ac:dyDescent="0.25">
      <c r="C63957"/>
      <c r="M63957"/>
    </row>
    <row r="63958" spans="3:13" ht="12.75" customHeight="1" x14ac:dyDescent="0.25">
      <c r="C63958"/>
      <c r="M63958"/>
    </row>
    <row r="63959" spans="3:13" ht="12.75" customHeight="1" x14ac:dyDescent="0.25">
      <c r="C63959"/>
      <c r="M63959"/>
    </row>
    <row r="63960" spans="3:13" ht="12.75" customHeight="1" x14ac:dyDescent="0.25">
      <c r="C63960"/>
      <c r="M63960"/>
    </row>
    <row r="63961" spans="3:13" ht="12.75" customHeight="1" x14ac:dyDescent="0.25">
      <c r="C63961"/>
      <c r="M63961"/>
    </row>
    <row r="63962" spans="3:13" ht="12.75" customHeight="1" x14ac:dyDescent="0.25">
      <c r="C63962"/>
      <c r="M63962"/>
    </row>
    <row r="63963" spans="3:13" ht="12.75" customHeight="1" x14ac:dyDescent="0.25">
      <c r="C63963"/>
      <c r="M63963"/>
    </row>
    <row r="63964" spans="3:13" ht="12.75" customHeight="1" x14ac:dyDescent="0.25">
      <c r="C63964"/>
      <c r="M63964"/>
    </row>
    <row r="63965" spans="3:13" ht="12.75" customHeight="1" x14ac:dyDescent="0.25">
      <c r="C63965"/>
      <c r="M63965"/>
    </row>
    <row r="63966" spans="3:13" ht="12.75" customHeight="1" x14ac:dyDescent="0.25">
      <c r="C63966"/>
      <c r="M63966"/>
    </row>
    <row r="63967" spans="3:13" ht="12.75" customHeight="1" x14ac:dyDescent="0.25">
      <c r="C63967"/>
      <c r="M63967"/>
    </row>
    <row r="63968" spans="3:13" ht="12.75" customHeight="1" x14ac:dyDescent="0.25">
      <c r="C63968"/>
      <c r="M63968"/>
    </row>
    <row r="63969" spans="3:13" ht="12.75" customHeight="1" x14ac:dyDescent="0.25">
      <c r="C63969"/>
      <c r="M63969"/>
    </row>
    <row r="63970" spans="3:13" ht="12.75" customHeight="1" x14ac:dyDescent="0.25">
      <c r="C63970"/>
      <c r="M63970"/>
    </row>
    <row r="63971" spans="3:13" ht="12.75" customHeight="1" x14ac:dyDescent="0.25">
      <c r="C63971"/>
      <c r="M63971"/>
    </row>
    <row r="63972" spans="3:13" ht="12.75" customHeight="1" x14ac:dyDescent="0.25">
      <c r="C63972"/>
      <c r="M63972"/>
    </row>
    <row r="63973" spans="3:13" ht="12.75" customHeight="1" x14ac:dyDescent="0.25">
      <c r="C63973"/>
      <c r="M63973"/>
    </row>
    <row r="63974" spans="3:13" ht="12.75" customHeight="1" x14ac:dyDescent="0.25">
      <c r="C63974"/>
      <c r="M63974"/>
    </row>
    <row r="63975" spans="3:13" ht="12.75" customHeight="1" x14ac:dyDescent="0.25">
      <c r="C63975"/>
      <c r="M63975"/>
    </row>
    <row r="63976" spans="3:13" ht="12.75" customHeight="1" x14ac:dyDescent="0.25">
      <c r="C63976"/>
      <c r="M63976"/>
    </row>
    <row r="63977" spans="3:13" ht="12.75" customHeight="1" x14ac:dyDescent="0.25">
      <c r="C63977"/>
      <c r="M63977"/>
    </row>
    <row r="63978" spans="3:13" ht="12.75" customHeight="1" x14ac:dyDescent="0.25">
      <c r="C63978"/>
      <c r="M63978"/>
    </row>
    <row r="63979" spans="3:13" ht="12.75" customHeight="1" x14ac:dyDescent="0.25">
      <c r="C63979"/>
      <c r="M63979"/>
    </row>
    <row r="63980" spans="3:13" ht="12.75" customHeight="1" x14ac:dyDescent="0.25">
      <c r="C63980"/>
      <c r="M63980"/>
    </row>
    <row r="63981" spans="3:13" ht="12.75" customHeight="1" x14ac:dyDescent="0.25">
      <c r="C63981"/>
      <c r="M63981"/>
    </row>
    <row r="63982" spans="3:13" ht="12.75" customHeight="1" x14ac:dyDescent="0.25">
      <c r="C63982"/>
      <c r="M63982"/>
    </row>
    <row r="63983" spans="3:13" ht="12.75" customHeight="1" x14ac:dyDescent="0.25">
      <c r="C63983"/>
      <c r="M63983"/>
    </row>
    <row r="63984" spans="3:13" ht="12.75" customHeight="1" x14ac:dyDescent="0.25">
      <c r="C63984"/>
      <c r="M63984"/>
    </row>
    <row r="63985" spans="3:13" ht="12.75" customHeight="1" x14ac:dyDescent="0.25">
      <c r="C63985"/>
      <c r="M63985"/>
    </row>
    <row r="63986" spans="3:13" ht="12.75" customHeight="1" x14ac:dyDescent="0.25">
      <c r="C63986"/>
      <c r="M63986"/>
    </row>
    <row r="63987" spans="3:13" ht="12.75" customHeight="1" x14ac:dyDescent="0.25">
      <c r="C63987"/>
      <c r="M63987"/>
    </row>
    <row r="63988" spans="3:13" ht="12.75" customHeight="1" x14ac:dyDescent="0.25">
      <c r="C63988"/>
      <c r="M63988"/>
    </row>
    <row r="63989" spans="3:13" ht="12.75" customHeight="1" x14ac:dyDescent="0.25">
      <c r="C63989"/>
      <c r="M63989"/>
    </row>
    <row r="63990" spans="3:13" ht="12.75" customHeight="1" x14ac:dyDescent="0.25">
      <c r="C63990"/>
      <c r="M63990"/>
    </row>
    <row r="63991" spans="3:13" ht="12.75" customHeight="1" x14ac:dyDescent="0.25">
      <c r="C63991"/>
      <c r="M63991"/>
    </row>
    <row r="63992" spans="3:13" ht="12.75" customHeight="1" x14ac:dyDescent="0.25">
      <c r="C63992"/>
      <c r="M63992"/>
    </row>
    <row r="63993" spans="3:13" ht="12.75" customHeight="1" x14ac:dyDescent="0.25">
      <c r="C63993"/>
      <c r="M63993"/>
    </row>
    <row r="63994" spans="3:13" ht="12.75" customHeight="1" x14ac:dyDescent="0.25">
      <c r="C63994"/>
      <c r="M63994"/>
    </row>
    <row r="63995" spans="3:13" ht="12.75" customHeight="1" x14ac:dyDescent="0.25">
      <c r="C63995"/>
      <c r="M63995"/>
    </row>
    <row r="63996" spans="3:13" ht="12.75" customHeight="1" x14ac:dyDescent="0.25">
      <c r="C63996"/>
      <c r="M63996"/>
    </row>
    <row r="63997" spans="3:13" ht="12.75" customHeight="1" x14ac:dyDescent="0.25">
      <c r="C63997"/>
      <c r="M63997"/>
    </row>
    <row r="63998" spans="3:13" ht="12.75" customHeight="1" x14ac:dyDescent="0.25">
      <c r="C63998"/>
      <c r="M63998"/>
    </row>
    <row r="63999" spans="3:13" ht="12.75" customHeight="1" x14ac:dyDescent="0.25">
      <c r="C63999"/>
      <c r="M63999"/>
    </row>
    <row r="64000" spans="3:13" ht="12.75" customHeight="1" x14ac:dyDescent="0.25">
      <c r="C64000"/>
      <c r="M64000"/>
    </row>
    <row r="64001" spans="3:13" ht="12.75" customHeight="1" x14ac:dyDescent="0.25">
      <c r="C64001"/>
      <c r="M64001"/>
    </row>
    <row r="64002" spans="3:13" ht="12.75" customHeight="1" x14ac:dyDescent="0.25">
      <c r="C64002"/>
      <c r="M64002"/>
    </row>
    <row r="64003" spans="3:13" ht="12.75" customHeight="1" x14ac:dyDescent="0.25">
      <c r="C64003"/>
      <c r="M64003"/>
    </row>
    <row r="64004" spans="3:13" ht="12.75" customHeight="1" x14ac:dyDescent="0.25">
      <c r="C64004"/>
      <c r="M64004"/>
    </row>
    <row r="64005" spans="3:13" ht="12.75" customHeight="1" x14ac:dyDescent="0.25">
      <c r="C64005"/>
      <c r="M64005"/>
    </row>
    <row r="64006" spans="3:13" ht="12.75" customHeight="1" x14ac:dyDescent="0.25">
      <c r="C64006"/>
      <c r="M64006"/>
    </row>
    <row r="64007" spans="3:13" ht="12.75" customHeight="1" x14ac:dyDescent="0.25">
      <c r="C64007"/>
      <c r="M64007"/>
    </row>
    <row r="64008" spans="3:13" ht="12.75" customHeight="1" x14ac:dyDescent="0.25">
      <c r="C64008"/>
      <c r="M64008"/>
    </row>
    <row r="64009" spans="3:13" ht="12.75" customHeight="1" x14ac:dyDescent="0.25">
      <c r="C64009"/>
      <c r="M64009"/>
    </row>
    <row r="64010" spans="3:13" ht="12.75" customHeight="1" x14ac:dyDescent="0.25">
      <c r="C64010"/>
      <c r="M64010"/>
    </row>
    <row r="64011" spans="3:13" ht="12.75" customHeight="1" x14ac:dyDescent="0.25">
      <c r="C64011"/>
      <c r="M64011"/>
    </row>
    <row r="64012" spans="3:13" ht="12.75" customHeight="1" x14ac:dyDescent="0.25">
      <c r="C64012"/>
      <c r="M64012"/>
    </row>
    <row r="64013" spans="3:13" ht="12.75" customHeight="1" x14ac:dyDescent="0.25">
      <c r="C64013"/>
      <c r="M64013"/>
    </row>
    <row r="64014" spans="3:13" ht="12.75" customHeight="1" x14ac:dyDescent="0.25">
      <c r="C64014"/>
      <c r="M64014"/>
    </row>
    <row r="64015" spans="3:13" ht="12.75" customHeight="1" x14ac:dyDescent="0.25">
      <c r="C64015"/>
      <c r="M64015"/>
    </row>
    <row r="64016" spans="3:13" ht="12.75" customHeight="1" x14ac:dyDescent="0.25">
      <c r="C64016"/>
      <c r="M64016"/>
    </row>
    <row r="64017" spans="3:13" ht="12.75" customHeight="1" x14ac:dyDescent="0.25">
      <c r="C64017"/>
      <c r="M64017"/>
    </row>
    <row r="64018" spans="3:13" ht="12.75" customHeight="1" x14ac:dyDescent="0.25">
      <c r="C64018"/>
      <c r="M64018"/>
    </row>
    <row r="64019" spans="3:13" ht="12.75" customHeight="1" x14ac:dyDescent="0.25">
      <c r="C64019"/>
      <c r="M64019"/>
    </row>
    <row r="64020" spans="3:13" ht="12.75" customHeight="1" x14ac:dyDescent="0.25">
      <c r="C64020"/>
      <c r="M64020"/>
    </row>
    <row r="64021" spans="3:13" ht="12.75" customHeight="1" x14ac:dyDescent="0.25">
      <c r="C64021"/>
      <c r="M64021"/>
    </row>
    <row r="64022" spans="3:13" ht="12.75" customHeight="1" x14ac:dyDescent="0.25">
      <c r="C64022"/>
      <c r="M64022"/>
    </row>
    <row r="64023" spans="3:13" ht="12.75" customHeight="1" x14ac:dyDescent="0.25">
      <c r="C64023"/>
      <c r="M64023"/>
    </row>
    <row r="64024" spans="3:13" ht="12.75" customHeight="1" x14ac:dyDescent="0.25">
      <c r="C64024"/>
      <c r="M64024"/>
    </row>
    <row r="64025" spans="3:13" ht="12.75" customHeight="1" x14ac:dyDescent="0.25">
      <c r="C64025"/>
      <c r="M64025"/>
    </row>
    <row r="64026" spans="3:13" ht="12.75" customHeight="1" x14ac:dyDescent="0.25">
      <c r="C64026"/>
      <c r="M64026"/>
    </row>
    <row r="64027" spans="3:13" ht="12.75" customHeight="1" x14ac:dyDescent="0.25">
      <c r="C64027"/>
      <c r="M64027"/>
    </row>
    <row r="64028" spans="3:13" ht="12.75" customHeight="1" x14ac:dyDescent="0.25">
      <c r="C64028"/>
      <c r="M64028"/>
    </row>
    <row r="64029" spans="3:13" ht="12.75" customHeight="1" x14ac:dyDescent="0.25">
      <c r="C64029"/>
      <c r="M64029"/>
    </row>
    <row r="64030" spans="3:13" ht="12.75" customHeight="1" x14ac:dyDescent="0.25">
      <c r="C64030"/>
      <c r="M64030"/>
    </row>
    <row r="64031" spans="3:13" ht="12.75" customHeight="1" x14ac:dyDescent="0.25">
      <c r="C64031"/>
      <c r="M64031"/>
    </row>
    <row r="64032" spans="3:13" ht="12.75" customHeight="1" x14ac:dyDescent="0.25">
      <c r="C64032"/>
      <c r="M64032"/>
    </row>
    <row r="64033" spans="3:13" ht="12.75" customHeight="1" x14ac:dyDescent="0.25">
      <c r="C64033"/>
      <c r="M64033"/>
    </row>
    <row r="64034" spans="3:13" ht="12.75" customHeight="1" x14ac:dyDescent="0.25">
      <c r="C64034"/>
      <c r="M64034"/>
    </row>
    <row r="64035" spans="3:13" ht="12.75" customHeight="1" x14ac:dyDescent="0.25">
      <c r="C64035"/>
      <c r="M64035"/>
    </row>
    <row r="64036" spans="3:13" ht="12.75" customHeight="1" x14ac:dyDescent="0.25">
      <c r="C64036"/>
      <c r="M64036"/>
    </row>
    <row r="64037" spans="3:13" ht="12.75" customHeight="1" x14ac:dyDescent="0.25">
      <c r="C64037"/>
      <c r="M64037"/>
    </row>
    <row r="64038" spans="3:13" ht="12.75" customHeight="1" x14ac:dyDescent="0.25">
      <c r="C64038"/>
      <c r="M64038"/>
    </row>
    <row r="64039" spans="3:13" ht="12.75" customHeight="1" x14ac:dyDescent="0.25">
      <c r="C64039"/>
      <c r="M64039"/>
    </row>
    <row r="64040" spans="3:13" ht="12.75" customHeight="1" x14ac:dyDescent="0.25">
      <c r="C64040"/>
      <c r="M64040"/>
    </row>
    <row r="64041" spans="3:13" ht="12.75" customHeight="1" x14ac:dyDescent="0.25">
      <c r="C64041"/>
      <c r="M64041"/>
    </row>
    <row r="64042" spans="3:13" ht="12.75" customHeight="1" x14ac:dyDescent="0.25">
      <c r="C64042"/>
      <c r="M64042"/>
    </row>
    <row r="64043" spans="3:13" ht="12.75" customHeight="1" x14ac:dyDescent="0.25">
      <c r="C64043"/>
      <c r="M64043"/>
    </row>
    <row r="64044" spans="3:13" ht="12.75" customHeight="1" x14ac:dyDescent="0.25">
      <c r="C64044"/>
      <c r="M64044"/>
    </row>
    <row r="64045" spans="3:13" ht="12.75" customHeight="1" x14ac:dyDescent="0.25">
      <c r="C64045"/>
      <c r="M64045"/>
    </row>
    <row r="64046" spans="3:13" ht="12.75" customHeight="1" x14ac:dyDescent="0.25">
      <c r="C64046"/>
      <c r="M64046"/>
    </row>
    <row r="64047" spans="3:13" ht="12.75" customHeight="1" x14ac:dyDescent="0.25">
      <c r="C64047"/>
      <c r="M64047"/>
    </row>
    <row r="64048" spans="3:13" ht="12.75" customHeight="1" x14ac:dyDescent="0.25">
      <c r="C64048"/>
      <c r="M64048"/>
    </row>
    <row r="64049" spans="3:13" ht="12.75" customHeight="1" x14ac:dyDescent="0.25">
      <c r="C64049"/>
      <c r="M64049"/>
    </row>
    <row r="64050" spans="3:13" ht="12.75" customHeight="1" x14ac:dyDescent="0.25">
      <c r="C64050"/>
      <c r="M64050"/>
    </row>
    <row r="64051" spans="3:13" ht="12.75" customHeight="1" x14ac:dyDescent="0.25">
      <c r="C64051"/>
      <c r="M64051"/>
    </row>
    <row r="64052" spans="3:13" ht="12.75" customHeight="1" x14ac:dyDescent="0.25">
      <c r="C64052"/>
      <c r="M64052"/>
    </row>
    <row r="64053" spans="3:13" ht="12.75" customHeight="1" x14ac:dyDescent="0.25">
      <c r="C64053"/>
      <c r="M64053"/>
    </row>
    <row r="64054" spans="3:13" ht="12.75" customHeight="1" x14ac:dyDescent="0.25">
      <c r="C64054"/>
      <c r="M64054"/>
    </row>
    <row r="64055" spans="3:13" ht="12.75" customHeight="1" x14ac:dyDescent="0.25">
      <c r="C64055"/>
      <c r="M64055"/>
    </row>
    <row r="64056" spans="3:13" ht="12.75" customHeight="1" x14ac:dyDescent="0.25">
      <c r="C64056"/>
      <c r="M64056"/>
    </row>
    <row r="64057" spans="3:13" ht="12.75" customHeight="1" x14ac:dyDescent="0.25">
      <c r="C64057"/>
      <c r="M64057"/>
    </row>
    <row r="64058" spans="3:13" ht="12.75" customHeight="1" x14ac:dyDescent="0.25">
      <c r="C64058"/>
      <c r="M64058"/>
    </row>
    <row r="64059" spans="3:13" ht="12.75" customHeight="1" x14ac:dyDescent="0.25">
      <c r="C64059"/>
      <c r="M64059"/>
    </row>
    <row r="64060" spans="3:13" ht="12.75" customHeight="1" x14ac:dyDescent="0.25">
      <c r="C64060"/>
      <c r="M64060"/>
    </row>
    <row r="64061" spans="3:13" ht="12.75" customHeight="1" x14ac:dyDescent="0.25">
      <c r="C64061"/>
      <c r="M64061"/>
    </row>
    <row r="64062" spans="3:13" ht="12.75" customHeight="1" x14ac:dyDescent="0.25">
      <c r="C64062"/>
      <c r="M64062"/>
    </row>
    <row r="64063" spans="3:13" ht="12.75" customHeight="1" x14ac:dyDescent="0.25">
      <c r="C64063"/>
      <c r="M64063"/>
    </row>
    <row r="64064" spans="3:13" ht="12.75" customHeight="1" x14ac:dyDescent="0.25">
      <c r="C64064"/>
      <c r="M64064"/>
    </row>
    <row r="64065" spans="3:13" ht="12.75" customHeight="1" x14ac:dyDescent="0.25">
      <c r="C64065"/>
      <c r="M64065"/>
    </row>
    <row r="64066" spans="3:13" ht="12.75" customHeight="1" x14ac:dyDescent="0.25">
      <c r="C64066"/>
      <c r="M64066"/>
    </row>
    <row r="64067" spans="3:13" ht="12.75" customHeight="1" x14ac:dyDescent="0.25">
      <c r="C64067"/>
      <c r="M64067"/>
    </row>
    <row r="64068" spans="3:13" ht="12.75" customHeight="1" x14ac:dyDescent="0.25">
      <c r="C64068"/>
      <c r="M64068"/>
    </row>
    <row r="64069" spans="3:13" ht="12.75" customHeight="1" x14ac:dyDescent="0.25">
      <c r="C64069"/>
      <c r="M64069"/>
    </row>
    <row r="64070" spans="3:13" ht="12.75" customHeight="1" x14ac:dyDescent="0.25">
      <c r="C64070"/>
      <c r="M64070"/>
    </row>
    <row r="64071" spans="3:13" ht="12.75" customHeight="1" x14ac:dyDescent="0.25">
      <c r="C64071"/>
      <c r="M64071"/>
    </row>
    <row r="64072" spans="3:13" ht="12.75" customHeight="1" x14ac:dyDescent="0.25">
      <c r="C64072"/>
      <c r="M64072"/>
    </row>
    <row r="64073" spans="3:13" ht="12.75" customHeight="1" x14ac:dyDescent="0.25">
      <c r="C64073"/>
      <c r="M64073"/>
    </row>
    <row r="64074" spans="3:13" ht="12.75" customHeight="1" x14ac:dyDescent="0.25">
      <c r="C64074"/>
      <c r="M64074"/>
    </row>
    <row r="64075" spans="3:13" ht="12.75" customHeight="1" x14ac:dyDescent="0.25">
      <c r="C64075"/>
      <c r="M64075"/>
    </row>
    <row r="64076" spans="3:13" ht="12.75" customHeight="1" x14ac:dyDescent="0.25">
      <c r="C64076"/>
      <c r="M64076"/>
    </row>
    <row r="64077" spans="3:13" ht="12.75" customHeight="1" x14ac:dyDescent="0.25">
      <c r="C64077"/>
      <c r="M64077"/>
    </row>
    <row r="64078" spans="3:13" ht="12.75" customHeight="1" x14ac:dyDescent="0.25">
      <c r="C64078"/>
      <c r="M64078"/>
    </row>
    <row r="64079" spans="3:13" ht="12.75" customHeight="1" x14ac:dyDescent="0.25">
      <c r="C64079"/>
      <c r="M64079"/>
    </row>
    <row r="64080" spans="3:13" ht="12.75" customHeight="1" x14ac:dyDescent="0.25">
      <c r="C64080"/>
      <c r="M64080"/>
    </row>
    <row r="64081" spans="3:13" ht="12.75" customHeight="1" x14ac:dyDescent="0.25">
      <c r="C64081"/>
      <c r="M64081"/>
    </row>
    <row r="64082" spans="3:13" ht="12.75" customHeight="1" x14ac:dyDescent="0.25">
      <c r="C64082"/>
      <c r="M64082"/>
    </row>
    <row r="64083" spans="3:13" ht="12.75" customHeight="1" x14ac:dyDescent="0.25">
      <c r="C64083"/>
      <c r="M64083"/>
    </row>
    <row r="64084" spans="3:13" ht="12.75" customHeight="1" x14ac:dyDescent="0.25">
      <c r="C64084"/>
      <c r="M64084"/>
    </row>
    <row r="64085" spans="3:13" ht="12.75" customHeight="1" x14ac:dyDescent="0.25">
      <c r="C64085"/>
      <c r="M64085"/>
    </row>
    <row r="64086" spans="3:13" ht="12.75" customHeight="1" x14ac:dyDescent="0.25">
      <c r="C64086"/>
      <c r="M64086"/>
    </row>
    <row r="64087" spans="3:13" ht="12.75" customHeight="1" x14ac:dyDescent="0.25">
      <c r="C64087"/>
      <c r="M64087"/>
    </row>
    <row r="64088" spans="3:13" ht="12.75" customHeight="1" x14ac:dyDescent="0.25">
      <c r="C64088"/>
      <c r="M64088"/>
    </row>
    <row r="64089" spans="3:13" ht="12.75" customHeight="1" x14ac:dyDescent="0.25">
      <c r="C64089"/>
      <c r="M64089"/>
    </row>
    <row r="64090" spans="3:13" ht="12.75" customHeight="1" x14ac:dyDescent="0.25">
      <c r="C64090"/>
      <c r="M64090"/>
    </row>
    <row r="64091" spans="3:13" ht="12.75" customHeight="1" x14ac:dyDescent="0.25">
      <c r="C64091"/>
      <c r="M64091"/>
    </row>
    <row r="64092" spans="3:13" ht="12.75" customHeight="1" x14ac:dyDescent="0.25">
      <c r="C64092"/>
      <c r="M64092"/>
    </row>
    <row r="64093" spans="3:13" ht="12.75" customHeight="1" x14ac:dyDescent="0.25">
      <c r="C64093"/>
      <c r="M64093"/>
    </row>
    <row r="64094" spans="3:13" ht="12.75" customHeight="1" x14ac:dyDescent="0.25">
      <c r="C64094"/>
      <c r="M64094"/>
    </row>
    <row r="64095" spans="3:13" ht="12.75" customHeight="1" x14ac:dyDescent="0.25">
      <c r="C64095"/>
      <c r="M64095"/>
    </row>
    <row r="64096" spans="3:13" ht="12.75" customHeight="1" x14ac:dyDescent="0.25">
      <c r="C64096"/>
      <c r="M64096"/>
    </row>
    <row r="64097" spans="3:13" ht="12.75" customHeight="1" x14ac:dyDescent="0.25">
      <c r="C64097"/>
      <c r="M64097"/>
    </row>
    <row r="64098" spans="3:13" ht="12.75" customHeight="1" x14ac:dyDescent="0.25">
      <c r="C64098"/>
      <c r="M64098"/>
    </row>
    <row r="64099" spans="3:13" ht="12.75" customHeight="1" x14ac:dyDescent="0.25">
      <c r="C64099"/>
      <c r="M64099"/>
    </row>
    <row r="64100" spans="3:13" ht="12.75" customHeight="1" x14ac:dyDescent="0.25">
      <c r="C64100"/>
      <c r="M64100"/>
    </row>
    <row r="64101" spans="3:13" ht="12.75" customHeight="1" x14ac:dyDescent="0.25">
      <c r="C64101"/>
      <c r="M64101"/>
    </row>
    <row r="64102" spans="3:13" ht="12.75" customHeight="1" x14ac:dyDescent="0.25">
      <c r="C64102"/>
      <c r="M64102"/>
    </row>
    <row r="64103" spans="3:13" ht="12.75" customHeight="1" x14ac:dyDescent="0.25">
      <c r="C64103"/>
      <c r="M64103"/>
    </row>
    <row r="64104" spans="3:13" ht="12.75" customHeight="1" x14ac:dyDescent="0.25">
      <c r="C64104"/>
      <c r="M64104"/>
    </row>
    <row r="64105" spans="3:13" ht="12.75" customHeight="1" x14ac:dyDescent="0.25">
      <c r="C64105"/>
      <c r="M64105"/>
    </row>
    <row r="64106" spans="3:13" ht="12.75" customHeight="1" x14ac:dyDescent="0.25">
      <c r="C64106"/>
      <c r="M64106"/>
    </row>
    <row r="64107" spans="3:13" ht="12.75" customHeight="1" x14ac:dyDescent="0.25">
      <c r="C64107"/>
      <c r="M64107"/>
    </row>
    <row r="64108" spans="3:13" ht="12.75" customHeight="1" x14ac:dyDescent="0.25">
      <c r="C64108"/>
      <c r="M64108"/>
    </row>
    <row r="64109" spans="3:13" ht="12.75" customHeight="1" x14ac:dyDescent="0.25">
      <c r="C64109"/>
      <c r="M64109"/>
    </row>
    <row r="64110" spans="3:13" ht="12.75" customHeight="1" x14ac:dyDescent="0.25">
      <c r="C64110"/>
      <c r="M64110"/>
    </row>
    <row r="64111" spans="3:13" ht="12.75" customHeight="1" x14ac:dyDescent="0.25">
      <c r="C64111"/>
      <c r="M64111"/>
    </row>
    <row r="64112" spans="3:13" ht="12.75" customHeight="1" x14ac:dyDescent="0.25">
      <c r="C64112"/>
      <c r="M64112"/>
    </row>
    <row r="64113" spans="3:13" ht="12.75" customHeight="1" x14ac:dyDescent="0.25">
      <c r="C64113"/>
      <c r="M64113"/>
    </row>
    <row r="64114" spans="3:13" ht="12.75" customHeight="1" x14ac:dyDescent="0.25">
      <c r="C64114"/>
      <c r="M64114"/>
    </row>
    <row r="64115" spans="3:13" ht="12.75" customHeight="1" x14ac:dyDescent="0.25">
      <c r="C64115"/>
      <c r="M64115"/>
    </row>
    <row r="64116" spans="3:13" ht="12.75" customHeight="1" x14ac:dyDescent="0.25">
      <c r="C64116"/>
      <c r="M64116"/>
    </row>
    <row r="64117" spans="3:13" ht="12.75" customHeight="1" x14ac:dyDescent="0.25">
      <c r="C64117"/>
      <c r="M64117"/>
    </row>
    <row r="64118" spans="3:13" ht="12.75" customHeight="1" x14ac:dyDescent="0.25">
      <c r="C64118"/>
      <c r="M64118"/>
    </row>
    <row r="64119" spans="3:13" ht="12.75" customHeight="1" x14ac:dyDescent="0.25">
      <c r="C64119"/>
      <c r="M64119"/>
    </row>
    <row r="64120" spans="3:13" ht="12.75" customHeight="1" x14ac:dyDescent="0.25">
      <c r="C64120"/>
      <c r="M64120"/>
    </row>
    <row r="64121" spans="3:13" ht="12.75" customHeight="1" x14ac:dyDescent="0.25">
      <c r="C64121"/>
      <c r="M64121"/>
    </row>
    <row r="64122" spans="3:13" ht="12.75" customHeight="1" x14ac:dyDescent="0.25">
      <c r="C64122"/>
      <c r="M64122"/>
    </row>
    <row r="64123" spans="3:13" ht="12.75" customHeight="1" x14ac:dyDescent="0.25">
      <c r="C64123"/>
      <c r="M64123"/>
    </row>
    <row r="64124" spans="3:13" ht="12.75" customHeight="1" x14ac:dyDescent="0.25">
      <c r="C64124"/>
      <c r="M64124"/>
    </row>
    <row r="64125" spans="3:13" ht="12.75" customHeight="1" x14ac:dyDescent="0.25">
      <c r="C64125"/>
      <c r="M64125"/>
    </row>
    <row r="64126" spans="3:13" ht="12.75" customHeight="1" x14ac:dyDescent="0.25">
      <c r="C64126"/>
      <c r="M64126"/>
    </row>
    <row r="64127" spans="3:13" ht="12.75" customHeight="1" x14ac:dyDescent="0.25">
      <c r="C64127"/>
      <c r="M64127"/>
    </row>
    <row r="64128" spans="3:13" ht="12.75" customHeight="1" x14ac:dyDescent="0.25">
      <c r="C64128"/>
      <c r="M64128"/>
    </row>
    <row r="64129" spans="3:13" ht="12.75" customHeight="1" x14ac:dyDescent="0.25">
      <c r="C64129"/>
      <c r="M64129"/>
    </row>
    <row r="64130" spans="3:13" ht="12.75" customHeight="1" x14ac:dyDescent="0.25">
      <c r="C64130"/>
      <c r="M64130"/>
    </row>
    <row r="64131" spans="3:13" ht="12.75" customHeight="1" x14ac:dyDescent="0.25">
      <c r="C64131"/>
      <c r="M64131"/>
    </row>
    <row r="64132" spans="3:13" ht="12.75" customHeight="1" x14ac:dyDescent="0.25">
      <c r="C64132"/>
      <c r="M64132"/>
    </row>
    <row r="64133" spans="3:13" ht="12.75" customHeight="1" x14ac:dyDescent="0.25">
      <c r="C64133"/>
      <c r="M64133"/>
    </row>
    <row r="64134" spans="3:13" ht="12.75" customHeight="1" x14ac:dyDescent="0.25">
      <c r="C64134"/>
      <c r="M64134"/>
    </row>
    <row r="64135" spans="3:13" ht="12.75" customHeight="1" x14ac:dyDescent="0.25">
      <c r="C64135"/>
      <c r="M64135"/>
    </row>
    <row r="64136" spans="3:13" ht="12.75" customHeight="1" x14ac:dyDescent="0.25">
      <c r="C64136"/>
      <c r="M64136"/>
    </row>
    <row r="64137" spans="3:13" ht="12.75" customHeight="1" x14ac:dyDescent="0.25">
      <c r="C64137"/>
      <c r="M64137"/>
    </row>
    <row r="64138" spans="3:13" ht="12.75" customHeight="1" x14ac:dyDescent="0.25">
      <c r="C64138"/>
      <c r="M64138"/>
    </row>
    <row r="64139" spans="3:13" ht="12.75" customHeight="1" x14ac:dyDescent="0.25">
      <c r="C64139"/>
      <c r="M64139"/>
    </row>
    <row r="64140" spans="3:13" ht="12.75" customHeight="1" x14ac:dyDescent="0.25">
      <c r="C64140"/>
      <c r="M64140"/>
    </row>
    <row r="64141" spans="3:13" ht="12.75" customHeight="1" x14ac:dyDescent="0.25">
      <c r="C64141"/>
      <c r="M64141"/>
    </row>
    <row r="64142" spans="3:13" ht="12.75" customHeight="1" x14ac:dyDescent="0.25">
      <c r="C64142"/>
      <c r="M64142"/>
    </row>
    <row r="64143" spans="3:13" ht="12.75" customHeight="1" x14ac:dyDescent="0.25">
      <c r="C64143"/>
      <c r="M64143"/>
    </row>
    <row r="64144" spans="3:13" ht="12.75" customHeight="1" x14ac:dyDescent="0.25">
      <c r="C64144"/>
      <c r="M64144"/>
    </row>
    <row r="64145" spans="3:13" ht="12.75" customHeight="1" x14ac:dyDescent="0.25">
      <c r="C64145"/>
      <c r="M64145"/>
    </row>
    <row r="64146" spans="3:13" ht="12.75" customHeight="1" x14ac:dyDescent="0.25">
      <c r="C64146"/>
      <c r="M64146"/>
    </row>
    <row r="64147" spans="3:13" ht="12.75" customHeight="1" x14ac:dyDescent="0.25">
      <c r="C64147"/>
      <c r="M64147"/>
    </row>
    <row r="64148" spans="3:13" ht="12.75" customHeight="1" x14ac:dyDescent="0.25">
      <c r="C64148"/>
      <c r="M64148"/>
    </row>
    <row r="64149" spans="3:13" ht="12.75" customHeight="1" x14ac:dyDescent="0.25">
      <c r="C64149"/>
      <c r="M64149"/>
    </row>
    <row r="64150" spans="3:13" ht="12.75" customHeight="1" x14ac:dyDescent="0.25">
      <c r="C64150"/>
      <c r="M64150"/>
    </row>
    <row r="64151" spans="3:13" ht="12.75" customHeight="1" x14ac:dyDescent="0.25">
      <c r="C64151"/>
      <c r="M64151"/>
    </row>
    <row r="64152" spans="3:13" ht="12.75" customHeight="1" x14ac:dyDescent="0.25">
      <c r="C64152"/>
      <c r="M64152"/>
    </row>
    <row r="64153" spans="3:13" ht="12.75" customHeight="1" x14ac:dyDescent="0.25">
      <c r="C64153"/>
      <c r="M64153"/>
    </row>
    <row r="64154" spans="3:13" ht="12.75" customHeight="1" x14ac:dyDescent="0.25">
      <c r="C64154"/>
      <c r="M64154"/>
    </row>
    <row r="64155" spans="3:13" ht="12.75" customHeight="1" x14ac:dyDescent="0.25">
      <c r="C64155"/>
      <c r="M64155"/>
    </row>
    <row r="64156" spans="3:13" ht="12.75" customHeight="1" x14ac:dyDescent="0.25">
      <c r="C64156"/>
      <c r="M64156"/>
    </row>
    <row r="64157" spans="3:13" ht="12.75" customHeight="1" x14ac:dyDescent="0.25">
      <c r="C64157"/>
      <c r="M64157"/>
    </row>
    <row r="64158" spans="3:13" ht="12.75" customHeight="1" x14ac:dyDescent="0.25">
      <c r="C64158"/>
      <c r="M64158"/>
    </row>
    <row r="64159" spans="3:13" ht="12.75" customHeight="1" x14ac:dyDescent="0.25">
      <c r="C64159"/>
      <c r="M64159"/>
    </row>
    <row r="64160" spans="3:13" ht="12.75" customHeight="1" x14ac:dyDescent="0.25">
      <c r="C64160"/>
      <c r="M64160"/>
    </row>
    <row r="64161" spans="3:13" ht="12.75" customHeight="1" x14ac:dyDescent="0.25">
      <c r="C64161"/>
      <c r="M64161"/>
    </row>
    <row r="64162" spans="3:13" ht="12.75" customHeight="1" x14ac:dyDescent="0.25">
      <c r="C64162"/>
      <c r="M64162"/>
    </row>
    <row r="64163" spans="3:13" ht="12.75" customHeight="1" x14ac:dyDescent="0.25">
      <c r="C64163"/>
      <c r="M64163"/>
    </row>
    <row r="64164" spans="3:13" ht="12.75" customHeight="1" x14ac:dyDescent="0.25">
      <c r="C64164"/>
      <c r="M64164"/>
    </row>
    <row r="64165" spans="3:13" ht="12.75" customHeight="1" x14ac:dyDescent="0.25">
      <c r="C64165"/>
      <c r="M64165"/>
    </row>
    <row r="64166" spans="3:13" ht="12.75" customHeight="1" x14ac:dyDescent="0.25">
      <c r="C64166"/>
      <c r="M64166"/>
    </row>
    <row r="64167" spans="3:13" ht="12.75" customHeight="1" x14ac:dyDescent="0.25">
      <c r="C64167"/>
      <c r="M64167"/>
    </row>
    <row r="64168" spans="3:13" ht="12.75" customHeight="1" x14ac:dyDescent="0.25">
      <c r="C64168"/>
      <c r="M64168"/>
    </row>
    <row r="64169" spans="3:13" ht="12.75" customHeight="1" x14ac:dyDescent="0.25">
      <c r="C64169"/>
      <c r="M64169"/>
    </row>
    <row r="64170" spans="3:13" ht="12.75" customHeight="1" x14ac:dyDescent="0.25">
      <c r="C64170"/>
      <c r="M64170"/>
    </row>
    <row r="64171" spans="3:13" ht="12.75" customHeight="1" x14ac:dyDescent="0.25">
      <c r="C64171"/>
      <c r="M64171"/>
    </row>
    <row r="64172" spans="3:13" ht="12.75" customHeight="1" x14ac:dyDescent="0.25">
      <c r="C64172"/>
      <c r="M64172"/>
    </row>
    <row r="64173" spans="3:13" ht="12.75" customHeight="1" x14ac:dyDescent="0.25">
      <c r="C64173"/>
      <c r="M64173"/>
    </row>
    <row r="64174" spans="3:13" ht="12.75" customHeight="1" x14ac:dyDescent="0.25">
      <c r="C64174"/>
      <c r="M64174"/>
    </row>
    <row r="64175" spans="3:13" ht="12.75" customHeight="1" x14ac:dyDescent="0.25">
      <c r="C64175"/>
      <c r="M64175"/>
    </row>
    <row r="64176" spans="3:13" ht="12.75" customHeight="1" x14ac:dyDescent="0.25">
      <c r="C64176"/>
      <c r="M64176"/>
    </row>
    <row r="64177" spans="3:13" ht="12.75" customHeight="1" x14ac:dyDescent="0.25">
      <c r="C64177"/>
      <c r="M64177"/>
    </row>
    <row r="64178" spans="3:13" ht="12.75" customHeight="1" x14ac:dyDescent="0.25">
      <c r="C64178"/>
      <c r="M64178"/>
    </row>
    <row r="64179" spans="3:13" ht="12.75" customHeight="1" x14ac:dyDescent="0.25">
      <c r="C64179"/>
      <c r="M64179"/>
    </row>
    <row r="64180" spans="3:13" ht="12.75" customHeight="1" x14ac:dyDescent="0.25">
      <c r="C64180"/>
      <c r="M64180"/>
    </row>
    <row r="64181" spans="3:13" ht="12.75" customHeight="1" x14ac:dyDescent="0.25">
      <c r="C64181"/>
      <c r="M64181"/>
    </row>
    <row r="64182" spans="3:13" ht="12.75" customHeight="1" x14ac:dyDescent="0.25">
      <c r="C64182"/>
      <c r="M64182"/>
    </row>
    <row r="64183" spans="3:13" ht="12.75" customHeight="1" x14ac:dyDescent="0.25">
      <c r="C64183"/>
      <c r="M64183"/>
    </row>
    <row r="64184" spans="3:13" ht="12.75" customHeight="1" x14ac:dyDescent="0.25">
      <c r="C64184"/>
      <c r="M64184"/>
    </row>
    <row r="64185" spans="3:13" ht="12.75" customHeight="1" x14ac:dyDescent="0.25">
      <c r="C64185"/>
      <c r="M64185"/>
    </row>
    <row r="64186" spans="3:13" ht="12.75" customHeight="1" x14ac:dyDescent="0.25">
      <c r="C64186"/>
      <c r="M64186"/>
    </row>
    <row r="64187" spans="3:13" ht="12.75" customHeight="1" x14ac:dyDescent="0.25">
      <c r="C64187"/>
      <c r="M64187"/>
    </row>
    <row r="64188" spans="3:13" ht="12.75" customHeight="1" x14ac:dyDescent="0.25">
      <c r="C64188"/>
      <c r="M64188"/>
    </row>
    <row r="64189" spans="3:13" ht="12.75" customHeight="1" x14ac:dyDescent="0.25">
      <c r="C64189"/>
      <c r="M64189"/>
    </row>
    <row r="64190" spans="3:13" ht="12.75" customHeight="1" x14ac:dyDescent="0.25">
      <c r="C64190"/>
      <c r="M64190"/>
    </row>
    <row r="64191" spans="3:13" ht="12.75" customHeight="1" x14ac:dyDescent="0.25">
      <c r="C64191"/>
      <c r="M64191"/>
    </row>
    <row r="64192" spans="3:13" ht="12.75" customHeight="1" x14ac:dyDescent="0.25">
      <c r="C64192"/>
      <c r="M64192"/>
    </row>
    <row r="64193" spans="3:13" ht="12.75" customHeight="1" x14ac:dyDescent="0.25">
      <c r="C64193"/>
      <c r="M64193"/>
    </row>
    <row r="64194" spans="3:13" ht="12.75" customHeight="1" x14ac:dyDescent="0.25">
      <c r="C64194"/>
      <c r="M64194"/>
    </row>
    <row r="64195" spans="3:13" ht="12.75" customHeight="1" x14ac:dyDescent="0.25">
      <c r="C64195"/>
      <c r="M64195"/>
    </row>
    <row r="64196" spans="3:13" ht="12.75" customHeight="1" x14ac:dyDescent="0.25">
      <c r="C64196"/>
      <c r="M64196"/>
    </row>
    <row r="64197" spans="3:13" ht="12.75" customHeight="1" x14ac:dyDescent="0.25">
      <c r="C64197"/>
      <c r="M64197"/>
    </row>
    <row r="64198" spans="3:13" ht="12.75" customHeight="1" x14ac:dyDescent="0.25">
      <c r="C64198"/>
      <c r="M64198"/>
    </row>
    <row r="64199" spans="3:13" ht="12.75" customHeight="1" x14ac:dyDescent="0.25">
      <c r="C64199"/>
      <c r="M64199"/>
    </row>
    <row r="64200" spans="3:13" ht="12.75" customHeight="1" x14ac:dyDescent="0.25">
      <c r="C64200"/>
      <c r="M64200"/>
    </row>
    <row r="64201" spans="3:13" ht="12.75" customHeight="1" x14ac:dyDescent="0.25">
      <c r="C64201"/>
      <c r="M64201"/>
    </row>
    <row r="64202" spans="3:13" ht="12.75" customHeight="1" x14ac:dyDescent="0.25">
      <c r="C64202"/>
      <c r="M64202"/>
    </row>
    <row r="64203" spans="3:13" ht="12.75" customHeight="1" x14ac:dyDescent="0.25">
      <c r="C64203"/>
      <c r="M64203"/>
    </row>
    <row r="64204" spans="3:13" ht="12.75" customHeight="1" x14ac:dyDescent="0.25">
      <c r="C64204"/>
      <c r="M64204"/>
    </row>
    <row r="64205" spans="3:13" ht="12.75" customHeight="1" x14ac:dyDescent="0.25">
      <c r="C64205"/>
      <c r="M64205"/>
    </row>
    <row r="64206" spans="3:13" ht="12.75" customHeight="1" x14ac:dyDescent="0.25">
      <c r="C64206"/>
      <c r="M64206"/>
    </row>
    <row r="64207" spans="3:13" ht="12.75" customHeight="1" x14ac:dyDescent="0.25">
      <c r="C64207"/>
      <c r="M64207"/>
    </row>
    <row r="64208" spans="3:13" ht="12.75" customHeight="1" x14ac:dyDescent="0.25">
      <c r="C64208"/>
      <c r="M64208"/>
    </row>
    <row r="64209" spans="3:13" ht="12.75" customHeight="1" x14ac:dyDescent="0.25">
      <c r="C64209"/>
      <c r="M64209"/>
    </row>
    <row r="64210" spans="3:13" ht="12.75" customHeight="1" x14ac:dyDescent="0.25">
      <c r="C64210"/>
      <c r="M64210"/>
    </row>
    <row r="64211" spans="3:13" ht="12.75" customHeight="1" x14ac:dyDescent="0.25">
      <c r="C64211"/>
      <c r="M64211"/>
    </row>
    <row r="64212" spans="3:13" ht="12.75" customHeight="1" x14ac:dyDescent="0.25">
      <c r="C64212"/>
      <c r="M64212"/>
    </row>
    <row r="64213" spans="3:13" ht="12.75" customHeight="1" x14ac:dyDescent="0.25">
      <c r="C64213"/>
      <c r="M64213"/>
    </row>
    <row r="64214" spans="3:13" ht="12.75" customHeight="1" x14ac:dyDescent="0.25">
      <c r="C64214"/>
      <c r="M64214"/>
    </row>
    <row r="64215" spans="3:13" ht="12.75" customHeight="1" x14ac:dyDescent="0.25">
      <c r="C64215"/>
      <c r="M64215"/>
    </row>
    <row r="64216" spans="3:13" ht="12.75" customHeight="1" x14ac:dyDescent="0.25">
      <c r="C64216"/>
      <c r="M64216"/>
    </row>
    <row r="64217" spans="3:13" ht="12.75" customHeight="1" x14ac:dyDescent="0.25">
      <c r="C64217"/>
      <c r="M64217"/>
    </row>
    <row r="64218" spans="3:13" ht="12.75" customHeight="1" x14ac:dyDescent="0.25">
      <c r="C64218"/>
      <c r="M64218"/>
    </row>
    <row r="64219" spans="3:13" ht="12.75" customHeight="1" x14ac:dyDescent="0.25">
      <c r="C64219"/>
      <c r="M64219"/>
    </row>
    <row r="64220" spans="3:13" ht="12.75" customHeight="1" x14ac:dyDescent="0.25">
      <c r="C64220"/>
      <c r="M64220"/>
    </row>
    <row r="64221" spans="3:13" ht="12.75" customHeight="1" x14ac:dyDescent="0.25">
      <c r="C64221"/>
      <c r="M64221"/>
    </row>
    <row r="64222" spans="3:13" ht="12.75" customHeight="1" x14ac:dyDescent="0.25">
      <c r="C64222"/>
      <c r="M64222"/>
    </row>
    <row r="64223" spans="3:13" ht="12.75" customHeight="1" x14ac:dyDescent="0.25">
      <c r="C64223"/>
      <c r="M64223"/>
    </row>
    <row r="64224" spans="3:13" ht="12.75" customHeight="1" x14ac:dyDescent="0.25">
      <c r="C64224"/>
      <c r="M64224"/>
    </row>
    <row r="64225" spans="3:13" ht="12.75" customHeight="1" x14ac:dyDescent="0.25">
      <c r="C64225"/>
      <c r="M64225"/>
    </row>
    <row r="64226" spans="3:13" ht="12.75" customHeight="1" x14ac:dyDescent="0.25">
      <c r="C64226"/>
      <c r="M64226"/>
    </row>
    <row r="64227" spans="3:13" ht="12.75" customHeight="1" x14ac:dyDescent="0.25">
      <c r="C64227"/>
      <c r="M64227"/>
    </row>
    <row r="64228" spans="3:13" ht="12.75" customHeight="1" x14ac:dyDescent="0.25">
      <c r="C64228"/>
      <c r="M64228"/>
    </row>
    <row r="64229" spans="3:13" ht="12.75" customHeight="1" x14ac:dyDescent="0.25">
      <c r="C64229"/>
      <c r="M64229"/>
    </row>
    <row r="64230" spans="3:13" ht="12.75" customHeight="1" x14ac:dyDescent="0.25">
      <c r="C64230"/>
      <c r="M64230"/>
    </row>
    <row r="64231" spans="3:13" ht="12.75" customHeight="1" x14ac:dyDescent="0.25">
      <c r="C64231"/>
      <c r="M64231"/>
    </row>
    <row r="64232" spans="3:13" ht="12.75" customHeight="1" x14ac:dyDescent="0.25">
      <c r="C64232"/>
      <c r="M64232"/>
    </row>
    <row r="64233" spans="3:13" ht="12.75" customHeight="1" x14ac:dyDescent="0.25">
      <c r="C64233"/>
      <c r="M64233"/>
    </row>
    <row r="64234" spans="3:13" ht="12.75" customHeight="1" x14ac:dyDescent="0.25">
      <c r="C64234"/>
      <c r="M64234"/>
    </row>
    <row r="64235" spans="3:13" ht="12.75" customHeight="1" x14ac:dyDescent="0.25">
      <c r="C64235"/>
      <c r="M64235"/>
    </row>
    <row r="64236" spans="3:13" ht="12.75" customHeight="1" x14ac:dyDescent="0.25">
      <c r="C64236"/>
      <c r="M64236"/>
    </row>
    <row r="64237" spans="3:13" ht="12.75" customHeight="1" x14ac:dyDescent="0.25">
      <c r="C64237"/>
      <c r="M64237"/>
    </row>
    <row r="64238" spans="3:13" ht="12.75" customHeight="1" x14ac:dyDescent="0.25">
      <c r="C64238"/>
      <c r="M64238"/>
    </row>
    <row r="64239" spans="3:13" ht="12.75" customHeight="1" x14ac:dyDescent="0.25">
      <c r="C64239"/>
      <c r="M64239"/>
    </row>
    <row r="64240" spans="3:13" ht="12.75" customHeight="1" x14ac:dyDescent="0.25">
      <c r="C64240"/>
      <c r="M64240"/>
    </row>
    <row r="64241" spans="3:13" ht="12.75" customHeight="1" x14ac:dyDescent="0.25">
      <c r="C64241"/>
      <c r="M64241"/>
    </row>
    <row r="64242" spans="3:13" ht="12.75" customHeight="1" x14ac:dyDescent="0.25">
      <c r="C64242"/>
      <c r="M64242"/>
    </row>
    <row r="64243" spans="3:13" ht="12.75" customHeight="1" x14ac:dyDescent="0.25">
      <c r="C64243"/>
      <c r="M64243"/>
    </row>
    <row r="64244" spans="3:13" ht="12.75" customHeight="1" x14ac:dyDescent="0.25">
      <c r="C64244"/>
      <c r="M64244"/>
    </row>
    <row r="64245" spans="3:13" ht="12.75" customHeight="1" x14ac:dyDescent="0.25">
      <c r="C64245"/>
      <c r="M64245"/>
    </row>
    <row r="64246" spans="3:13" ht="12.75" customHeight="1" x14ac:dyDescent="0.25">
      <c r="C64246"/>
      <c r="M64246"/>
    </row>
    <row r="64247" spans="3:13" ht="12.75" customHeight="1" x14ac:dyDescent="0.25">
      <c r="C64247"/>
      <c r="M64247"/>
    </row>
    <row r="64248" spans="3:13" ht="12.75" customHeight="1" x14ac:dyDescent="0.25">
      <c r="C64248"/>
      <c r="M64248"/>
    </row>
    <row r="64249" spans="3:13" ht="12.75" customHeight="1" x14ac:dyDescent="0.25">
      <c r="C64249"/>
      <c r="M64249"/>
    </row>
    <row r="64250" spans="3:13" ht="12.75" customHeight="1" x14ac:dyDescent="0.25">
      <c r="C64250"/>
      <c r="M64250"/>
    </row>
    <row r="64251" spans="3:13" ht="12.75" customHeight="1" x14ac:dyDescent="0.25">
      <c r="C64251"/>
      <c r="M64251"/>
    </row>
    <row r="64252" spans="3:13" ht="12.75" customHeight="1" x14ac:dyDescent="0.25">
      <c r="C64252"/>
      <c r="M64252"/>
    </row>
    <row r="64253" spans="3:13" ht="12.75" customHeight="1" x14ac:dyDescent="0.25">
      <c r="C64253"/>
      <c r="M64253"/>
    </row>
    <row r="64254" spans="3:13" ht="12.75" customHeight="1" x14ac:dyDescent="0.25">
      <c r="C64254"/>
      <c r="M64254"/>
    </row>
    <row r="64255" spans="3:13" ht="12.75" customHeight="1" x14ac:dyDescent="0.25">
      <c r="C64255"/>
      <c r="M64255"/>
    </row>
    <row r="64256" spans="3:13" ht="12.75" customHeight="1" x14ac:dyDescent="0.25">
      <c r="C64256"/>
      <c r="M64256"/>
    </row>
    <row r="64257" spans="3:13" ht="12.75" customHeight="1" x14ac:dyDescent="0.25">
      <c r="C64257"/>
      <c r="M64257"/>
    </row>
    <row r="64258" spans="3:13" ht="12.75" customHeight="1" x14ac:dyDescent="0.25">
      <c r="C64258"/>
      <c r="M64258"/>
    </row>
    <row r="64259" spans="3:13" ht="12.75" customHeight="1" x14ac:dyDescent="0.25">
      <c r="C64259"/>
      <c r="M64259"/>
    </row>
    <row r="64260" spans="3:13" ht="12.75" customHeight="1" x14ac:dyDescent="0.25">
      <c r="C64260"/>
      <c r="M64260"/>
    </row>
    <row r="64261" spans="3:13" ht="12.75" customHeight="1" x14ac:dyDescent="0.25">
      <c r="C64261"/>
      <c r="M64261"/>
    </row>
    <row r="64262" spans="3:13" ht="12.75" customHeight="1" x14ac:dyDescent="0.25">
      <c r="C64262"/>
      <c r="M64262"/>
    </row>
    <row r="64263" spans="3:13" ht="12.75" customHeight="1" x14ac:dyDescent="0.25">
      <c r="C64263"/>
      <c r="M64263"/>
    </row>
    <row r="64264" spans="3:13" ht="12.75" customHeight="1" x14ac:dyDescent="0.25">
      <c r="C64264"/>
      <c r="M64264"/>
    </row>
    <row r="64265" spans="3:13" ht="12.75" customHeight="1" x14ac:dyDescent="0.25">
      <c r="C64265"/>
      <c r="M64265"/>
    </row>
    <row r="64266" spans="3:13" ht="12.75" customHeight="1" x14ac:dyDescent="0.25">
      <c r="C64266"/>
      <c r="M64266"/>
    </row>
    <row r="64267" spans="3:13" ht="12.75" customHeight="1" x14ac:dyDescent="0.25">
      <c r="C64267"/>
      <c r="M64267"/>
    </row>
    <row r="64268" spans="3:13" ht="12.75" customHeight="1" x14ac:dyDescent="0.25">
      <c r="C64268"/>
      <c r="M64268"/>
    </row>
    <row r="64269" spans="3:13" ht="12.75" customHeight="1" x14ac:dyDescent="0.25">
      <c r="C64269"/>
      <c r="M64269"/>
    </row>
    <row r="64270" spans="3:13" ht="12.75" customHeight="1" x14ac:dyDescent="0.25">
      <c r="C64270"/>
      <c r="M64270"/>
    </row>
    <row r="64271" spans="3:13" ht="12.75" customHeight="1" x14ac:dyDescent="0.25">
      <c r="C64271"/>
      <c r="M64271"/>
    </row>
    <row r="64272" spans="3:13" ht="12.75" customHeight="1" x14ac:dyDescent="0.25">
      <c r="C64272"/>
      <c r="M64272"/>
    </row>
    <row r="64273" spans="3:13" ht="12.75" customHeight="1" x14ac:dyDescent="0.25">
      <c r="C64273"/>
      <c r="M64273"/>
    </row>
    <row r="64274" spans="3:13" ht="12.75" customHeight="1" x14ac:dyDescent="0.25">
      <c r="C64274"/>
      <c r="M64274"/>
    </row>
    <row r="64275" spans="3:13" ht="12.75" customHeight="1" x14ac:dyDescent="0.25">
      <c r="C64275"/>
      <c r="M64275"/>
    </row>
    <row r="64276" spans="3:13" ht="12.75" customHeight="1" x14ac:dyDescent="0.25">
      <c r="C64276"/>
      <c r="M64276"/>
    </row>
    <row r="64277" spans="3:13" ht="12.75" customHeight="1" x14ac:dyDescent="0.25">
      <c r="C64277"/>
      <c r="M64277"/>
    </row>
    <row r="64278" spans="3:13" ht="12.75" customHeight="1" x14ac:dyDescent="0.25">
      <c r="C64278"/>
      <c r="M64278"/>
    </row>
    <row r="64279" spans="3:13" ht="12.75" customHeight="1" x14ac:dyDescent="0.25">
      <c r="C64279"/>
      <c r="M64279"/>
    </row>
    <row r="64280" spans="3:13" ht="12.75" customHeight="1" x14ac:dyDescent="0.25">
      <c r="C64280"/>
      <c r="M64280"/>
    </row>
    <row r="64281" spans="3:13" ht="12.75" customHeight="1" x14ac:dyDescent="0.25">
      <c r="C64281"/>
      <c r="M64281"/>
    </row>
    <row r="64282" spans="3:13" ht="12.75" customHeight="1" x14ac:dyDescent="0.25">
      <c r="C64282"/>
      <c r="M64282"/>
    </row>
    <row r="64283" spans="3:13" ht="12.75" customHeight="1" x14ac:dyDescent="0.25">
      <c r="C64283"/>
      <c r="M64283"/>
    </row>
    <row r="64284" spans="3:13" ht="12.75" customHeight="1" x14ac:dyDescent="0.25">
      <c r="C64284"/>
      <c r="M64284"/>
    </row>
    <row r="64285" spans="3:13" ht="12.75" customHeight="1" x14ac:dyDescent="0.25">
      <c r="C64285"/>
      <c r="M64285"/>
    </row>
    <row r="64286" spans="3:13" ht="12.75" customHeight="1" x14ac:dyDescent="0.25">
      <c r="C64286"/>
      <c r="M64286"/>
    </row>
    <row r="64287" spans="3:13" ht="12.75" customHeight="1" x14ac:dyDescent="0.25">
      <c r="C64287"/>
      <c r="M64287"/>
    </row>
    <row r="64288" spans="3:13" ht="12.75" customHeight="1" x14ac:dyDescent="0.25">
      <c r="C64288"/>
      <c r="M64288"/>
    </row>
    <row r="64289" spans="3:13" ht="12.75" customHeight="1" x14ac:dyDescent="0.25">
      <c r="C64289"/>
      <c r="M64289"/>
    </row>
    <row r="64290" spans="3:13" ht="12.75" customHeight="1" x14ac:dyDescent="0.25">
      <c r="C64290"/>
      <c r="M64290"/>
    </row>
    <row r="64291" spans="3:13" ht="12.75" customHeight="1" x14ac:dyDescent="0.25">
      <c r="C64291"/>
      <c r="M64291"/>
    </row>
    <row r="64292" spans="3:13" ht="12.75" customHeight="1" x14ac:dyDescent="0.25">
      <c r="C64292"/>
      <c r="M64292"/>
    </row>
    <row r="64293" spans="3:13" ht="12.75" customHeight="1" x14ac:dyDescent="0.25">
      <c r="C64293"/>
      <c r="M64293"/>
    </row>
    <row r="64294" spans="3:13" ht="12.75" customHeight="1" x14ac:dyDescent="0.25">
      <c r="C64294"/>
      <c r="M64294"/>
    </row>
    <row r="64295" spans="3:13" ht="12.75" customHeight="1" x14ac:dyDescent="0.25">
      <c r="C64295"/>
      <c r="M64295"/>
    </row>
    <row r="64296" spans="3:13" ht="12.75" customHeight="1" x14ac:dyDescent="0.25">
      <c r="C64296"/>
      <c r="M64296"/>
    </row>
    <row r="64297" spans="3:13" ht="12.75" customHeight="1" x14ac:dyDescent="0.25">
      <c r="C64297"/>
      <c r="M64297"/>
    </row>
    <row r="64298" spans="3:13" ht="12.75" customHeight="1" x14ac:dyDescent="0.25">
      <c r="C64298"/>
      <c r="M64298"/>
    </row>
    <row r="64299" spans="3:13" ht="12.75" customHeight="1" x14ac:dyDescent="0.25">
      <c r="C64299"/>
      <c r="M64299"/>
    </row>
    <row r="64300" spans="3:13" ht="12.75" customHeight="1" x14ac:dyDescent="0.25">
      <c r="C64300"/>
      <c r="M64300"/>
    </row>
    <row r="64301" spans="3:13" ht="12.75" customHeight="1" x14ac:dyDescent="0.25">
      <c r="C64301"/>
      <c r="M64301"/>
    </row>
    <row r="64302" spans="3:13" ht="12.75" customHeight="1" x14ac:dyDescent="0.25">
      <c r="C64302"/>
      <c r="M64302"/>
    </row>
    <row r="64303" spans="3:13" ht="12.75" customHeight="1" x14ac:dyDescent="0.25">
      <c r="C64303"/>
      <c r="M64303"/>
    </row>
    <row r="64304" spans="3:13" ht="12.75" customHeight="1" x14ac:dyDescent="0.25">
      <c r="C64304"/>
      <c r="M64304"/>
    </row>
    <row r="64305" spans="3:13" ht="12.75" customHeight="1" x14ac:dyDescent="0.25">
      <c r="C64305"/>
      <c r="M64305"/>
    </row>
    <row r="64306" spans="3:13" ht="12.75" customHeight="1" x14ac:dyDescent="0.25">
      <c r="C64306"/>
      <c r="M64306"/>
    </row>
    <row r="64307" spans="3:13" ht="12.75" customHeight="1" x14ac:dyDescent="0.25">
      <c r="C64307"/>
      <c r="M64307"/>
    </row>
    <row r="64308" spans="3:13" ht="12.75" customHeight="1" x14ac:dyDescent="0.25">
      <c r="C64308"/>
      <c r="M64308"/>
    </row>
    <row r="64309" spans="3:13" ht="12.75" customHeight="1" x14ac:dyDescent="0.25">
      <c r="C64309"/>
      <c r="M64309"/>
    </row>
    <row r="64310" spans="3:13" ht="12.75" customHeight="1" x14ac:dyDescent="0.25">
      <c r="C64310"/>
      <c r="M64310"/>
    </row>
    <row r="64311" spans="3:13" ht="12.75" customHeight="1" x14ac:dyDescent="0.25">
      <c r="C64311"/>
      <c r="M64311"/>
    </row>
    <row r="64312" spans="3:13" ht="12.75" customHeight="1" x14ac:dyDescent="0.25">
      <c r="C64312"/>
      <c r="M64312"/>
    </row>
    <row r="64313" spans="3:13" ht="12.75" customHeight="1" x14ac:dyDescent="0.25">
      <c r="C64313"/>
      <c r="M64313"/>
    </row>
    <row r="64314" spans="3:13" ht="12.75" customHeight="1" x14ac:dyDescent="0.25">
      <c r="C64314"/>
      <c r="M64314"/>
    </row>
    <row r="64315" spans="3:13" ht="12.75" customHeight="1" x14ac:dyDescent="0.25">
      <c r="C64315"/>
      <c r="M64315"/>
    </row>
    <row r="64316" spans="3:13" ht="12.75" customHeight="1" x14ac:dyDescent="0.25">
      <c r="C64316"/>
      <c r="M64316"/>
    </row>
    <row r="64317" spans="3:13" ht="12.75" customHeight="1" x14ac:dyDescent="0.25">
      <c r="C64317"/>
      <c r="M64317"/>
    </row>
    <row r="64318" spans="3:13" ht="12.75" customHeight="1" x14ac:dyDescent="0.25">
      <c r="C64318"/>
      <c r="M64318"/>
    </row>
    <row r="64319" spans="3:13" ht="12.75" customHeight="1" x14ac:dyDescent="0.25">
      <c r="C64319"/>
      <c r="M64319"/>
    </row>
    <row r="64320" spans="3:13" ht="12.75" customHeight="1" x14ac:dyDescent="0.25">
      <c r="C64320"/>
      <c r="M64320"/>
    </row>
    <row r="64321" spans="3:13" ht="12.75" customHeight="1" x14ac:dyDescent="0.25">
      <c r="C64321"/>
      <c r="M64321"/>
    </row>
    <row r="64322" spans="3:13" ht="12.75" customHeight="1" x14ac:dyDescent="0.25">
      <c r="C64322"/>
      <c r="M64322"/>
    </row>
    <row r="64323" spans="3:13" ht="12.75" customHeight="1" x14ac:dyDescent="0.25">
      <c r="C64323"/>
      <c r="M64323"/>
    </row>
    <row r="64324" spans="3:13" ht="12.75" customHeight="1" x14ac:dyDescent="0.25">
      <c r="C64324"/>
      <c r="M64324"/>
    </row>
    <row r="64325" spans="3:13" ht="12.75" customHeight="1" x14ac:dyDescent="0.25">
      <c r="C64325"/>
      <c r="M64325"/>
    </row>
    <row r="64326" spans="3:13" ht="12.75" customHeight="1" x14ac:dyDescent="0.25">
      <c r="C64326"/>
      <c r="M64326"/>
    </row>
    <row r="64327" spans="3:13" ht="12.75" customHeight="1" x14ac:dyDescent="0.25">
      <c r="C64327"/>
      <c r="M64327"/>
    </row>
    <row r="64328" spans="3:13" ht="12.75" customHeight="1" x14ac:dyDescent="0.25">
      <c r="C64328"/>
      <c r="M64328"/>
    </row>
    <row r="64329" spans="3:13" ht="12.75" customHeight="1" x14ac:dyDescent="0.25">
      <c r="C64329"/>
      <c r="M64329"/>
    </row>
    <row r="64330" spans="3:13" ht="12.75" customHeight="1" x14ac:dyDescent="0.25">
      <c r="C64330"/>
      <c r="M64330"/>
    </row>
    <row r="64331" spans="3:13" ht="12.75" customHeight="1" x14ac:dyDescent="0.25">
      <c r="C64331"/>
      <c r="M64331"/>
    </row>
    <row r="64332" spans="3:13" ht="12.75" customHeight="1" x14ac:dyDescent="0.25">
      <c r="C64332"/>
      <c r="M64332"/>
    </row>
    <row r="64333" spans="3:13" ht="12.75" customHeight="1" x14ac:dyDescent="0.25">
      <c r="C64333"/>
      <c r="M64333"/>
    </row>
    <row r="64334" spans="3:13" ht="12.75" customHeight="1" x14ac:dyDescent="0.25">
      <c r="C64334"/>
      <c r="M64334"/>
    </row>
    <row r="64335" spans="3:13" ht="12.75" customHeight="1" x14ac:dyDescent="0.25">
      <c r="C64335"/>
      <c r="M64335"/>
    </row>
    <row r="64336" spans="3:13" ht="12.75" customHeight="1" x14ac:dyDescent="0.25">
      <c r="C64336"/>
      <c r="M64336"/>
    </row>
    <row r="64337" spans="3:13" ht="12.75" customHeight="1" x14ac:dyDescent="0.25">
      <c r="C64337"/>
      <c r="M64337"/>
    </row>
    <row r="64338" spans="3:13" ht="12.75" customHeight="1" x14ac:dyDescent="0.25">
      <c r="C64338"/>
      <c r="M64338"/>
    </row>
    <row r="64339" spans="3:13" ht="12.75" customHeight="1" x14ac:dyDescent="0.25">
      <c r="C64339"/>
      <c r="M64339"/>
    </row>
    <row r="64340" spans="3:13" ht="12.75" customHeight="1" x14ac:dyDescent="0.25">
      <c r="C64340"/>
      <c r="M64340"/>
    </row>
    <row r="64341" spans="3:13" ht="12.75" customHeight="1" x14ac:dyDescent="0.25">
      <c r="C64341"/>
      <c r="M64341"/>
    </row>
    <row r="64342" spans="3:13" ht="12.75" customHeight="1" x14ac:dyDescent="0.25">
      <c r="C64342"/>
      <c r="M64342"/>
    </row>
    <row r="64343" spans="3:13" ht="12.75" customHeight="1" x14ac:dyDescent="0.25">
      <c r="C64343"/>
      <c r="M64343"/>
    </row>
    <row r="64344" spans="3:13" ht="12.75" customHeight="1" x14ac:dyDescent="0.25">
      <c r="C64344"/>
      <c r="M64344"/>
    </row>
    <row r="64345" spans="3:13" ht="12.75" customHeight="1" x14ac:dyDescent="0.25">
      <c r="C64345"/>
      <c r="M64345"/>
    </row>
    <row r="64346" spans="3:13" ht="12.75" customHeight="1" x14ac:dyDescent="0.25">
      <c r="C64346"/>
      <c r="M64346"/>
    </row>
    <row r="64347" spans="3:13" ht="12.75" customHeight="1" x14ac:dyDescent="0.25">
      <c r="C64347"/>
      <c r="M64347"/>
    </row>
    <row r="64348" spans="3:13" ht="12.75" customHeight="1" x14ac:dyDescent="0.25">
      <c r="C64348"/>
      <c r="M64348"/>
    </row>
    <row r="64349" spans="3:13" ht="12.75" customHeight="1" x14ac:dyDescent="0.25">
      <c r="C64349"/>
      <c r="M64349"/>
    </row>
    <row r="64350" spans="3:13" ht="12.75" customHeight="1" x14ac:dyDescent="0.25">
      <c r="C64350"/>
      <c r="M64350"/>
    </row>
    <row r="64351" spans="3:13" ht="12.75" customHeight="1" x14ac:dyDescent="0.25">
      <c r="C64351"/>
      <c r="M64351"/>
    </row>
    <row r="64352" spans="3:13" ht="12.75" customHeight="1" x14ac:dyDescent="0.25">
      <c r="C64352"/>
      <c r="M64352"/>
    </row>
    <row r="64353" spans="3:13" ht="12.75" customHeight="1" x14ac:dyDescent="0.25">
      <c r="C64353"/>
      <c r="M64353"/>
    </row>
    <row r="64354" spans="3:13" ht="12.75" customHeight="1" x14ac:dyDescent="0.25">
      <c r="C64354"/>
      <c r="M64354"/>
    </row>
    <row r="64355" spans="3:13" ht="12.75" customHeight="1" x14ac:dyDescent="0.25">
      <c r="C64355"/>
      <c r="M64355"/>
    </row>
    <row r="64356" spans="3:13" ht="12.75" customHeight="1" x14ac:dyDescent="0.25">
      <c r="C64356"/>
      <c r="M64356"/>
    </row>
    <row r="64357" spans="3:13" ht="12.75" customHeight="1" x14ac:dyDescent="0.25">
      <c r="C64357"/>
      <c r="M64357"/>
    </row>
    <row r="64358" spans="3:13" ht="12.75" customHeight="1" x14ac:dyDescent="0.25">
      <c r="C64358"/>
      <c r="M64358"/>
    </row>
    <row r="64359" spans="3:13" ht="12.75" customHeight="1" x14ac:dyDescent="0.25">
      <c r="C64359"/>
      <c r="M64359"/>
    </row>
    <row r="64360" spans="3:13" ht="12.75" customHeight="1" x14ac:dyDescent="0.25">
      <c r="C64360"/>
      <c r="M64360"/>
    </row>
    <row r="64361" spans="3:13" ht="12.75" customHeight="1" x14ac:dyDescent="0.25">
      <c r="C64361"/>
      <c r="M64361"/>
    </row>
    <row r="64362" spans="3:13" ht="12.75" customHeight="1" x14ac:dyDescent="0.25">
      <c r="C64362"/>
      <c r="M64362"/>
    </row>
    <row r="64363" spans="3:13" ht="12.75" customHeight="1" x14ac:dyDescent="0.25">
      <c r="C64363"/>
      <c r="M64363"/>
    </row>
    <row r="64364" spans="3:13" ht="12.75" customHeight="1" x14ac:dyDescent="0.25">
      <c r="C64364"/>
      <c r="M64364"/>
    </row>
    <row r="64365" spans="3:13" ht="12.75" customHeight="1" x14ac:dyDescent="0.25">
      <c r="C64365"/>
      <c r="M64365"/>
    </row>
    <row r="64366" spans="3:13" ht="12.75" customHeight="1" x14ac:dyDescent="0.25">
      <c r="C64366"/>
      <c r="M64366"/>
    </row>
    <row r="64367" spans="3:13" ht="12.75" customHeight="1" x14ac:dyDescent="0.25">
      <c r="C64367"/>
      <c r="M64367"/>
    </row>
    <row r="64368" spans="3:13" ht="12.75" customHeight="1" x14ac:dyDescent="0.25">
      <c r="C64368"/>
      <c r="M64368"/>
    </row>
    <row r="64369" spans="3:13" ht="12.75" customHeight="1" x14ac:dyDescent="0.25">
      <c r="C64369"/>
      <c r="M64369"/>
    </row>
    <row r="64370" spans="3:13" ht="12.75" customHeight="1" x14ac:dyDescent="0.25">
      <c r="C64370"/>
      <c r="M64370"/>
    </row>
    <row r="64371" spans="3:13" ht="12.75" customHeight="1" x14ac:dyDescent="0.25">
      <c r="C64371"/>
      <c r="M64371"/>
    </row>
    <row r="64372" spans="3:13" ht="12.75" customHeight="1" x14ac:dyDescent="0.25">
      <c r="C64372"/>
      <c r="M64372"/>
    </row>
    <row r="64373" spans="3:13" ht="12.75" customHeight="1" x14ac:dyDescent="0.25">
      <c r="C64373"/>
      <c r="M64373"/>
    </row>
    <row r="64374" spans="3:13" ht="12.75" customHeight="1" x14ac:dyDescent="0.25">
      <c r="C64374"/>
      <c r="M64374"/>
    </row>
    <row r="64375" spans="3:13" ht="12.75" customHeight="1" x14ac:dyDescent="0.25">
      <c r="C64375"/>
      <c r="M64375"/>
    </row>
    <row r="64376" spans="3:13" ht="12.75" customHeight="1" x14ac:dyDescent="0.25">
      <c r="C64376"/>
      <c r="M64376"/>
    </row>
    <row r="64377" spans="3:13" ht="12.75" customHeight="1" x14ac:dyDescent="0.25">
      <c r="C64377"/>
      <c r="M64377"/>
    </row>
    <row r="64378" spans="3:13" ht="12.75" customHeight="1" x14ac:dyDescent="0.25">
      <c r="C64378"/>
      <c r="M64378"/>
    </row>
    <row r="64379" spans="3:13" ht="12.75" customHeight="1" x14ac:dyDescent="0.25">
      <c r="C64379"/>
      <c r="M64379"/>
    </row>
    <row r="64380" spans="3:13" ht="12.75" customHeight="1" x14ac:dyDescent="0.25">
      <c r="C64380"/>
      <c r="M64380"/>
    </row>
    <row r="64381" spans="3:13" ht="12.75" customHeight="1" x14ac:dyDescent="0.25">
      <c r="C64381"/>
      <c r="M64381"/>
    </row>
    <row r="64382" spans="3:13" ht="12.75" customHeight="1" x14ac:dyDescent="0.25">
      <c r="C64382"/>
      <c r="M64382"/>
    </row>
    <row r="64383" spans="3:13" ht="12.75" customHeight="1" x14ac:dyDescent="0.25">
      <c r="C64383"/>
      <c r="M64383"/>
    </row>
    <row r="64384" spans="3:13" ht="12.75" customHeight="1" x14ac:dyDescent="0.25">
      <c r="C64384"/>
      <c r="M64384"/>
    </row>
    <row r="64385" spans="3:13" ht="12.75" customHeight="1" x14ac:dyDescent="0.25">
      <c r="C64385"/>
      <c r="M64385"/>
    </row>
    <row r="64386" spans="3:13" ht="12.75" customHeight="1" x14ac:dyDescent="0.25">
      <c r="C64386"/>
      <c r="M64386"/>
    </row>
    <row r="64387" spans="3:13" ht="12.75" customHeight="1" x14ac:dyDescent="0.25">
      <c r="C64387"/>
      <c r="M64387"/>
    </row>
    <row r="64388" spans="3:13" ht="12.75" customHeight="1" x14ac:dyDescent="0.25">
      <c r="C64388"/>
      <c r="M64388"/>
    </row>
    <row r="64389" spans="3:13" ht="12.75" customHeight="1" x14ac:dyDescent="0.25">
      <c r="C64389"/>
      <c r="M64389"/>
    </row>
    <row r="64390" spans="3:13" ht="12.75" customHeight="1" x14ac:dyDescent="0.25">
      <c r="C64390"/>
      <c r="M64390"/>
    </row>
    <row r="64391" spans="3:13" ht="12.75" customHeight="1" x14ac:dyDescent="0.25">
      <c r="C64391"/>
      <c r="M64391"/>
    </row>
    <row r="64392" spans="3:13" ht="12.75" customHeight="1" x14ac:dyDescent="0.25">
      <c r="C64392"/>
      <c r="M64392"/>
    </row>
    <row r="64393" spans="3:13" ht="12.75" customHeight="1" x14ac:dyDescent="0.25">
      <c r="C64393"/>
      <c r="M64393"/>
    </row>
    <row r="64394" spans="3:13" ht="12.75" customHeight="1" x14ac:dyDescent="0.25">
      <c r="C64394"/>
      <c r="M64394"/>
    </row>
    <row r="64395" spans="3:13" ht="12.75" customHeight="1" x14ac:dyDescent="0.25">
      <c r="C64395"/>
      <c r="M64395"/>
    </row>
    <row r="64396" spans="3:13" ht="12.75" customHeight="1" x14ac:dyDescent="0.25">
      <c r="C64396"/>
      <c r="M64396"/>
    </row>
    <row r="64397" spans="3:13" ht="12.75" customHeight="1" x14ac:dyDescent="0.25">
      <c r="C64397"/>
      <c r="M64397"/>
    </row>
    <row r="64398" spans="3:13" ht="12.75" customHeight="1" x14ac:dyDescent="0.25">
      <c r="C64398"/>
      <c r="M64398"/>
    </row>
    <row r="64399" spans="3:13" ht="12.75" customHeight="1" x14ac:dyDescent="0.25">
      <c r="C64399"/>
      <c r="M64399"/>
    </row>
    <row r="64400" spans="3:13" ht="12.75" customHeight="1" x14ac:dyDescent="0.25">
      <c r="C64400"/>
      <c r="M64400"/>
    </row>
    <row r="64401" spans="3:13" ht="12.75" customHeight="1" x14ac:dyDescent="0.25">
      <c r="C64401"/>
      <c r="M64401"/>
    </row>
    <row r="64402" spans="3:13" ht="12.75" customHeight="1" x14ac:dyDescent="0.25">
      <c r="C64402"/>
      <c r="M64402"/>
    </row>
    <row r="64403" spans="3:13" ht="12.75" customHeight="1" x14ac:dyDescent="0.25">
      <c r="C64403"/>
      <c r="M64403"/>
    </row>
    <row r="64404" spans="3:13" ht="12.75" customHeight="1" x14ac:dyDescent="0.25">
      <c r="C64404"/>
      <c r="M64404"/>
    </row>
    <row r="64405" spans="3:13" ht="12.75" customHeight="1" x14ac:dyDescent="0.25">
      <c r="C64405"/>
      <c r="M64405"/>
    </row>
    <row r="64406" spans="3:13" ht="12.75" customHeight="1" x14ac:dyDescent="0.25">
      <c r="C64406"/>
      <c r="M64406"/>
    </row>
    <row r="64407" spans="3:13" ht="12.75" customHeight="1" x14ac:dyDescent="0.25">
      <c r="C64407"/>
      <c r="M64407"/>
    </row>
    <row r="64408" spans="3:13" ht="12.75" customHeight="1" x14ac:dyDescent="0.25">
      <c r="C64408"/>
      <c r="M64408"/>
    </row>
    <row r="64409" spans="3:13" ht="12.75" customHeight="1" x14ac:dyDescent="0.25">
      <c r="C64409"/>
      <c r="M64409"/>
    </row>
    <row r="64410" spans="3:13" ht="12.75" customHeight="1" x14ac:dyDescent="0.25">
      <c r="C64410"/>
      <c r="M64410"/>
    </row>
    <row r="64411" spans="3:13" ht="12.75" customHeight="1" x14ac:dyDescent="0.25">
      <c r="C64411"/>
      <c r="M64411"/>
    </row>
    <row r="64412" spans="3:13" ht="12.75" customHeight="1" x14ac:dyDescent="0.25">
      <c r="C64412"/>
      <c r="M64412"/>
    </row>
    <row r="64413" spans="3:13" ht="12.75" customHeight="1" x14ac:dyDescent="0.25">
      <c r="C64413"/>
      <c r="M64413"/>
    </row>
    <row r="64414" spans="3:13" ht="12.75" customHeight="1" x14ac:dyDescent="0.25">
      <c r="C64414"/>
      <c r="M64414"/>
    </row>
    <row r="64415" spans="3:13" ht="12.75" customHeight="1" x14ac:dyDescent="0.25">
      <c r="C64415"/>
      <c r="M64415"/>
    </row>
    <row r="64416" spans="3:13" ht="12.75" customHeight="1" x14ac:dyDescent="0.25">
      <c r="C64416"/>
      <c r="M64416"/>
    </row>
    <row r="64417" spans="3:13" ht="12.75" customHeight="1" x14ac:dyDescent="0.25">
      <c r="C64417"/>
      <c r="M64417"/>
    </row>
    <row r="64418" spans="3:13" ht="12.75" customHeight="1" x14ac:dyDescent="0.25">
      <c r="C64418"/>
      <c r="M64418"/>
    </row>
    <row r="64419" spans="3:13" ht="12.75" customHeight="1" x14ac:dyDescent="0.25">
      <c r="C64419"/>
      <c r="M64419"/>
    </row>
    <row r="64420" spans="3:13" ht="12.75" customHeight="1" x14ac:dyDescent="0.25">
      <c r="C64420"/>
      <c r="M64420"/>
    </row>
    <row r="64421" spans="3:13" ht="12.75" customHeight="1" x14ac:dyDescent="0.25">
      <c r="C64421"/>
      <c r="M64421"/>
    </row>
    <row r="64422" spans="3:13" ht="12.75" customHeight="1" x14ac:dyDescent="0.25">
      <c r="C64422"/>
      <c r="M64422"/>
    </row>
    <row r="64423" spans="3:13" ht="12.75" customHeight="1" x14ac:dyDescent="0.25">
      <c r="C64423"/>
      <c r="M64423"/>
    </row>
    <row r="64424" spans="3:13" ht="12.75" customHeight="1" x14ac:dyDescent="0.25">
      <c r="C64424"/>
      <c r="M64424"/>
    </row>
    <row r="64425" spans="3:13" ht="12.75" customHeight="1" x14ac:dyDescent="0.25">
      <c r="C64425"/>
      <c r="M64425"/>
    </row>
    <row r="64426" spans="3:13" ht="12.75" customHeight="1" x14ac:dyDescent="0.25">
      <c r="C64426"/>
      <c r="M64426"/>
    </row>
    <row r="64427" spans="3:13" ht="12.75" customHeight="1" x14ac:dyDescent="0.25">
      <c r="C64427"/>
      <c r="M64427"/>
    </row>
    <row r="64428" spans="3:13" ht="12.75" customHeight="1" x14ac:dyDescent="0.25">
      <c r="C64428"/>
      <c r="M64428"/>
    </row>
    <row r="64429" spans="3:13" ht="12.75" customHeight="1" x14ac:dyDescent="0.25">
      <c r="C64429"/>
      <c r="M64429"/>
    </row>
    <row r="64430" spans="3:13" ht="12.75" customHeight="1" x14ac:dyDescent="0.25">
      <c r="C64430"/>
      <c r="M64430"/>
    </row>
    <row r="64431" spans="3:13" ht="12.75" customHeight="1" x14ac:dyDescent="0.25">
      <c r="C64431"/>
      <c r="M64431"/>
    </row>
    <row r="64432" spans="3:13" ht="12.75" customHeight="1" x14ac:dyDescent="0.25">
      <c r="C64432"/>
      <c r="M64432"/>
    </row>
    <row r="64433" spans="3:13" ht="12.75" customHeight="1" x14ac:dyDescent="0.25">
      <c r="C64433"/>
      <c r="M64433"/>
    </row>
    <row r="64434" spans="3:13" ht="12.75" customHeight="1" x14ac:dyDescent="0.25">
      <c r="C64434"/>
      <c r="M64434"/>
    </row>
    <row r="64435" spans="3:13" ht="12.75" customHeight="1" x14ac:dyDescent="0.25">
      <c r="C64435"/>
      <c r="M64435"/>
    </row>
    <row r="64436" spans="3:13" ht="12.75" customHeight="1" x14ac:dyDescent="0.25">
      <c r="C64436"/>
      <c r="M64436"/>
    </row>
    <row r="64437" spans="3:13" ht="12.75" customHeight="1" x14ac:dyDescent="0.25">
      <c r="C64437"/>
      <c r="M64437"/>
    </row>
    <row r="64438" spans="3:13" ht="12.75" customHeight="1" x14ac:dyDescent="0.25">
      <c r="C64438"/>
      <c r="M64438"/>
    </row>
    <row r="64439" spans="3:13" ht="12.75" customHeight="1" x14ac:dyDescent="0.25">
      <c r="C64439"/>
      <c r="M64439"/>
    </row>
    <row r="64440" spans="3:13" ht="12.75" customHeight="1" x14ac:dyDescent="0.25">
      <c r="C64440"/>
      <c r="M64440"/>
    </row>
    <row r="64441" spans="3:13" ht="12.75" customHeight="1" x14ac:dyDescent="0.25">
      <c r="C64441"/>
      <c r="M64441"/>
    </row>
    <row r="64442" spans="3:13" ht="12.75" customHeight="1" x14ac:dyDescent="0.25">
      <c r="C64442"/>
      <c r="M64442"/>
    </row>
    <row r="64443" spans="3:13" ht="12.75" customHeight="1" x14ac:dyDescent="0.25">
      <c r="C64443"/>
      <c r="M64443"/>
    </row>
    <row r="64444" spans="3:13" ht="12.75" customHeight="1" x14ac:dyDescent="0.25">
      <c r="C64444"/>
      <c r="M64444"/>
    </row>
    <row r="64445" spans="3:13" ht="12.75" customHeight="1" x14ac:dyDescent="0.25">
      <c r="C64445"/>
      <c r="M64445"/>
    </row>
    <row r="64446" spans="3:13" ht="12.75" customHeight="1" x14ac:dyDescent="0.25">
      <c r="C64446"/>
      <c r="M64446"/>
    </row>
    <row r="64447" spans="3:13" ht="12.75" customHeight="1" x14ac:dyDescent="0.25">
      <c r="C64447"/>
      <c r="M64447"/>
    </row>
    <row r="64448" spans="3:13" ht="12.75" customHeight="1" x14ac:dyDescent="0.25">
      <c r="C64448"/>
      <c r="M64448"/>
    </row>
    <row r="64449" spans="3:13" ht="12.75" customHeight="1" x14ac:dyDescent="0.25">
      <c r="C64449"/>
      <c r="M64449"/>
    </row>
    <row r="64450" spans="3:13" ht="12.75" customHeight="1" x14ac:dyDescent="0.25">
      <c r="C64450"/>
      <c r="M64450"/>
    </row>
    <row r="64451" spans="3:13" ht="12.75" customHeight="1" x14ac:dyDescent="0.25">
      <c r="C64451"/>
      <c r="M64451"/>
    </row>
    <row r="64452" spans="3:13" ht="12.75" customHeight="1" x14ac:dyDescent="0.25">
      <c r="C64452"/>
      <c r="M64452"/>
    </row>
    <row r="64453" spans="3:13" ht="12.75" customHeight="1" x14ac:dyDescent="0.25">
      <c r="C64453"/>
      <c r="M64453"/>
    </row>
    <row r="64454" spans="3:13" ht="12.75" customHeight="1" x14ac:dyDescent="0.25">
      <c r="C64454"/>
      <c r="M64454"/>
    </row>
    <row r="64455" spans="3:13" ht="12.75" customHeight="1" x14ac:dyDescent="0.25">
      <c r="C64455"/>
      <c r="M64455"/>
    </row>
    <row r="64456" spans="3:13" ht="12.75" customHeight="1" x14ac:dyDescent="0.25">
      <c r="C64456"/>
      <c r="M64456"/>
    </row>
    <row r="64457" spans="3:13" ht="12.75" customHeight="1" x14ac:dyDescent="0.25">
      <c r="C64457"/>
      <c r="M64457"/>
    </row>
    <row r="64458" spans="3:13" ht="12.75" customHeight="1" x14ac:dyDescent="0.25">
      <c r="C64458"/>
      <c r="M64458"/>
    </row>
    <row r="64459" spans="3:13" ht="12.75" customHeight="1" x14ac:dyDescent="0.25">
      <c r="C64459"/>
      <c r="M64459"/>
    </row>
    <row r="64460" spans="3:13" ht="12.75" customHeight="1" x14ac:dyDescent="0.25">
      <c r="C64460"/>
      <c r="M64460"/>
    </row>
    <row r="64461" spans="3:13" ht="12.75" customHeight="1" x14ac:dyDescent="0.25">
      <c r="C64461"/>
      <c r="M64461"/>
    </row>
    <row r="64462" spans="3:13" ht="12.75" customHeight="1" x14ac:dyDescent="0.25">
      <c r="C64462"/>
      <c r="M64462"/>
    </row>
    <row r="64463" spans="3:13" ht="12.75" customHeight="1" x14ac:dyDescent="0.25">
      <c r="C64463"/>
      <c r="M64463"/>
    </row>
    <row r="64464" spans="3:13" ht="12.75" customHeight="1" x14ac:dyDescent="0.25">
      <c r="C64464"/>
      <c r="M64464"/>
    </row>
    <row r="64465" spans="3:13" ht="12.75" customHeight="1" x14ac:dyDescent="0.25">
      <c r="C64465"/>
      <c r="M64465"/>
    </row>
    <row r="64466" spans="3:13" ht="12.75" customHeight="1" x14ac:dyDescent="0.25">
      <c r="C64466"/>
      <c r="M64466"/>
    </row>
    <row r="64467" spans="3:13" ht="12.75" customHeight="1" x14ac:dyDescent="0.25">
      <c r="C64467"/>
      <c r="M64467"/>
    </row>
    <row r="64468" spans="3:13" ht="12.75" customHeight="1" x14ac:dyDescent="0.25">
      <c r="C64468"/>
      <c r="M64468"/>
    </row>
    <row r="64469" spans="3:13" ht="12.75" customHeight="1" x14ac:dyDescent="0.25">
      <c r="C64469"/>
      <c r="M64469"/>
    </row>
    <row r="64470" spans="3:13" ht="12.75" customHeight="1" x14ac:dyDescent="0.25">
      <c r="C64470"/>
      <c r="M64470"/>
    </row>
    <row r="64471" spans="3:13" ht="12.75" customHeight="1" x14ac:dyDescent="0.25">
      <c r="C64471"/>
      <c r="M64471"/>
    </row>
    <row r="64472" spans="3:13" ht="12.75" customHeight="1" x14ac:dyDescent="0.25">
      <c r="C64472"/>
      <c r="M64472"/>
    </row>
    <row r="64473" spans="3:13" ht="12.75" customHeight="1" x14ac:dyDescent="0.25">
      <c r="C64473"/>
      <c r="M64473"/>
    </row>
    <row r="64474" spans="3:13" ht="12.75" customHeight="1" x14ac:dyDescent="0.25">
      <c r="C64474"/>
      <c r="M64474"/>
    </row>
    <row r="64475" spans="3:13" ht="12.75" customHeight="1" x14ac:dyDescent="0.25">
      <c r="C64475"/>
      <c r="M64475"/>
    </row>
    <row r="64476" spans="3:13" ht="12.75" customHeight="1" x14ac:dyDescent="0.25">
      <c r="C64476"/>
      <c r="M64476"/>
    </row>
    <row r="64477" spans="3:13" ht="12.75" customHeight="1" x14ac:dyDescent="0.25">
      <c r="C64477"/>
      <c r="M64477"/>
    </row>
    <row r="64478" spans="3:13" ht="12.75" customHeight="1" x14ac:dyDescent="0.25">
      <c r="C64478"/>
      <c r="M64478"/>
    </row>
    <row r="64479" spans="3:13" ht="12.75" customHeight="1" x14ac:dyDescent="0.25">
      <c r="C64479"/>
      <c r="M64479"/>
    </row>
    <row r="64480" spans="3:13" ht="12.75" customHeight="1" x14ac:dyDescent="0.25">
      <c r="C64480"/>
      <c r="M64480"/>
    </row>
    <row r="64481" spans="3:13" ht="12.75" customHeight="1" x14ac:dyDescent="0.25">
      <c r="C64481"/>
      <c r="M64481"/>
    </row>
    <row r="64482" spans="3:13" ht="12.75" customHeight="1" x14ac:dyDescent="0.25">
      <c r="C64482"/>
      <c r="M64482"/>
    </row>
    <row r="64483" spans="3:13" ht="12.75" customHeight="1" x14ac:dyDescent="0.25">
      <c r="C64483"/>
      <c r="M64483"/>
    </row>
    <row r="64484" spans="3:13" ht="12.75" customHeight="1" x14ac:dyDescent="0.25">
      <c r="C64484"/>
      <c r="M64484"/>
    </row>
    <row r="64485" spans="3:13" ht="12.75" customHeight="1" x14ac:dyDescent="0.25">
      <c r="C64485"/>
      <c r="M64485"/>
    </row>
    <row r="64486" spans="3:13" ht="12.75" customHeight="1" x14ac:dyDescent="0.25">
      <c r="C64486"/>
      <c r="M64486"/>
    </row>
    <row r="64487" spans="3:13" ht="12.75" customHeight="1" x14ac:dyDescent="0.25">
      <c r="C64487"/>
      <c r="M64487"/>
    </row>
    <row r="64488" spans="3:13" ht="12.75" customHeight="1" x14ac:dyDescent="0.25">
      <c r="C64488"/>
      <c r="M64488"/>
    </row>
    <row r="64489" spans="3:13" ht="12.75" customHeight="1" x14ac:dyDescent="0.25">
      <c r="C64489"/>
      <c r="M64489"/>
    </row>
    <row r="64490" spans="3:13" ht="12.75" customHeight="1" x14ac:dyDescent="0.25">
      <c r="C64490"/>
      <c r="M64490"/>
    </row>
    <row r="64491" spans="3:13" ht="12.75" customHeight="1" x14ac:dyDescent="0.25">
      <c r="C64491"/>
      <c r="M64491"/>
    </row>
    <row r="64492" spans="3:13" ht="12.75" customHeight="1" x14ac:dyDescent="0.25">
      <c r="C64492"/>
      <c r="M64492"/>
    </row>
    <row r="64493" spans="3:13" ht="12.75" customHeight="1" x14ac:dyDescent="0.25">
      <c r="C64493"/>
      <c r="M64493"/>
    </row>
    <row r="64494" spans="3:13" ht="12.75" customHeight="1" x14ac:dyDescent="0.25">
      <c r="C64494"/>
      <c r="M64494"/>
    </row>
    <row r="64495" spans="3:13" ht="12.75" customHeight="1" x14ac:dyDescent="0.25">
      <c r="C64495"/>
      <c r="M64495"/>
    </row>
    <row r="64496" spans="3:13" ht="12.75" customHeight="1" x14ac:dyDescent="0.25">
      <c r="C64496"/>
      <c r="M64496"/>
    </row>
    <row r="64497" spans="3:13" ht="12.75" customHeight="1" x14ac:dyDescent="0.25">
      <c r="C64497"/>
      <c r="M64497"/>
    </row>
    <row r="64498" spans="3:13" ht="12.75" customHeight="1" x14ac:dyDescent="0.25">
      <c r="C64498"/>
      <c r="M64498"/>
    </row>
    <row r="64499" spans="3:13" ht="12.75" customHeight="1" x14ac:dyDescent="0.25">
      <c r="C64499"/>
      <c r="M64499"/>
    </row>
    <row r="64500" spans="3:13" ht="12.75" customHeight="1" x14ac:dyDescent="0.25">
      <c r="C64500"/>
      <c r="M64500"/>
    </row>
    <row r="64501" spans="3:13" ht="12.75" customHeight="1" x14ac:dyDescent="0.25">
      <c r="C64501"/>
      <c r="M64501"/>
    </row>
    <row r="64502" spans="3:13" ht="12.75" customHeight="1" x14ac:dyDescent="0.25">
      <c r="C64502"/>
      <c r="M64502"/>
    </row>
    <row r="64503" spans="3:13" ht="12.75" customHeight="1" x14ac:dyDescent="0.25">
      <c r="C64503"/>
      <c r="M64503"/>
    </row>
    <row r="64504" spans="3:13" ht="12.75" customHeight="1" x14ac:dyDescent="0.25">
      <c r="C64504"/>
      <c r="M64504"/>
    </row>
    <row r="64505" spans="3:13" ht="12.75" customHeight="1" x14ac:dyDescent="0.25">
      <c r="C64505"/>
      <c r="M64505"/>
    </row>
    <row r="64506" spans="3:13" ht="12.75" customHeight="1" x14ac:dyDescent="0.25">
      <c r="C64506"/>
      <c r="M64506"/>
    </row>
    <row r="64507" spans="3:13" ht="12.75" customHeight="1" x14ac:dyDescent="0.25">
      <c r="C64507"/>
      <c r="M64507"/>
    </row>
    <row r="64508" spans="3:13" ht="12.75" customHeight="1" x14ac:dyDescent="0.25">
      <c r="C64508"/>
      <c r="M64508"/>
    </row>
    <row r="64509" spans="3:13" ht="12.75" customHeight="1" x14ac:dyDescent="0.25">
      <c r="C64509"/>
      <c r="M64509"/>
    </row>
    <row r="64510" spans="3:13" ht="12.75" customHeight="1" x14ac:dyDescent="0.25">
      <c r="C64510"/>
      <c r="M64510"/>
    </row>
    <row r="64511" spans="3:13" ht="12.75" customHeight="1" x14ac:dyDescent="0.25">
      <c r="C64511"/>
      <c r="M64511"/>
    </row>
    <row r="64512" spans="3:13" ht="12.75" customHeight="1" x14ac:dyDescent="0.25">
      <c r="C64512"/>
      <c r="M64512"/>
    </row>
    <row r="64513" spans="3:13" ht="12.75" customHeight="1" x14ac:dyDescent="0.25">
      <c r="C64513"/>
      <c r="M64513"/>
    </row>
    <row r="64514" spans="3:13" ht="12.75" customHeight="1" x14ac:dyDescent="0.25">
      <c r="C64514"/>
      <c r="M64514"/>
    </row>
    <row r="64515" spans="3:13" ht="12.75" customHeight="1" x14ac:dyDescent="0.25">
      <c r="C64515"/>
      <c r="M64515"/>
    </row>
    <row r="64516" spans="3:13" ht="12.75" customHeight="1" x14ac:dyDescent="0.25">
      <c r="C64516"/>
      <c r="M64516"/>
    </row>
    <row r="64517" spans="3:13" ht="12.75" customHeight="1" x14ac:dyDescent="0.25">
      <c r="C64517"/>
      <c r="M64517"/>
    </row>
    <row r="64518" spans="3:13" ht="12.75" customHeight="1" x14ac:dyDescent="0.25">
      <c r="C64518"/>
      <c r="M64518"/>
    </row>
    <row r="64519" spans="3:13" ht="12.75" customHeight="1" x14ac:dyDescent="0.25">
      <c r="C64519"/>
      <c r="M64519"/>
    </row>
    <row r="64520" spans="3:13" ht="12.75" customHeight="1" x14ac:dyDescent="0.25">
      <c r="C64520"/>
      <c r="M64520"/>
    </row>
    <row r="64521" spans="3:13" ht="12.75" customHeight="1" x14ac:dyDescent="0.25">
      <c r="C64521"/>
      <c r="M64521"/>
    </row>
    <row r="64522" spans="3:13" ht="12.75" customHeight="1" x14ac:dyDescent="0.25">
      <c r="C64522"/>
      <c r="M64522"/>
    </row>
    <row r="64523" spans="3:13" ht="12.75" customHeight="1" x14ac:dyDescent="0.25">
      <c r="C64523"/>
      <c r="M64523"/>
    </row>
    <row r="64524" spans="3:13" ht="12.75" customHeight="1" x14ac:dyDescent="0.25">
      <c r="C64524"/>
      <c r="M64524"/>
    </row>
    <row r="64525" spans="3:13" ht="12.75" customHeight="1" x14ac:dyDescent="0.25">
      <c r="C64525"/>
      <c r="M64525"/>
    </row>
    <row r="64526" spans="3:13" ht="12.75" customHeight="1" x14ac:dyDescent="0.25">
      <c r="C64526"/>
      <c r="M64526"/>
    </row>
    <row r="64527" spans="3:13" ht="12.75" customHeight="1" x14ac:dyDescent="0.25">
      <c r="C64527"/>
      <c r="M64527"/>
    </row>
    <row r="64528" spans="3:13" ht="12.75" customHeight="1" x14ac:dyDescent="0.25">
      <c r="C64528"/>
      <c r="M64528"/>
    </row>
    <row r="64529" spans="3:13" ht="12.75" customHeight="1" x14ac:dyDescent="0.25">
      <c r="C64529"/>
      <c r="M64529"/>
    </row>
    <row r="64530" spans="3:13" ht="12.75" customHeight="1" x14ac:dyDescent="0.25">
      <c r="C64530"/>
      <c r="M64530"/>
    </row>
    <row r="64531" spans="3:13" ht="12.75" customHeight="1" x14ac:dyDescent="0.25">
      <c r="C64531"/>
      <c r="M64531"/>
    </row>
    <row r="64532" spans="3:13" ht="12.75" customHeight="1" x14ac:dyDescent="0.25">
      <c r="C64532"/>
      <c r="M64532"/>
    </row>
    <row r="64533" spans="3:13" ht="12.75" customHeight="1" x14ac:dyDescent="0.25">
      <c r="C64533"/>
      <c r="M64533"/>
    </row>
    <row r="64534" spans="3:13" ht="12.75" customHeight="1" x14ac:dyDescent="0.25">
      <c r="C64534"/>
      <c r="M64534"/>
    </row>
    <row r="64535" spans="3:13" ht="12.75" customHeight="1" x14ac:dyDescent="0.25">
      <c r="C64535"/>
      <c r="M64535"/>
    </row>
    <row r="64536" spans="3:13" ht="12.75" customHeight="1" x14ac:dyDescent="0.25">
      <c r="C64536"/>
      <c r="M64536"/>
    </row>
    <row r="64537" spans="3:13" ht="12.75" customHeight="1" x14ac:dyDescent="0.25">
      <c r="C64537"/>
      <c r="M64537"/>
    </row>
    <row r="64538" spans="3:13" ht="12.75" customHeight="1" x14ac:dyDescent="0.25">
      <c r="C64538"/>
      <c r="M64538"/>
    </row>
    <row r="64539" spans="3:13" ht="12.75" customHeight="1" x14ac:dyDescent="0.25">
      <c r="C64539"/>
      <c r="M64539"/>
    </row>
    <row r="64540" spans="3:13" ht="12.75" customHeight="1" x14ac:dyDescent="0.25">
      <c r="C64540"/>
      <c r="M64540"/>
    </row>
    <row r="64541" spans="3:13" ht="12.75" customHeight="1" x14ac:dyDescent="0.25">
      <c r="C64541"/>
      <c r="M64541"/>
    </row>
    <row r="64542" spans="3:13" ht="12.75" customHeight="1" x14ac:dyDescent="0.25">
      <c r="C64542"/>
      <c r="M64542"/>
    </row>
    <row r="64543" spans="3:13" ht="12.75" customHeight="1" x14ac:dyDescent="0.25">
      <c r="C64543"/>
      <c r="M64543"/>
    </row>
    <row r="64544" spans="3:13" ht="12.75" customHeight="1" x14ac:dyDescent="0.25">
      <c r="C64544"/>
      <c r="M64544"/>
    </row>
    <row r="64545" spans="3:13" ht="12.75" customHeight="1" x14ac:dyDescent="0.25">
      <c r="C64545"/>
      <c r="M64545"/>
    </row>
    <row r="64546" spans="3:13" ht="12.75" customHeight="1" x14ac:dyDescent="0.25">
      <c r="C64546"/>
      <c r="M64546"/>
    </row>
    <row r="64547" spans="3:13" ht="12.75" customHeight="1" x14ac:dyDescent="0.25">
      <c r="C64547"/>
      <c r="M64547"/>
    </row>
    <row r="64548" spans="3:13" ht="12.75" customHeight="1" x14ac:dyDescent="0.25">
      <c r="C64548"/>
      <c r="M64548"/>
    </row>
    <row r="64549" spans="3:13" ht="12.75" customHeight="1" x14ac:dyDescent="0.25">
      <c r="C64549"/>
      <c r="M64549"/>
    </row>
    <row r="64550" spans="3:13" ht="12.75" customHeight="1" x14ac:dyDescent="0.25">
      <c r="C64550"/>
      <c r="M64550"/>
    </row>
    <row r="64551" spans="3:13" ht="12.75" customHeight="1" x14ac:dyDescent="0.25">
      <c r="C64551"/>
      <c r="M64551"/>
    </row>
    <row r="64552" spans="3:13" ht="12.75" customHeight="1" x14ac:dyDescent="0.25">
      <c r="C64552"/>
      <c r="M64552"/>
    </row>
    <row r="64553" spans="3:13" ht="12.75" customHeight="1" x14ac:dyDescent="0.25">
      <c r="C64553"/>
      <c r="M64553"/>
    </row>
    <row r="64554" spans="3:13" ht="12.75" customHeight="1" x14ac:dyDescent="0.25">
      <c r="C64554"/>
      <c r="M64554"/>
    </row>
    <row r="64555" spans="3:13" ht="12.75" customHeight="1" x14ac:dyDescent="0.25">
      <c r="C64555"/>
      <c r="M64555"/>
    </row>
    <row r="64556" spans="3:13" ht="12.75" customHeight="1" x14ac:dyDescent="0.25">
      <c r="C64556"/>
      <c r="M64556"/>
    </row>
    <row r="64557" spans="3:13" ht="12.75" customHeight="1" x14ac:dyDescent="0.25">
      <c r="C64557"/>
      <c r="M64557"/>
    </row>
    <row r="64558" spans="3:13" ht="12.75" customHeight="1" x14ac:dyDescent="0.25">
      <c r="C64558"/>
      <c r="M64558"/>
    </row>
    <row r="64559" spans="3:13" ht="12.75" customHeight="1" x14ac:dyDescent="0.25">
      <c r="C64559"/>
      <c r="M64559"/>
    </row>
    <row r="64560" spans="3:13" ht="12.75" customHeight="1" x14ac:dyDescent="0.25">
      <c r="C64560"/>
      <c r="M64560"/>
    </row>
    <row r="64561" spans="3:13" ht="12.75" customHeight="1" x14ac:dyDescent="0.25">
      <c r="C64561"/>
      <c r="M64561"/>
    </row>
    <row r="64562" spans="3:13" ht="12.75" customHeight="1" x14ac:dyDescent="0.25">
      <c r="C64562"/>
      <c r="M64562"/>
    </row>
    <row r="64563" spans="3:13" ht="12.75" customHeight="1" x14ac:dyDescent="0.25">
      <c r="C64563"/>
      <c r="M64563"/>
    </row>
    <row r="64564" spans="3:13" ht="12.75" customHeight="1" x14ac:dyDescent="0.25">
      <c r="C64564"/>
      <c r="M64564"/>
    </row>
    <row r="64565" spans="3:13" ht="12.75" customHeight="1" x14ac:dyDescent="0.25">
      <c r="C64565"/>
      <c r="M64565"/>
    </row>
    <row r="64566" spans="3:13" ht="12.75" customHeight="1" x14ac:dyDescent="0.25">
      <c r="C64566"/>
      <c r="M64566"/>
    </row>
    <row r="64567" spans="3:13" ht="12.75" customHeight="1" x14ac:dyDescent="0.25">
      <c r="C64567"/>
      <c r="M64567"/>
    </row>
    <row r="64568" spans="3:13" ht="12.75" customHeight="1" x14ac:dyDescent="0.25">
      <c r="C64568"/>
      <c r="M64568"/>
    </row>
    <row r="64569" spans="3:13" ht="12.75" customHeight="1" x14ac:dyDescent="0.25">
      <c r="C64569"/>
      <c r="M64569"/>
    </row>
    <row r="64570" spans="3:13" ht="12.75" customHeight="1" x14ac:dyDescent="0.25">
      <c r="C64570"/>
      <c r="M64570"/>
    </row>
    <row r="64571" spans="3:13" ht="12.75" customHeight="1" x14ac:dyDescent="0.25">
      <c r="C64571"/>
      <c r="M64571"/>
    </row>
    <row r="64572" spans="3:13" ht="12.75" customHeight="1" x14ac:dyDescent="0.25">
      <c r="C64572"/>
      <c r="M64572"/>
    </row>
    <row r="64573" spans="3:13" ht="12.75" customHeight="1" x14ac:dyDescent="0.25">
      <c r="C64573"/>
      <c r="M64573"/>
    </row>
    <row r="64574" spans="3:13" ht="12.75" customHeight="1" x14ac:dyDescent="0.25">
      <c r="C64574"/>
      <c r="M64574"/>
    </row>
    <row r="64575" spans="3:13" ht="12.75" customHeight="1" x14ac:dyDescent="0.25">
      <c r="C64575"/>
      <c r="M64575"/>
    </row>
    <row r="64576" spans="3:13" ht="12.75" customHeight="1" x14ac:dyDescent="0.25">
      <c r="C64576"/>
      <c r="M64576"/>
    </row>
    <row r="64577" spans="3:13" ht="12.75" customHeight="1" x14ac:dyDescent="0.25">
      <c r="C64577"/>
      <c r="M64577"/>
    </row>
    <row r="64578" spans="3:13" ht="12.75" customHeight="1" x14ac:dyDescent="0.25">
      <c r="C64578"/>
      <c r="M64578"/>
    </row>
    <row r="64579" spans="3:13" ht="12.75" customHeight="1" x14ac:dyDescent="0.25">
      <c r="C64579"/>
      <c r="M64579"/>
    </row>
    <row r="64580" spans="3:13" ht="12.75" customHeight="1" x14ac:dyDescent="0.25">
      <c r="C64580"/>
      <c r="M64580"/>
    </row>
    <row r="64581" spans="3:13" ht="12.75" customHeight="1" x14ac:dyDescent="0.25">
      <c r="C64581"/>
      <c r="M64581"/>
    </row>
    <row r="64582" spans="3:13" ht="12.75" customHeight="1" x14ac:dyDescent="0.25">
      <c r="C64582"/>
      <c r="M64582"/>
    </row>
    <row r="64583" spans="3:13" ht="12.75" customHeight="1" x14ac:dyDescent="0.25">
      <c r="C64583"/>
      <c r="M64583"/>
    </row>
    <row r="64584" spans="3:13" ht="12.75" customHeight="1" x14ac:dyDescent="0.25">
      <c r="C64584"/>
      <c r="M64584"/>
    </row>
    <row r="64585" spans="3:13" ht="12.75" customHeight="1" x14ac:dyDescent="0.25">
      <c r="C64585"/>
      <c r="M64585"/>
    </row>
    <row r="64586" spans="3:13" ht="12.75" customHeight="1" x14ac:dyDescent="0.25">
      <c r="C64586"/>
      <c r="M64586"/>
    </row>
    <row r="64587" spans="3:13" ht="12.75" customHeight="1" x14ac:dyDescent="0.25">
      <c r="C64587"/>
      <c r="M64587"/>
    </row>
    <row r="64588" spans="3:13" ht="12.75" customHeight="1" x14ac:dyDescent="0.25">
      <c r="C64588"/>
      <c r="M64588"/>
    </row>
    <row r="64589" spans="3:13" ht="12.75" customHeight="1" x14ac:dyDescent="0.25">
      <c r="C64589"/>
      <c r="M64589"/>
    </row>
    <row r="64590" spans="3:13" ht="12.75" customHeight="1" x14ac:dyDescent="0.25">
      <c r="C64590"/>
      <c r="M64590"/>
    </row>
    <row r="64591" spans="3:13" ht="12.75" customHeight="1" x14ac:dyDescent="0.25">
      <c r="C64591"/>
      <c r="M64591"/>
    </row>
    <row r="64592" spans="3:13" ht="12.75" customHeight="1" x14ac:dyDescent="0.25">
      <c r="C64592"/>
      <c r="M64592"/>
    </row>
    <row r="64593" spans="3:13" ht="12.75" customHeight="1" x14ac:dyDescent="0.25">
      <c r="C64593"/>
      <c r="M64593"/>
    </row>
    <row r="64594" spans="3:13" ht="12.75" customHeight="1" x14ac:dyDescent="0.25">
      <c r="C64594"/>
      <c r="M64594"/>
    </row>
    <row r="64595" spans="3:13" ht="12.75" customHeight="1" x14ac:dyDescent="0.25">
      <c r="C64595"/>
      <c r="M64595"/>
    </row>
    <row r="64596" spans="3:13" ht="12.75" customHeight="1" x14ac:dyDescent="0.25">
      <c r="C64596"/>
      <c r="M64596"/>
    </row>
    <row r="64597" spans="3:13" ht="12.75" customHeight="1" x14ac:dyDescent="0.25">
      <c r="C64597"/>
      <c r="M64597"/>
    </row>
    <row r="64598" spans="3:13" ht="12.75" customHeight="1" x14ac:dyDescent="0.25">
      <c r="C64598"/>
      <c r="M64598"/>
    </row>
    <row r="64599" spans="3:13" ht="12.75" customHeight="1" x14ac:dyDescent="0.25">
      <c r="C64599"/>
      <c r="M64599"/>
    </row>
    <row r="64600" spans="3:13" ht="12.75" customHeight="1" x14ac:dyDescent="0.25">
      <c r="C64600"/>
      <c r="M64600"/>
    </row>
    <row r="64601" spans="3:13" ht="12.75" customHeight="1" x14ac:dyDescent="0.25">
      <c r="C64601"/>
      <c r="M64601"/>
    </row>
    <row r="64602" spans="3:13" ht="12.75" customHeight="1" x14ac:dyDescent="0.25">
      <c r="C64602"/>
      <c r="M64602"/>
    </row>
    <row r="64603" spans="3:13" ht="12.75" customHeight="1" x14ac:dyDescent="0.25">
      <c r="C64603"/>
      <c r="M64603"/>
    </row>
    <row r="64604" spans="3:13" ht="12.75" customHeight="1" x14ac:dyDescent="0.25">
      <c r="C64604"/>
      <c r="M64604"/>
    </row>
    <row r="64605" spans="3:13" ht="12.75" customHeight="1" x14ac:dyDescent="0.25">
      <c r="C64605"/>
      <c r="M64605"/>
    </row>
    <row r="64606" spans="3:13" ht="12.75" customHeight="1" x14ac:dyDescent="0.25">
      <c r="C64606"/>
      <c r="M64606"/>
    </row>
    <row r="64607" spans="3:13" ht="12.75" customHeight="1" x14ac:dyDescent="0.25">
      <c r="C64607"/>
      <c r="M64607"/>
    </row>
    <row r="64608" spans="3:13" ht="12.75" customHeight="1" x14ac:dyDescent="0.25">
      <c r="C64608"/>
      <c r="M64608"/>
    </row>
    <row r="64609" spans="3:13" ht="12.75" customHeight="1" x14ac:dyDescent="0.25">
      <c r="C64609"/>
      <c r="M64609"/>
    </row>
    <row r="64610" spans="3:13" ht="12.75" customHeight="1" x14ac:dyDescent="0.25">
      <c r="C64610"/>
      <c r="M64610"/>
    </row>
    <row r="64611" spans="3:13" ht="12.75" customHeight="1" x14ac:dyDescent="0.25">
      <c r="C64611"/>
      <c r="M64611"/>
    </row>
    <row r="64612" spans="3:13" ht="12.75" customHeight="1" x14ac:dyDescent="0.25">
      <c r="C64612"/>
      <c r="M64612"/>
    </row>
    <row r="64613" spans="3:13" ht="12.75" customHeight="1" x14ac:dyDescent="0.25">
      <c r="C64613"/>
      <c r="M64613"/>
    </row>
    <row r="64614" spans="3:13" ht="12.75" customHeight="1" x14ac:dyDescent="0.25">
      <c r="C64614"/>
      <c r="M64614"/>
    </row>
    <row r="64615" spans="3:13" ht="12.75" customHeight="1" x14ac:dyDescent="0.25">
      <c r="C64615"/>
      <c r="M64615"/>
    </row>
    <row r="64616" spans="3:13" ht="12.75" customHeight="1" x14ac:dyDescent="0.25">
      <c r="C64616"/>
      <c r="M64616"/>
    </row>
    <row r="64617" spans="3:13" ht="12.75" customHeight="1" x14ac:dyDescent="0.25">
      <c r="C64617"/>
      <c r="M64617"/>
    </row>
    <row r="64618" spans="3:13" ht="12.75" customHeight="1" x14ac:dyDescent="0.25">
      <c r="C64618"/>
      <c r="M64618"/>
    </row>
    <row r="64619" spans="3:13" ht="12.75" customHeight="1" x14ac:dyDescent="0.25">
      <c r="C64619"/>
      <c r="M64619"/>
    </row>
    <row r="64620" spans="3:13" ht="12.75" customHeight="1" x14ac:dyDescent="0.25">
      <c r="C64620"/>
      <c r="M64620"/>
    </row>
    <row r="64621" spans="3:13" ht="12.75" customHeight="1" x14ac:dyDescent="0.25">
      <c r="C64621"/>
      <c r="M64621"/>
    </row>
    <row r="64622" spans="3:13" ht="12.75" customHeight="1" x14ac:dyDescent="0.25">
      <c r="C64622"/>
      <c r="M64622"/>
    </row>
    <row r="64623" spans="3:13" ht="12.75" customHeight="1" x14ac:dyDescent="0.25">
      <c r="C64623"/>
      <c r="M64623"/>
    </row>
    <row r="64624" spans="3:13" ht="12.75" customHeight="1" x14ac:dyDescent="0.25">
      <c r="C64624"/>
      <c r="M64624"/>
    </row>
    <row r="64625" spans="3:13" ht="12.75" customHeight="1" x14ac:dyDescent="0.25">
      <c r="C64625"/>
      <c r="M64625"/>
    </row>
    <row r="64626" spans="3:13" ht="12.75" customHeight="1" x14ac:dyDescent="0.25">
      <c r="C64626"/>
      <c r="M64626"/>
    </row>
    <row r="64627" spans="3:13" ht="12.75" customHeight="1" x14ac:dyDescent="0.25">
      <c r="C64627"/>
      <c r="M64627"/>
    </row>
    <row r="64628" spans="3:13" ht="12.75" customHeight="1" x14ac:dyDescent="0.25">
      <c r="C64628"/>
      <c r="M64628"/>
    </row>
    <row r="64629" spans="3:13" ht="12.75" customHeight="1" x14ac:dyDescent="0.25">
      <c r="C64629"/>
      <c r="M64629"/>
    </row>
    <row r="64630" spans="3:13" ht="12.75" customHeight="1" x14ac:dyDescent="0.25">
      <c r="C64630"/>
      <c r="M64630"/>
    </row>
    <row r="64631" spans="3:13" ht="12.75" customHeight="1" x14ac:dyDescent="0.25">
      <c r="C64631"/>
      <c r="M64631"/>
    </row>
    <row r="64632" spans="3:13" ht="12.75" customHeight="1" x14ac:dyDescent="0.25">
      <c r="C64632"/>
      <c r="M64632"/>
    </row>
    <row r="64633" spans="3:13" ht="12.75" customHeight="1" x14ac:dyDescent="0.25">
      <c r="C64633"/>
      <c r="M64633"/>
    </row>
    <row r="64634" spans="3:13" ht="12.75" customHeight="1" x14ac:dyDescent="0.25">
      <c r="C64634"/>
      <c r="M64634"/>
    </row>
    <row r="64635" spans="3:13" ht="12.75" customHeight="1" x14ac:dyDescent="0.25">
      <c r="C64635"/>
      <c r="M64635"/>
    </row>
    <row r="64636" spans="3:13" ht="12.75" customHeight="1" x14ac:dyDescent="0.25">
      <c r="C64636"/>
      <c r="M64636"/>
    </row>
    <row r="64637" spans="3:13" ht="12.75" customHeight="1" x14ac:dyDescent="0.25">
      <c r="C64637"/>
      <c r="M64637"/>
    </row>
    <row r="64638" spans="3:13" ht="12.75" customHeight="1" x14ac:dyDescent="0.25">
      <c r="C64638"/>
      <c r="M64638"/>
    </row>
    <row r="64639" spans="3:13" ht="12.75" customHeight="1" x14ac:dyDescent="0.25">
      <c r="C64639"/>
      <c r="M64639"/>
    </row>
    <row r="64640" spans="3:13" ht="12.75" customHeight="1" x14ac:dyDescent="0.25">
      <c r="C64640"/>
      <c r="M64640"/>
    </row>
    <row r="64641" spans="3:13" ht="12.75" customHeight="1" x14ac:dyDescent="0.25">
      <c r="C64641"/>
      <c r="M64641"/>
    </row>
    <row r="64642" spans="3:13" ht="12.75" customHeight="1" x14ac:dyDescent="0.25">
      <c r="C64642"/>
      <c r="M64642"/>
    </row>
    <row r="64643" spans="3:13" ht="12.75" customHeight="1" x14ac:dyDescent="0.25">
      <c r="C64643"/>
      <c r="M64643"/>
    </row>
    <row r="64644" spans="3:13" ht="12.75" customHeight="1" x14ac:dyDescent="0.25">
      <c r="C64644"/>
      <c r="M64644"/>
    </row>
    <row r="64645" spans="3:13" ht="12.75" customHeight="1" x14ac:dyDescent="0.25">
      <c r="C64645"/>
      <c r="M64645"/>
    </row>
    <row r="64646" spans="3:13" ht="12.75" customHeight="1" x14ac:dyDescent="0.25">
      <c r="C64646"/>
      <c r="M64646"/>
    </row>
    <row r="64647" spans="3:13" ht="12.75" customHeight="1" x14ac:dyDescent="0.25">
      <c r="C64647"/>
      <c r="M64647"/>
    </row>
    <row r="64648" spans="3:13" ht="12.75" customHeight="1" x14ac:dyDescent="0.25">
      <c r="C64648"/>
      <c r="M64648"/>
    </row>
    <row r="64649" spans="3:13" ht="12.75" customHeight="1" x14ac:dyDescent="0.25">
      <c r="C64649"/>
      <c r="M64649"/>
    </row>
    <row r="64650" spans="3:13" ht="12.75" customHeight="1" x14ac:dyDescent="0.25">
      <c r="C64650"/>
      <c r="M64650"/>
    </row>
    <row r="64651" spans="3:13" ht="12.75" customHeight="1" x14ac:dyDescent="0.25">
      <c r="C64651"/>
      <c r="M64651"/>
    </row>
    <row r="64652" spans="3:13" ht="12.75" customHeight="1" x14ac:dyDescent="0.25">
      <c r="C64652"/>
      <c r="M64652"/>
    </row>
    <row r="64653" spans="3:13" ht="12.75" customHeight="1" x14ac:dyDescent="0.25">
      <c r="C64653"/>
      <c r="M64653"/>
    </row>
    <row r="64654" spans="3:13" ht="12.75" customHeight="1" x14ac:dyDescent="0.25">
      <c r="C64654"/>
      <c r="M64654"/>
    </row>
    <row r="64655" spans="3:13" ht="12.75" customHeight="1" x14ac:dyDescent="0.25">
      <c r="C64655"/>
      <c r="M64655"/>
    </row>
    <row r="64656" spans="3:13" ht="12.75" customHeight="1" x14ac:dyDescent="0.25">
      <c r="C64656"/>
      <c r="M64656"/>
    </row>
    <row r="64657" spans="3:13" ht="12.75" customHeight="1" x14ac:dyDescent="0.25">
      <c r="C64657"/>
      <c r="M64657"/>
    </row>
    <row r="64658" spans="3:13" ht="12.75" customHeight="1" x14ac:dyDescent="0.25">
      <c r="C64658"/>
      <c r="M64658"/>
    </row>
    <row r="64659" spans="3:13" ht="12.75" customHeight="1" x14ac:dyDescent="0.25">
      <c r="C64659"/>
      <c r="M64659"/>
    </row>
    <row r="64660" spans="3:13" ht="12.75" customHeight="1" x14ac:dyDescent="0.25">
      <c r="C64660"/>
      <c r="M64660"/>
    </row>
    <row r="64661" spans="3:13" ht="12.75" customHeight="1" x14ac:dyDescent="0.25">
      <c r="C64661"/>
      <c r="M64661"/>
    </row>
    <row r="64662" spans="3:13" ht="12.75" customHeight="1" x14ac:dyDescent="0.25">
      <c r="C64662"/>
      <c r="M64662"/>
    </row>
    <row r="64663" spans="3:13" ht="12.75" customHeight="1" x14ac:dyDescent="0.25">
      <c r="C64663"/>
      <c r="M64663"/>
    </row>
    <row r="64664" spans="3:13" ht="12.75" customHeight="1" x14ac:dyDescent="0.25">
      <c r="C64664"/>
      <c r="M64664"/>
    </row>
    <row r="64665" spans="3:13" ht="12.75" customHeight="1" x14ac:dyDescent="0.25">
      <c r="C64665"/>
      <c r="M64665"/>
    </row>
    <row r="64666" spans="3:13" ht="12.75" customHeight="1" x14ac:dyDescent="0.25">
      <c r="C64666"/>
      <c r="M64666"/>
    </row>
    <row r="64667" spans="3:13" ht="12.75" customHeight="1" x14ac:dyDescent="0.25">
      <c r="C64667"/>
      <c r="M64667"/>
    </row>
    <row r="64668" spans="3:13" ht="12.75" customHeight="1" x14ac:dyDescent="0.25">
      <c r="C64668"/>
      <c r="M64668"/>
    </row>
    <row r="64669" spans="3:13" ht="12.75" customHeight="1" x14ac:dyDescent="0.25">
      <c r="C64669"/>
      <c r="M64669"/>
    </row>
    <row r="64670" spans="3:13" ht="12.75" customHeight="1" x14ac:dyDescent="0.25">
      <c r="C64670"/>
      <c r="M64670"/>
    </row>
    <row r="64671" spans="3:13" ht="12.75" customHeight="1" x14ac:dyDescent="0.25">
      <c r="C64671"/>
      <c r="M64671"/>
    </row>
    <row r="64672" spans="3:13" ht="12.75" customHeight="1" x14ac:dyDescent="0.25">
      <c r="C64672"/>
      <c r="M64672"/>
    </row>
    <row r="64673" spans="3:13" ht="12.75" customHeight="1" x14ac:dyDescent="0.25">
      <c r="C64673"/>
      <c r="M64673"/>
    </row>
    <row r="64674" spans="3:13" ht="12.75" customHeight="1" x14ac:dyDescent="0.25">
      <c r="C64674"/>
      <c r="M64674"/>
    </row>
    <row r="64675" spans="3:13" ht="12.75" customHeight="1" x14ac:dyDescent="0.25">
      <c r="C64675"/>
      <c r="M64675"/>
    </row>
    <row r="64676" spans="3:13" ht="12.75" customHeight="1" x14ac:dyDescent="0.25">
      <c r="C64676"/>
      <c r="M64676"/>
    </row>
    <row r="64677" spans="3:13" ht="12.75" customHeight="1" x14ac:dyDescent="0.25">
      <c r="C64677"/>
      <c r="M64677"/>
    </row>
    <row r="64678" spans="3:13" ht="12.75" customHeight="1" x14ac:dyDescent="0.25">
      <c r="C64678"/>
      <c r="M64678"/>
    </row>
    <row r="64679" spans="3:13" ht="12.75" customHeight="1" x14ac:dyDescent="0.25">
      <c r="C64679"/>
      <c r="M64679"/>
    </row>
    <row r="64680" spans="3:13" ht="12.75" customHeight="1" x14ac:dyDescent="0.25">
      <c r="C64680"/>
      <c r="M64680"/>
    </row>
    <row r="64681" spans="3:13" ht="12.75" customHeight="1" x14ac:dyDescent="0.25">
      <c r="C64681"/>
      <c r="M64681"/>
    </row>
    <row r="64682" spans="3:13" ht="12.75" customHeight="1" x14ac:dyDescent="0.25">
      <c r="C64682"/>
      <c r="M64682"/>
    </row>
    <row r="64683" spans="3:13" ht="12.75" customHeight="1" x14ac:dyDescent="0.25">
      <c r="C64683"/>
      <c r="M64683"/>
    </row>
    <row r="64684" spans="3:13" ht="12.75" customHeight="1" x14ac:dyDescent="0.25">
      <c r="C64684"/>
      <c r="M64684"/>
    </row>
    <row r="64685" spans="3:13" ht="12.75" customHeight="1" x14ac:dyDescent="0.25">
      <c r="C64685"/>
      <c r="M64685"/>
    </row>
    <row r="64686" spans="3:13" ht="12.75" customHeight="1" x14ac:dyDescent="0.25">
      <c r="C64686"/>
      <c r="M64686"/>
    </row>
    <row r="64687" spans="3:13" ht="12.75" customHeight="1" x14ac:dyDescent="0.25">
      <c r="C64687"/>
      <c r="M64687"/>
    </row>
    <row r="64688" spans="3:13" ht="12.75" customHeight="1" x14ac:dyDescent="0.25">
      <c r="C64688"/>
      <c r="M64688"/>
    </row>
    <row r="64689" spans="3:13" ht="12.75" customHeight="1" x14ac:dyDescent="0.25">
      <c r="C64689"/>
      <c r="M64689"/>
    </row>
    <row r="64690" spans="3:13" ht="12.75" customHeight="1" x14ac:dyDescent="0.25">
      <c r="C64690"/>
      <c r="M64690"/>
    </row>
    <row r="64691" spans="3:13" ht="12.75" customHeight="1" x14ac:dyDescent="0.25">
      <c r="C64691"/>
      <c r="M64691"/>
    </row>
    <row r="64692" spans="3:13" ht="12.75" customHeight="1" x14ac:dyDescent="0.25">
      <c r="C64692"/>
      <c r="M64692"/>
    </row>
    <row r="64693" spans="3:13" ht="12.75" customHeight="1" x14ac:dyDescent="0.25">
      <c r="C64693"/>
      <c r="M64693"/>
    </row>
    <row r="64694" spans="3:13" ht="12.75" customHeight="1" x14ac:dyDescent="0.25">
      <c r="C64694"/>
      <c r="M64694"/>
    </row>
    <row r="64695" spans="3:13" ht="12.75" customHeight="1" x14ac:dyDescent="0.25">
      <c r="C64695"/>
      <c r="M64695"/>
    </row>
    <row r="64696" spans="3:13" ht="12.75" customHeight="1" x14ac:dyDescent="0.25">
      <c r="C64696"/>
      <c r="M64696"/>
    </row>
    <row r="64697" spans="3:13" ht="12.75" customHeight="1" x14ac:dyDescent="0.25">
      <c r="C64697"/>
      <c r="M64697"/>
    </row>
    <row r="64698" spans="3:13" ht="12.75" customHeight="1" x14ac:dyDescent="0.25">
      <c r="C64698"/>
      <c r="M64698"/>
    </row>
    <row r="64699" spans="3:13" ht="12.75" customHeight="1" x14ac:dyDescent="0.25">
      <c r="C64699"/>
      <c r="M64699"/>
    </row>
    <row r="64700" spans="3:13" ht="12.75" customHeight="1" x14ac:dyDescent="0.25">
      <c r="C64700"/>
      <c r="M64700"/>
    </row>
    <row r="64701" spans="3:13" ht="12.75" customHeight="1" x14ac:dyDescent="0.25">
      <c r="C64701"/>
      <c r="M64701"/>
    </row>
    <row r="64702" spans="3:13" ht="12.75" customHeight="1" x14ac:dyDescent="0.25">
      <c r="C64702"/>
      <c r="M64702"/>
    </row>
    <row r="64703" spans="3:13" ht="12.75" customHeight="1" x14ac:dyDescent="0.25">
      <c r="C64703"/>
      <c r="M64703"/>
    </row>
    <row r="64704" spans="3:13" ht="12.75" customHeight="1" x14ac:dyDescent="0.25">
      <c r="C64704"/>
      <c r="M64704"/>
    </row>
    <row r="64705" spans="3:13" ht="12.75" customHeight="1" x14ac:dyDescent="0.25">
      <c r="C64705"/>
      <c r="M64705"/>
    </row>
    <row r="64706" spans="3:13" ht="12.75" customHeight="1" x14ac:dyDescent="0.25">
      <c r="C64706"/>
      <c r="M64706"/>
    </row>
    <row r="64707" spans="3:13" ht="12.75" customHeight="1" x14ac:dyDescent="0.25">
      <c r="C64707"/>
      <c r="M64707"/>
    </row>
    <row r="64708" spans="3:13" ht="12.75" customHeight="1" x14ac:dyDescent="0.25">
      <c r="C64708"/>
      <c r="M64708"/>
    </row>
    <row r="64709" spans="3:13" ht="12.75" customHeight="1" x14ac:dyDescent="0.25">
      <c r="C64709"/>
      <c r="M64709"/>
    </row>
    <row r="64710" spans="3:13" ht="12.75" customHeight="1" x14ac:dyDescent="0.25">
      <c r="C64710"/>
      <c r="M64710"/>
    </row>
    <row r="64711" spans="3:13" ht="12.75" customHeight="1" x14ac:dyDescent="0.25">
      <c r="C64711"/>
      <c r="M64711"/>
    </row>
    <row r="64712" spans="3:13" ht="12.75" customHeight="1" x14ac:dyDescent="0.25">
      <c r="C64712"/>
      <c r="M64712"/>
    </row>
    <row r="64713" spans="3:13" ht="12.75" customHeight="1" x14ac:dyDescent="0.25">
      <c r="C64713"/>
      <c r="M64713"/>
    </row>
    <row r="64714" spans="3:13" ht="12.75" customHeight="1" x14ac:dyDescent="0.25">
      <c r="C64714"/>
      <c r="M64714"/>
    </row>
    <row r="64715" spans="3:13" ht="12.75" customHeight="1" x14ac:dyDescent="0.25">
      <c r="C64715"/>
      <c r="M64715"/>
    </row>
    <row r="64716" spans="3:13" ht="12.75" customHeight="1" x14ac:dyDescent="0.25">
      <c r="C64716"/>
      <c r="M64716"/>
    </row>
    <row r="64717" spans="3:13" ht="12.75" customHeight="1" x14ac:dyDescent="0.25">
      <c r="C64717"/>
      <c r="M64717"/>
    </row>
    <row r="64718" spans="3:13" ht="12.75" customHeight="1" x14ac:dyDescent="0.25">
      <c r="C64718"/>
      <c r="M64718"/>
    </row>
    <row r="64719" spans="3:13" ht="12.75" customHeight="1" x14ac:dyDescent="0.25">
      <c r="C64719"/>
      <c r="M64719"/>
    </row>
    <row r="64720" spans="3:13" ht="12.75" customHeight="1" x14ac:dyDescent="0.25">
      <c r="C64720"/>
      <c r="M64720"/>
    </row>
    <row r="64721" spans="3:13" ht="12.75" customHeight="1" x14ac:dyDescent="0.25">
      <c r="C64721"/>
      <c r="M64721"/>
    </row>
    <row r="64722" spans="3:13" ht="12.75" customHeight="1" x14ac:dyDescent="0.25">
      <c r="C64722"/>
      <c r="M64722"/>
    </row>
    <row r="64723" spans="3:13" ht="12.75" customHeight="1" x14ac:dyDescent="0.25">
      <c r="C64723"/>
      <c r="M64723"/>
    </row>
    <row r="64724" spans="3:13" ht="12.75" customHeight="1" x14ac:dyDescent="0.25">
      <c r="C64724"/>
      <c r="M64724"/>
    </row>
    <row r="64725" spans="3:13" ht="12.75" customHeight="1" x14ac:dyDescent="0.25">
      <c r="C64725"/>
      <c r="M64725"/>
    </row>
    <row r="64726" spans="3:13" ht="12.75" customHeight="1" x14ac:dyDescent="0.25">
      <c r="C64726"/>
      <c r="M64726"/>
    </row>
    <row r="64727" spans="3:13" ht="12.75" customHeight="1" x14ac:dyDescent="0.25">
      <c r="C64727"/>
      <c r="M64727"/>
    </row>
    <row r="64728" spans="3:13" ht="12.75" customHeight="1" x14ac:dyDescent="0.25">
      <c r="C64728"/>
      <c r="M64728"/>
    </row>
    <row r="64729" spans="3:13" ht="12.75" customHeight="1" x14ac:dyDescent="0.25">
      <c r="C64729"/>
      <c r="M64729"/>
    </row>
    <row r="64730" spans="3:13" ht="12.75" customHeight="1" x14ac:dyDescent="0.25">
      <c r="C64730"/>
      <c r="M64730"/>
    </row>
    <row r="64731" spans="3:13" ht="12.75" customHeight="1" x14ac:dyDescent="0.25">
      <c r="C64731"/>
      <c r="M64731"/>
    </row>
    <row r="64732" spans="3:13" ht="12.75" customHeight="1" x14ac:dyDescent="0.25">
      <c r="C64732"/>
      <c r="M64732"/>
    </row>
    <row r="64733" spans="3:13" ht="12.75" customHeight="1" x14ac:dyDescent="0.25">
      <c r="C64733"/>
      <c r="M64733"/>
    </row>
    <row r="64734" spans="3:13" ht="12.75" customHeight="1" x14ac:dyDescent="0.25">
      <c r="C64734"/>
      <c r="M64734"/>
    </row>
    <row r="64735" spans="3:13" ht="12.75" customHeight="1" x14ac:dyDescent="0.25">
      <c r="C64735"/>
      <c r="M64735"/>
    </row>
    <row r="64736" spans="3:13" ht="12.75" customHeight="1" x14ac:dyDescent="0.25">
      <c r="C64736"/>
      <c r="M64736"/>
    </row>
    <row r="64737" spans="3:13" ht="12.75" customHeight="1" x14ac:dyDescent="0.25">
      <c r="C64737"/>
      <c r="M64737"/>
    </row>
    <row r="64738" spans="3:13" ht="12.75" customHeight="1" x14ac:dyDescent="0.25">
      <c r="C64738"/>
      <c r="M64738"/>
    </row>
    <row r="64739" spans="3:13" ht="12.75" customHeight="1" x14ac:dyDescent="0.25">
      <c r="C64739"/>
      <c r="M64739"/>
    </row>
    <row r="64740" spans="3:13" ht="12.75" customHeight="1" x14ac:dyDescent="0.25">
      <c r="C64740"/>
      <c r="M64740"/>
    </row>
    <row r="64741" spans="3:13" ht="12.75" customHeight="1" x14ac:dyDescent="0.25">
      <c r="C64741"/>
      <c r="M64741"/>
    </row>
    <row r="64742" spans="3:13" ht="12.75" customHeight="1" x14ac:dyDescent="0.25">
      <c r="C64742"/>
      <c r="M64742"/>
    </row>
    <row r="64743" spans="3:13" ht="12.75" customHeight="1" x14ac:dyDescent="0.25">
      <c r="C64743"/>
      <c r="M64743"/>
    </row>
    <row r="64744" spans="3:13" ht="12.75" customHeight="1" x14ac:dyDescent="0.25">
      <c r="C64744"/>
      <c r="M64744"/>
    </row>
    <row r="64745" spans="3:13" ht="12.75" customHeight="1" x14ac:dyDescent="0.25">
      <c r="C64745"/>
      <c r="M64745"/>
    </row>
    <row r="64746" spans="3:13" ht="12.75" customHeight="1" x14ac:dyDescent="0.25">
      <c r="C64746"/>
      <c r="M64746"/>
    </row>
    <row r="64747" spans="3:13" ht="12.75" customHeight="1" x14ac:dyDescent="0.25">
      <c r="C64747"/>
      <c r="M64747"/>
    </row>
    <row r="64748" spans="3:13" ht="12.75" customHeight="1" x14ac:dyDescent="0.25">
      <c r="C64748"/>
      <c r="M64748"/>
    </row>
    <row r="64749" spans="3:13" ht="12.75" customHeight="1" x14ac:dyDescent="0.25">
      <c r="C64749"/>
      <c r="M64749"/>
    </row>
    <row r="64750" spans="3:13" ht="12.75" customHeight="1" x14ac:dyDescent="0.25">
      <c r="C64750"/>
      <c r="M64750"/>
    </row>
    <row r="64751" spans="3:13" ht="12.75" customHeight="1" x14ac:dyDescent="0.25">
      <c r="C64751"/>
      <c r="M64751"/>
    </row>
    <row r="64752" spans="3:13" ht="12.75" customHeight="1" x14ac:dyDescent="0.25">
      <c r="C64752"/>
      <c r="M64752"/>
    </row>
    <row r="64753" spans="3:13" ht="12.75" customHeight="1" x14ac:dyDescent="0.25">
      <c r="C64753"/>
      <c r="M64753"/>
    </row>
    <row r="64754" spans="3:13" ht="12.75" customHeight="1" x14ac:dyDescent="0.25">
      <c r="C64754"/>
      <c r="M64754"/>
    </row>
    <row r="64755" spans="3:13" ht="12.75" customHeight="1" x14ac:dyDescent="0.25">
      <c r="C64755"/>
      <c r="M64755"/>
    </row>
    <row r="64756" spans="3:13" ht="12.75" customHeight="1" x14ac:dyDescent="0.25">
      <c r="C64756"/>
      <c r="M64756"/>
    </row>
    <row r="64757" spans="3:13" ht="12.75" customHeight="1" x14ac:dyDescent="0.25">
      <c r="C64757"/>
      <c r="M64757"/>
    </row>
    <row r="64758" spans="3:13" ht="12.75" customHeight="1" x14ac:dyDescent="0.25">
      <c r="C64758"/>
      <c r="M64758"/>
    </row>
    <row r="64759" spans="3:13" ht="12.75" customHeight="1" x14ac:dyDescent="0.25">
      <c r="C64759"/>
      <c r="M64759"/>
    </row>
    <row r="64760" spans="3:13" ht="12.75" customHeight="1" x14ac:dyDescent="0.25">
      <c r="C64760"/>
      <c r="M64760"/>
    </row>
    <row r="64761" spans="3:13" ht="12.75" customHeight="1" x14ac:dyDescent="0.25">
      <c r="C64761"/>
      <c r="M64761"/>
    </row>
    <row r="64762" spans="3:13" ht="12.75" customHeight="1" x14ac:dyDescent="0.25">
      <c r="C64762"/>
      <c r="M64762"/>
    </row>
    <row r="64763" spans="3:13" ht="12.75" customHeight="1" x14ac:dyDescent="0.25">
      <c r="C64763"/>
      <c r="M64763"/>
    </row>
    <row r="64764" spans="3:13" ht="12.75" customHeight="1" x14ac:dyDescent="0.25">
      <c r="C64764"/>
      <c r="M64764"/>
    </row>
    <row r="64765" spans="3:13" ht="12.75" customHeight="1" x14ac:dyDescent="0.25">
      <c r="C64765"/>
      <c r="M64765"/>
    </row>
    <row r="64766" spans="3:13" ht="12.75" customHeight="1" x14ac:dyDescent="0.25">
      <c r="C64766"/>
      <c r="M64766"/>
    </row>
    <row r="64767" spans="3:13" ht="12.75" customHeight="1" x14ac:dyDescent="0.25">
      <c r="C64767"/>
      <c r="M64767"/>
    </row>
    <row r="64768" spans="3:13" ht="12.75" customHeight="1" x14ac:dyDescent="0.25">
      <c r="C64768"/>
      <c r="M64768"/>
    </row>
    <row r="64769" spans="3:13" ht="12.75" customHeight="1" x14ac:dyDescent="0.25">
      <c r="C64769"/>
      <c r="M64769"/>
    </row>
    <row r="64770" spans="3:13" ht="12.75" customHeight="1" x14ac:dyDescent="0.25">
      <c r="C64770"/>
      <c r="M64770"/>
    </row>
    <row r="64771" spans="3:13" ht="12.75" customHeight="1" x14ac:dyDescent="0.25">
      <c r="C64771"/>
      <c r="M64771"/>
    </row>
    <row r="64772" spans="3:13" ht="12.75" customHeight="1" x14ac:dyDescent="0.25">
      <c r="C64772"/>
      <c r="M64772"/>
    </row>
    <row r="64773" spans="3:13" ht="12.75" customHeight="1" x14ac:dyDescent="0.25">
      <c r="C64773"/>
      <c r="M64773"/>
    </row>
    <row r="64774" spans="3:13" ht="12.75" customHeight="1" x14ac:dyDescent="0.25">
      <c r="C64774"/>
      <c r="M64774"/>
    </row>
    <row r="64775" spans="3:13" ht="12.75" customHeight="1" x14ac:dyDescent="0.25">
      <c r="C64775"/>
      <c r="M64775"/>
    </row>
    <row r="64776" spans="3:13" ht="12.75" customHeight="1" x14ac:dyDescent="0.25">
      <c r="C64776"/>
      <c r="M64776"/>
    </row>
    <row r="64777" spans="3:13" ht="12.75" customHeight="1" x14ac:dyDescent="0.25">
      <c r="C64777"/>
      <c r="M64777"/>
    </row>
    <row r="64778" spans="3:13" ht="12.75" customHeight="1" x14ac:dyDescent="0.25">
      <c r="C64778"/>
      <c r="M64778"/>
    </row>
    <row r="64779" spans="3:13" ht="12.75" customHeight="1" x14ac:dyDescent="0.25">
      <c r="C64779"/>
      <c r="M64779"/>
    </row>
    <row r="64780" spans="3:13" ht="12.75" customHeight="1" x14ac:dyDescent="0.25">
      <c r="C64780"/>
      <c r="M64780"/>
    </row>
    <row r="64781" spans="3:13" ht="12.75" customHeight="1" x14ac:dyDescent="0.25">
      <c r="C64781"/>
      <c r="M64781"/>
    </row>
    <row r="64782" spans="3:13" ht="12.75" customHeight="1" x14ac:dyDescent="0.25">
      <c r="C64782"/>
      <c r="M64782"/>
    </row>
    <row r="64783" spans="3:13" ht="12.75" customHeight="1" x14ac:dyDescent="0.25">
      <c r="C64783"/>
      <c r="M64783"/>
    </row>
    <row r="64784" spans="3:13" ht="12.75" customHeight="1" x14ac:dyDescent="0.25">
      <c r="C64784"/>
      <c r="M64784"/>
    </row>
    <row r="64785" spans="3:13" ht="12.75" customHeight="1" x14ac:dyDescent="0.25">
      <c r="C64785"/>
      <c r="M64785"/>
    </row>
    <row r="64786" spans="3:13" ht="12.75" customHeight="1" x14ac:dyDescent="0.25">
      <c r="C64786"/>
      <c r="M64786"/>
    </row>
    <row r="64787" spans="3:13" ht="12.75" customHeight="1" x14ac:dyDescent="0.25">
      <c r="C64787"/>
      <c r="M64787"/>
    </row>
    <row r="64788" spans="3:13" ht="12.75" customHeight="1" x14ac:dyDescent="0.25">
      <c r="C64788"/>
      <c r="M64788"/>
    </row>
    <row r="64789" spans="3:13" ht="12.75" customHeight="1" x14ac:dyDescent="0.25">
      <c r="C64789"/>
      <c r="M64789"/>
    </row>
    <row r="64790" spans="3:13" ht="12.75" customHeight="1" x14ac:dyDescent="0.25">
      <c r="C64790"/>
      <c r="M64790"/>
    </row>
    <row r="64791" spans="3:13" ht="12.75" customHeight="1" x14ac:dyDescent="0.25">
      <c r="C64791"/>
      <c r="M64791"/>
    </row>
    <row r="64792" spans="3:13" ht="12.75" customHeight="1" x14ac:dyDescent="0.25">
      <c r="C64792"/>
      <c r="M64792"/>
    </row>
    <row r="64793" spans="3:13" ht="12.75" customHeight="1" x14ac:dyDescent="0.25">
      <c r="C64793"/>
      <c r="M64793"/>
    </row>
    <row r="64794" spans="3:13" ht="12.75" customHeight="1" x14ac:dyDescent="0.25">
      <c r="C64794"/>
      <c r="M64794"/>
    </row>
    <row r="64795" spans="3:13" ht="12.75" customHeight="1" x14ac:dyDescent="0.25">
      <c r="C64795"/>
      <c r="M64795"/>
    </row>
    <row r="64796" spans="3:13" ht="12.75" customHeight="1" x14ac:dyDescent="0.25">
      <c r="C64796"/>
      <c r="M64796"/>
    </row>
    <row r="64797" spans="3:13" ht="12.75" customHeight="1" x14ac:dyDescent="0.25">
      <c r="C64797"/>
      <c r="M64797"/>
    </row>
    <row r="64798" spans="3:13" ht="12.75" customHeight="1" x14ac:dyDescent="0.25">
      <c r="C64798"/>
      <c r="M64798"/>
    </row>
    <row r="64799" spans="3:13" ht="12.75" customHeight="1" x14ac:dyDescent="0.25">
      <c r="C64799"/>
      <c r="M64799"/>
    </row>
    <row r="64800" spans="3:13" ht="12.75" customHeight="1" x14ac:dyDescent="0.25">
      <c r="C64800"/>
      <c r="M64800"/>
    </row>
    <row r="64801" spans="3:13" ht="12.75" customHeight="1" x14ac:dyDescent="0.25">
      <c r="C64801"/>
      <c r="M64801"/>
    </row>
    <row r="64802" spans="3:13" ht="12.75" customHeight="1" x14ac:dyDescent="0.25">
      <c r="C64802"/>
      <c r="M64802"/>
    </row>
    <row r="64803" spans="3:13" ht="12.75" customHeight="1" x14ac:dyDescent="0.25">
      <c r="C64803"/>
      <c r="M64803"/>
    </row>
    <row r="64804" spans="3:13" ht="12.75" customHeight="1" x14ac:dyDescent="0.25">
      <c r="C64804"/>
      <c r="M64804"/>
    </row>
    <row r="64805" spans="3:13" ht="12.75" customHeight="1" x14ac:dyDescent="0.25">
      <c r="C64805"/>
      <c r="M64805"/>
    </row>
    <row r="64806" spans="3:13" ht="12.75" customHeight="1" x14ac:dyDescent="0.25">
      <c r="C64806"/>
      <c r="M64806"/>
    </row>
    <row r="64807" spans="3:13" ht="12.75" customHeight="1" x14ac:dyDescent="0.25">
      <c r="C64807"/>
      <c r="M64807"/>
    </row>
    <row r="64808" spans="3:13" ht="12.75" customHeight="1" x14ac:dyDescent="0.25">
      <c r="C64808"/>
      <c r="M64808"/>
    </row>
    <row r="64809" spans="3:13" ht="12.75" customHeight="1" x14ac:dyDescent="0.25">
      <c r="C64809"/>
      <c r="M64809"/>
    </row>
    <row r="64810" spans="3:13" ht="12.75" customHeight="1" x14ac:dyDescent="0.25">
      <c r="C64810"/>
      <c r="M64810"/>
    </row>
    <row r="64811" spans="3:13" ht="12.75" customHeight="1" x14ac:dyDescent="0.25">
      <c r="C64811"/>
      <c r="M64811"/>
    </row>
    <row r="64812" spans="3:13" ht="12.75" customHeight="1" x14ac:dyDescent="0.25">
      <c r="C64812"/>
      <c r="M64812"/>
    </row>
    <row r="64813" spans="3:13" ht="12.75" customHeight="1" x14ac:dyDescent="0.25">
      <c r="C64813"/>
      <c r="M64813"/>
    </row>
    <row r="64814" spans="3:13" ht="12.75" customHeight="1" x14ac:dyDescent="0.25">
      <c r="C64814"/>
      <c r="M64814"/>
    </row>
    <row r="64815" spans="3:13" ht="12.75" customHeight="1" x14ac:dyDescent="0.25">
      <c r="C64815"/>
      <c r="M64815"/>
    </row>
    <row r="64816" spans="3:13" ht="12.75" customHeight="1" x14ac:dyDescent="0.25">
      <c r="C64816"/>
      <c r="M64816"/>
    </row>
    <row r="64817" spans="3:13" ht="12.75" customHeight="1" x14ac:dyDescent="0.25">
      <c r="C64817"/>
      <c r="M64817"/>
    </row>
    <row r="64818" spans="3:13" ht="12.75" customHeight="1" x14ac:dyDescent="0.25">
      <c r="C64818"/>
      <c r="M64818"/>
    </row>
    <row r="64819" spans="3:13" ht="12.75" customHeight="1" x14ac:dyDescent="0.25">
      <c r="C64819"/>
      <c r="M64819"/>
    </row>
    <row r="64820" spans="3:13" ht="12.75" customHeight="1" x14ac:dyDescent="0.25">
      <c r="C64820"/>
      <c r="M64820"/>
    </row>
    <row r="64821" spans="3:13" ht="12.75" customHeight="1" x14ac:dyDescent="0.25">
      <c r="C64821"/>
      <c r="M64821"/>
    </row>
    <row r="64822" spans="3:13" ht="12.75" customHeight="1" x14ac:dyDescent="0.25">
      <c r="C64822"/>
      <c r="M64822"/>
    </row>
    <row r="64823" spans="3:13" ht="12.75" customHeight="1" x14ac:dyDescent="0.25">
      <c r="C64823"/>
      <c r="M64823"/>
    </row>
    <row r="64824" spans="3:13" ht="12.75" customHeight="1" x14ac:dyDescent="0.25">
      <c r="C64824"/>
      <c r="M64824"/>
    </row>
    <row r="64825" spans="3:13" ht="12.75" customHeight="1" x14ac:dyDescent="0.25">
      <c r="C64825"/>
      <c r="M64825"/>
    </row>
    <row r="64826" spans="3:13" ht="12.75" customHeight="1" x14ac:dyDescent="0.25">
      <c r="C64826"/>
      <c r="M64826"/>
    </row>
    <row r="64827" spans="3:13" ht="12.75" customHeight="1" x14ac:dyDescent="0.25">
      <c r="C64827"/>
      <c r="M64827"/>
    </row>
    <row r="64828" spans="3:13" ht="12.75" customHeight="1" x14ac:dyDescent="0.25">
      <c r="C64828"/>
      <c r="M64828"/>
    </row>
    <row r="64829" spans="3:13" ht="12.75" customHeight="1" x14ac:dyDescent="0.25">
      <c r="C64829"/>
      <c r="M64829"/>
    </row>
    <row r="64830" spans="3:13" ht="12.75" customHeight="1" x14ac:dyDescent="0.25">
      <c r="C64830"/>
      <c r="M64830"/>
    </row>
    <row r="64831" spans="3:13" ht="12.75" customHeight="1" x14ac:dyDescent="0.25">
      <c r="C64831"/>
      <c r="M64831"/>
    </row>
    <row r="64832" spans="3:13" ht="12.75" customHeight="1" x14ac:dyDescent="0.25">
      <c r="C64832"/>
      <c r="M64832"/>
    </row>
    <row r="64833" spans="3:13" ht="12.75" customHeight="1" x14ac:dyDescent="0.25">
      <c r="C64833"/>
      <c r="M64833"/>
    </row>
    <row r="64834" spans="3:13" ht="12.75" customHeight="1" x14ac:dyDescent="0.25">
      <c r="C64834"/>
      <c r="M64834"/>
    </row>
    <row r="64835" spans="3:13" ht="12.75" customHeight="1" x14ac:dyDescent="0.25">
      <c r="C64835"/>
      <c r="M64835"/>
    </row>
    <row r="64836" spans="3:13" ht="12.75" customHeight="1" x14ac:dyDescent="0.25">
      <c r="C64836"/>
      <c r="M64836"/>
    </row>
    <row r="64837" spans="3:13" ht="12.75" customHeight="1" x14ac:dyDescent="0.25">
      <c r="C64837"/>
      <c r="M64837"/>
    </row>
    <row r="64838" spans="3:13" ht="12.75" customHeight="1" x14ac:dyDescent="0.25">
      <c r="C64838"/>
      <c r="M64838"/>
    </row>
    <row r="64839" spans="3:13" ht="12.75" customHeight="1" x14ac:dyDescent="0.25">
      <c r="C64839"/>
      <c r="M64839"/>
    </row>
    <row r="64840" spans="3:13" ht="12.75" customHeight="1" x14ac:dyDescent="0.25">
      <c r="C64840"/>
      <c r="M64840"/>
    </row>
    <row r="64841" spans="3:13" ht="12.75" customHeight="1" x14ac:dyDescent="0.25">
      <c r="C64841"/>
      <c r="M64841"/>
    </row>
    <row r="64842" spans="3:13" ht="12.75" customHeight="1" x14ac:dyDescent="0.25">
      <c r="C64842"/>
      <c r="M64842"/>
    </row>
    <row r="64843" spans="3:13" ht="12.75" customHeight="1" x14ac:dyDescent="0.25">
      <c r="C64843"/>
      <c r="M64843"/>
    </row>
    <row r="64844" spans="3:13" ht="12.75" customHeight="1" x14ac:dyDescent="0.25">
      <c r="C64844"/>
      <c r="M64844"/>
    </row>
    <row r="64845" spans="3:13" ht="12.75" customHeight="1" x14ac:dyDescent="0.25">
      <c r="C64845"/>
      <c r="M64845"/>
    </row>
    <row r="64846" spans="3:13" ht="12.75" customHeight="1" x14ac:dyDescent="0.25">
      <c r="C64846"/>
      <c r="M64846"/>
    </row>
    <row r="64847" spans="3:13" ht="12.75" customHeight="1" x14ac:dyDescent="0.25">
      <c r="C64847"/>
      <c r="M64847"/>
    </row>
    <row r="64848" spans="3:13" ht="12.75" customHeight="1" x14ac:dyDescent="0.25">
      <c r="C64848"/>
      <c r="M64848"/>
    </row>
    <row r="64849" spans="3:13" ht="12.75" customHeight="1" x14ac:dyDescent="0.25">
      <c r="C64849"/>
      <c r="M64849"/>
    </row>
    <row r="64850" spans="3:13" ht="12.75" customHeight="1" x14ac:dyDescent="0.25">
      <c r="C64850"/>
      <c r="M64850"/>
    </row>
    <row r="64851" spans="3:13" ht="12.75" customHeight="1" x14ac:dyDescent="0.25">
      <c r="C64851"/>
      <c r="M64851"/>
    </row>
    <row r="64852" spans="3:13" ht="12.75" customHeight="1" x14ac:dyDescent="0.25">
      <c r="C64852"/>
      <c r="M64852"/>
    </row>
    <row r="64853" spans="3:13" ht="12.75" customHeight="1" x14ac:dyDescent="0.25">
      <c r="C64853"/>
      <c r="M64853"/>
    </row>
    <row r="64854" spans="3:13" ht="12.75" customHeight="1" x14ac:dyDescent="0.25">
      <c r="C64854"/>
      <c r="M64854"/>
    </row>
    <row r="64855" spans="3:13" ht="12.75" customHeight="1" x14ac:dyDescent="0.25">
      <c r="C64855"/>
      <c r="M64855"/>
    </row>
    <row r="64856" spans="3:13" ht="12.75" customHeight="1" x14ac:dyDescent="0.25">
      <c r="C64856"/>
      <c r="M64856"/>
    </row>
    <row r="64857" spans="3:13" ht="12.75" customHeight="1" x14ac:dyDescent="0.25">
      <c r="C64857"/>
      <c r="M64857"/>
    </row>
    <row r="64858" spans="3:13" ht="12.75" customHeight="1" x14ac:dyDescent="0.25">
      <c r="C64858"/>
      <c r="M64858"/>
    </row>
    <row r="64859" spans="3:13" ht="12.75" customHeight="1" x14ac:dyDescent="0.25">
      <c r="C64859"/>
      <c r="M64859"/>
    </row>
    <row r="64860" spans="3:13" ht="12.75" customHeight="1" x14ac:dyDescent="0.25">
      <c r="C64860"/>
      <c r="M64860"/>
    </row>
    <row r="64861" spans="3:13" ht="12.75" customHeight="1" x14ac:dyDescent="0.25">
      <c r="C64861"/>
      <c r="M64861"/>
    </row>
    <row r="64862" spans="3:13" ht="12.75" customHeight="1" x14ac:dyDescent="0.25">
      <c r="C64862"/>
      <c r="M64862"/>
    </row>
    <row r="64863" spans="3:13" ht="12.75" customHeight="1" x14ac:dyDescent="0.25">
      <c r="C64863"/>
      <c r="M64863"/>
    </row>
    <row r="64864" spans="3:13" ht="12.75" customHeight="1" x14ac:dyDescent="0.25">
      <c r="C64864"/>
      <c r="M64864"/>
    </row>
    <row r="64865" spans="3:13" ht="12.75" customHeight="1" x14ac:dyDescent="0.25">
      <c r="C64865"/>
      <c r="M64865"/>
    </row>
    <row r="64866" spans="3:13" ht="12.75" customHeight="1" x14ac:dyDescent="0.25">
      <c r="C64866"/>
      <c r="M64866"/>
    </row>
    <row r="64867" spans="3:13" ht="12.75" customHeight="1" x14ac:dyDescent="0.25">
      <c r="C64867"/>
      <c r="M64867"/>
    </row>
    <row r="64868" spans="3:13" ht="12.75" customHeight="1" x14ac:dyDescent="0.25">
      <c r="C64868"/>
      <c r="M64868"/>
    </row>
    <row r="64869" spans="3:13" ht="12.75" customHeight="1" x14ac:dyDescent="0.25">
      <c r="C64869"/>
      <c r="M64869"/>
    </row>
    <row r="64870" spans="3:13" ht="12.75" customHeight="1" x14ac:dyDescent="0.25">
      <c r="C64870"/>
      <c r="M64870"/>
    </row>
    <row r="64871" spans="3:13" ht="12.75" customHeight="1" x14ac:dyDescent="0.25">
      <c r="C64871"/>
      <c r="M64871"/>
    </row>
    <row r="64872" spans="3:13" ht="12.75" customHeight="1" x14ac:dyDescent="0.25">
      <c r="C64872"/>
      <c r="M64872"/>
    </row>
    <row r="64873" spans="3:13" ht="12.75" customHeight="1" x14ac:dyDescent="0.25">
      <c r="C64873"/>
      <c r="M64873"/>
    </row>
    <row r="64874" spans="3:13" ht="12.75" customHeight="1" x14ac:dyDescent="0.25">
      <c r="C64874"/>
      <c r="M64874"/>
    </row>
    <row r="64875" spans="3:13" ht="12.75" customHeight="1" x14ac:dyDescent="0.25">
      <c r="C64875"/>
      <c r="M64875"/>
    </row>
    <row r="64876" spans="3:13" ht="12.75" customHeight="1" x14ac:dyDescent="0.25">
      <c r="C64876"/>
      <c r="M64876"/>
    </row>
    <row r="64877" spans="3:13" ht="12.75" customHeight="1" x14ac:dyDescent="0.25">
      <c r="C64877"/>
      <c r="M64877"/>
    </row>
    <row r="64878" spans="3:13" ht="12.75" customHeight="1" x14ac:dyDescent="0.25">
      <c r="C64878"/>
      <c r="M64878"/>
    </row>
    <row r="64879" spans="3:13" ht="12.75" customHeight="1" x14ac:dyDescent="0.25">
      <c r="C64879"/>
      <c r="M64879"/>
    </row>
    <row r="64880" spans="3:13" ht="12.75" customHeight="1" x14ac:dyDescent="0.25">
      <c r="C64880"/>
      <c r="M64880"/>
    </row>
    <row r="64881" spans="3:13" ht="12.75" customHeight="1" x14ac:dyDescent="0.25">
      <c r="C64881"/>
      <c r="M64881"/>
    </row>
    <row r="64882" spans="3:13" ht="12.75" customHeight="1" x14ac:dyDescent="0.25">
      <c r="C64882"/>
      <c r="M64882"/>
    </row>
    <row r="64883" spans="3:13" ht="12.75" customHeight="1" x14ac:dyDescent="0.25">
      <c r="C64883"/>
      <c r="M64883"/>
    </row>
    <row r="64884" spans="3:13" ht="12.75" customHeight="1" x14ac:dyDescent="0.25">
      <c r="C64884"/>
      <c r="M64884"/>
    </row>
    <row r="64885" spans="3:13" ht="12.75" customHeight="1" x14ac:dyDescent="0.25">
      <c r="C64885"/>
      <c r="M64885"/>
    </row>
    <row r="64886" spans="3:13" ht="12.75" customHeight="1" x14ac:dyDescent="0.25">
      <c r="C64886"/>
      <c r="M64886"/>
    </row>
    <row r="64887" spans="3:13" ht="12.75" customHeight="1" x14ac:dyDescent="0.25">
      <c r="C64887"/>
      <c r="M64887"/>
    </row>
    <row r="64888" spans="3:13" ht="12.75" customHeight="1" x14ac:dyDescent="0.25">
      <c r="C64888"/>
      <c r="M64888"/>
    </row>
    <row r="64889" spans="3:13" ht="12.75" customHeight="1" x14ac:dyDescent="0.25">
      <c r="C64889"/>
      <c r="M64889"/>
    </row>
    <row r="64890" spans="3:13" ht="12.75" customHeight="1" x14ac:dyDescent="0.25">
      <c r="C64890"/>
      <c r="M64890"/>
    </row>
    <row r="64891" spans="3:13" ht="12.75" customHeight="1" x14ac:dyDescent="0.25">
      <c r="C64891"/>
      <c r="M64891"/>
    </row>
    <row r="64892" spans="3:13" ht="12.75" customHeight="1" x14ac:dyDescent="0.25">
      <c r="C64892"/>
      <c r="M64892"/>
    </row>
    <row r="64893" spans="3:13" ht="12.75" customHeight="1" x14ac:dyDescent="0.25">
      <c r="C64893"/>
      <c r="M64893"/>
    </row>
    <row r="64894" spans="3:13" ht="12.75" customHeight="1" x14ac:dyDescent="0.25">
      <c r="C64894"/>
      <c r="M64894"/>
    </row>
    <row r="64895" spans="3:13" ht="12.75" customHeight="1" x14ac:dyDescent="0.25">
      <c r="C64895"/>
      <c r="M64895"/>
    </row>
    <row r="64896" spans="3:13" ht="12.75" customHeight="1" x14ac:dyDescent="0.25">
      <c r="C64896"/>
      <c r="M64896"/>
    </row>
    <row r="64897" spans="3:13" ht="12.75" customHeight="1" x14ac:dyDescent="0.25">
      <c r="C64897"/>
      <c r="M64897"/>
    </row>
    <row r="64898" spans="3:13" ht="12.75" customHeight="1" x14ac:dyDescent="0.25">
      <c r="C64898"/>
      <c r="M64898"/>
    </row>
    <row r="64899" spans="3:13" ht="12.75" customHeight="1" x14ac:dyDescent="0.25">
      <c r="C64899"/>
      <c r="M64899"/>
    </row>
    <row r="64900" spans="3:13" ht="12.75" customHeight="1" x14ac:dyDescent="0.25">
      <c r="C64900"/>
      <c r="M64900"/>
    </row>
    <row r="64901" spans="3:13" ht="12.75" customHeight="1" x14ac:dyDescent="0.25">
      <c r="C64901"/>
      <c r="M64901"/>
    </row>
    <row r="64902" spans="3:13" ht="12.75" customHeight="1" x14ac:dyDescent="0.25">
      <c r="C64902"/>
      <c r="M64902"/>
    </row>
    <row r="64903" spans="3:13" ht="12.75" customHeight="1" x14ac:dyDescent="0.25">
      <c r="C64903"/>
      <c r="M64903"/>
    </row>
    <row r="64904" spans="3:13" ht="12.75" customHeight="1" x14ac:dyDescent="0.25">
      <c r="C64904"/>
      <c r="M64904"/>
    </row>
    <row r="64905" spans="3:13" ht="12.75" customHeight="1" x14ac:dyDescent="0.25">
      <c r="C64905"/>
      <c r="M64905"/>
    </row>
    <row r="64906" spans="3:13" ht="12.75" customHeight="1" x14ac:dyDescent="0.25">
      <c r="C64906"/>
      <c r="M64906"/>
    </row>
    <row r="64907" spans="3:13" ht="12.75" customHeight="1" x14ac:dyDescent="0.25">
      <c r="C64907"/>
      <c r="M64907"/>
    </row>
    <row r="64908" spans="3:13" ht="12.75" customHeight="1" x14ac:dyDescent="0.25">
      <c r="C64908"/>
      <c r="M64908"/>
    </row>
    <row r="64909" spans="3:13" ht="12.75" customHeight="1" x14ac:dyDescent="0.25">
      <c r="C64909"/>
      <c r="M64909"/>
    </row>
    <row r="64910" spans="3:13" ht="12.75" customHeight="1" x14ac:dyDescent="0.25">
      <c r="C64910"/>
      <c r="M64910"/>
    </row>
    <row r="64911" spans="3:13" ht="12.75" customHeight="1" x14ac:dyDescent="0.25">
      <c r="C64911"/>
      <c r="M64911"/>
    </row>
    <row r="64912" spans="3:13" ht="12.75" customHeight="1" x14ac:dyDescent="0.25">
      <c r="C64912"/>
      <c r="M64912"/>
    </row>
    <row r="64913" spans="3:13" ht="12.75" customHeight="1" x14ac:dyDescent="0.25">
      <c r="C64913"/>
      <c r="M64913"/>
    </row>
    <row r="64914" spans="3:13" ht="12.75" customHeight="1" x14ac:dyDescent="0.25">
      <c r="C64914"/>
      <c r="M64914"/>
    </row>
    <row r="64915" spans="3:13" ht="12.75" customHeight="1" x14ac:dyDescent="0.25">
      <c r="C64915"/>
      <c r="M64915"/>
    </row>
    <row r="64916" spans="3:13" ht="12.75" customHeight="1" x14ac:dyDescent="0.25">
      <c r="C64916"/>
      <c r="M64916"/>
    </row>
    <row r="64917" spans="3:13" ht="12.75" customHeight="1" x14ac:dyDescent="0.25">
      <c r="C64917"/>
      <c r="M64917"/>
    </row>
    <row r="64918" spans="3:13" ht="12.75" customHeight="1" x14ac:dyDescent="0.25">
      <c r="C64918"/>
      <c r="M64918"/>
    </row>
    <row r="64919" spans="3:13" ht="12.75" customHeight="1" x14ac:dyDescent="0.25">
      <c r="C64919"/>
      <c r="M64919"/>
    </row>
    <row r="64920" spans="3:13" ht="12.75" customHeight="1" x14ac:dyDescent="0.25">
      <c r="C64920"/>
      <c r="M64920"/>
    </row>
    <row r="64921" spans="3:13" ht="12.75" customHeight="1" x14ac:dyDescent="0.25">
      <c r="C64921"/>
      <c r="M64921"/>
    </row>
    <row r="64922" spans="3:13" ht="12.75" customHeight="1" x14ac:dyDescent="0.25">
      <c r="C64922"/>
      <c r="M64922"/>
    </row>
    <row r="64923" spans="3:13" ht="12.75" customHeight="1" x14ac:dyDescent="0.25">
      <c r="C64923"/>
      <c r="M64923"/>
    </row>
    <row r="64924" spans="3:13" ht="12.75" customHeight="1" x14ac:dyDescent="0.25">
      <c r="C64924"/>
      <c r="M64924"/>
    </row>
    <row r="64925" spans="3:13" ht="12.75" customHeight="1" x14ac:dyDescent="0.25">
      <c r="C64925"/>
      <c r="M64925"/>
    </row>
    <row r="64926" spans="3:13" ht="12.75" customHeight="1" x14ac:dyDescent="0.25">
      <c r="C64926"/>
      <c r="M64926"/>
    </row>
    <row r="64927" spans="3:13" ht="12.75" customHeight="1" x14ac:dyDescent="0.25">
      <c r="C64927"/>
      <c r="M64927"/>
    </row>
    <row r="64928" spans="3:13" ht="12.75" customHeight="1" x14ac:dyDescent="0.25">
      <c r="C64928"/>
      <c r="M64928"/>
    </row>
    <row r="64929" spans="3:13" ht="12.75" customHeight="1" x14ac:dyDescent="0.25">
      <c r="C64929"/>
      <c r="M64929"/>
    </row>
    <row r="64930" spans="3:13" ht="12.75" customHeight="1" x14ac:dyDescent="0.25">
      <c r="C64930"/>
      <c r="M64930"/>
    </row>
    <row r="64931" spans="3:13" ht="12.75" customHeight="1" x14ac:dyDescent="0.25">
      <c r="C64931"/>
      <c r="M64931"/>
    </row>
    <row r="64932" spans="3:13" ht="12.75" customHeight="1" x14ac:dyDescent="0.25">
      <c r="C64932"/>
      <c r="M64932"/>
    </row>
    <row r="64933" spans="3:13" ht="12.75" customHeight="1" x14ac:dyDescent="0.25">
      <c r="C64933"/>
      <c r="M64933"/>
    </row>
    <row r="64934" spans="3:13" ht="12.75" customHeight="1" x14ac:dyDescent="0.25">
      <c r="C64934"/>
      <c r="M64934"/>
    </row>
    <row r="64935" spans="3:13" ht="12.75" customHeight="1" x14ac:dyDescent="0.25">
      <c r="C64935"/>
      <c r="M64935"/>
    </row>
    <row r="64936" spans="3:13" ht="12.75" customHeight="1" x14ac:dyDescent="0.25">
      <c r="C64936"/>
      <c r="M64936"/>
    </row>
    <row r="64937" spans="3:13" ht="12.75" customHeight="1" x14ac:dyDescent="0.25">
      <c r="C64937"/>
      <c r="M64937"/>
    </row>
    <row r="64938" spans="3:13" ht="12.75" customHeight="1" x14ac:dyDescent="0.25">
      <c r="C64938"/>
      <c r="M64938"/>
    </row>
    <row r="64939" spans="3:13" ht="12.75" customHeight="1" x14ac:dyDescent="0.25">
      <c r="C64939"/>
      <c r="M64939"/>
    </row>
    <row r="64940" spans="3:13" ht="12.75" customHeight="1" x14ac:dyDescent="0.25">
      <c r="C64940"/>
      <c r="M64940"/>
    </row>
    <row r="64941" spans="3:13" ht="12.75" customHeight="1" x14ac:dyDescent="0.25">
      <c r="C64941"/>
      <c r="M64941"/>
    </row>
    <row r="64942" spans="3:13" ht="12.75" customHeight="1" x14ac:dyDescent="0.25">
      <c r="C64942"/>
      <c r="M64942"/>
    </row>
    <row r="64943" spans="3:13" ht="12.75" customHeight="1" x14ac:dyDescent="0.25">
      <c r="C64943"/>
      <c r="M64943"/>
    </row>
    <row r="64944" spans="3:13" ht="12.75" customHeight="1" x14ac:dyDescent="0.25">
      <c r="C64944"/>
      <c r="M64944"/>
    </row>
    <row r="64945" spans="3:13" ht="12.75" customHeight="1" x14ac:dyDescent="0.25">
      <c r="C64945"/>
      <c r="M64945"/>
    </row>
    <row r="64946" spans="3:13" ht="12.75" customHeight="1" x14ac:dyDescent="0.25">
      <c r="C64946"/>
      <c r="M64946"/>
    </row>
    <row r="64947" spans="3:13" ht="12.75" customHeight="1" x14ac:dyDescent="0.25">
      <c r="C64947"/>
      <c r="M64947"/>
    </row>
    <row r="64948" spans="3:13" ht="12.75" customHeight="1" x14ac:dyDescent="0.25">
      <c r="C64948"/>
      <c r="M64948"/>
    </row>
    <row r="64949" spans="3:13" ht="12.75" customHeight="1" x14ac:dyDescent="0.25">
      <c r="C64949"/>
      <c r="M64949"/>
    </row>
    <row r="64950" spans="3:13" ht="12.75" customHeight="1" x14ac:dyDescent="0.25">
      <c r="C64950"/>
      <c r="M64950"/>
    </row>
    <row r="64951" spans="3:13" ht="12.75" customHeight="1" x14ac:dyDescent="0.25">
      <c r="C64951"/>
      <c r="M64951"/>
    </row>
    <row r="64952" spans="3:13" ht="12.75" customHeight="1" x14ac:dyDescent="0.25">
      <c r="C64952"/>
      <c r="M64952"/>
    </row>
    <row r="64953" spans="3:13" ht="12.75" customHeight="1" x14ac:dyDescent="0.25">
      <c r="C64953"/>
      <c r="M64953"/>
    </row>
    <row r="64954" spans="3:13" ht="12.75" customHeight="1" x14ac:dyDescent="0.25">
      <c r="C64954"/>
      <c r="M64954"/>
    </row>
    <row r="64955" spans="3:13" ht="12.75" customHeight="1" x14ac:dyDescent="0.25">
      <c r="C64955"/>
      <c r="M64955"/>
    </row>
    <row r="64956" spans="3:13" ht="12.75" customHeight="1" x14ac:dyDescent="0.25">
      <c r="C64956"/>
      <c r="M64956"/>
    </row>
    <row r="64957" spans="3:13" ht="12.75" customHeight="1" x14ac:dyDescent="0.25">
      <c r="C64957"/>
      <c r="M64957"/>
    </row>
    <row r="64958" spans="3:13" ht="12.75" customHeight="1" x14ac:dyDescent="0.25">
      <c r="C64958"/>
      <c r="M64958"/>
    </row>
    <row r="64959" spans="3:13" ht="12.75" customHeight="1" x14ac:dyDescent="0.25">
      <c r="C64959"/>
      <c r="M64959"/>
    </row>
    <row r="64960" spans="3:13" ht="12.75" customHeight="1" x14ac:dyDescent="0.25">
      <c r="C64960"/>
      <c r="M64960"/>
    </row>
    <row r="64961" spans="3:13" ht="12.75" customHeight="1" x14ac:dyDescent="0.25">
      <c r="C64961"/>
      <c r="M64961"/>
    </row>
    <row r="64962" spans="3:13" ht="12.75" customHeight="1" x14ac:dyDescent="0.25">
      <c r="C64962"/>
      <c r="M64962"/>
    </row>
    <row r="64963" spans="3:13" ht="12.75" customHeight="1" x14ac:dyDescent="0.25">
      <c r="C64963"/>
      <c r="M64963"/>
    </row>
    <row r="64964" spans="3:13" ht="12.75" customHeight="1" x14ac:dyDescent="0.25">
      <c r="C64964"/>
      <c r="M64964"/>
    </row>
    <row r="64965" spans="3:13" ht="12.75" customHeight="1" x14ac:dyDescent="0.25">
      <c r="C64965"/>
      <c r="M64965"/>
    </row>
    <row r="64966" spans="3:13" ht="12.75" customHeight="1" x14ac:dyDescent="0.25">
      <c r="C64966"/>
      <c r="M64966"/>
    </row>
    <row r="64967" spans="3:13" ht="12.75" customHeight="1" x14ac:dyDescent="0.25">
      <c r="C64967"/>
      <c r="M64967"/>
    </row>
    <row r="64968" spans="3:13" ht="12.75" customHeight="1" x14ac:dyDescent="0.25">
      <c r="C64968"/>
      <c r="M64968"/>
    </row>
    <row r="64969" spans="3:13" ht="12.75" customHeight="1" x14ac:dyDescent="0.25">
      <c r="C64969"/>
      <c r="M64969"/>
    </row>
    <row r="64970" spans="3:13" ht="12.75" customHeight="1" x14ac:dyDescent="0.25">
      <c r="C64970"/>
      <c r="M64970"/>
    </row>
    <row r="64971" spans="3:13" ht="12.75" customHeight="1" x14ac:dyDescent="0.25">
      <c r="C64971"/>
      <c r="M64971"/>
    </row>
    <row r="64972" spans="3:13" ht="12.75" customHeight="1" x14ac:dyDescent="0.25">
      <c r="C64972"/>
      <c r="M64972"/>
    </row>
    <row r="64973" spans="3:13" ht="12.75" customHeight="1" x14ac:dyDescent="0.25">
      <c r="C64973"/>
      <c r="M64973"/>
    </row>
    <row r="64974" spans="3:13" ht="12.75" customHeight="1" x14ac:dyDescent="0.25">
      <c r="C64974"/>
      <c r="M64974"/>
    </row>
    <row r="64975" spans="3:13" ht="12.75" customHeight="1" x14ac:dyDescent="0.25">
      <c r="C64975"/>
      <c r="M64975"/>
    </row>
    <row r="64976" spans="3:13" ht="12.75" customHeight="1" x14ac:dyDescent="0.25">
      <c r="C64976"/>
      <c r="M64976"/>
    </row>
    <row r="64977" spans="3:13" ht="12.75" customHeight="1" x14ac:dyDescent="0.25">
      <c r="C64977"/>
      <c r="M64977"/>
    </row>
    <row r="64978" spans="3:13" ht="12.75" customHeight="1" x14ac:dyDescent="0.25">
      <c r="C64978"/>
      <c r="M64978"/>
    </row>
    <row r="64979" spans="3:13" ht="12.75" customHeight="1" x14ac:dyDescent="0.25">
      <c r="C64979"/>
      <c r="M64979"/>
    </row>
    <row r="64980" spans="3:13" ht="12.75" customHeight="1" x14ac:dyDescent="0.25">
      <c r="C64980"/>
      <c r="M64980"/>
    </row>
    <row r="64981" spans="3:13" ht="12.75" customHeight="1" x14ac:dyDescent="0.25">
      <c r="C64981"/>
      <c r="M64981"/>
    </row>
    <row r="64982" spans="3:13" ht="12.75" customHeight="1" x14ac:dyDescent="0.25">
      <c r="C64982"/>
      <c r="M64982"/>
    </row>
    <row r="64983" spans="3:13" ht="12.75" customHeight="1" x14ac:dyDescent="0.25">
      <c r="C64983"/>
      <c r="M64983"/>
    </row>
    <row r="64984" spans="3:13" ht="12.75" customHeight="1" x14ac:dyDescent="0.25">
      <c r="C64984"/>
      <c r="M64984"/>
    </row>
    <row r="64985" spans="3:13" ht="12.75" customHeight="1" x14ac:dyDescent="0.25">
      <c r="C64985"/>
      <c r="M64985"/>
    </row>
    <row r="64986" spans="3:13" ht="12.75" customHeight="1" x14ac:dyDescent="0.25">
      <c r="C64986"/>
      <c r="M64986"/>
    </row>
    <row r="64987" spans="3:13" ht="12.75" customHeight="1" x14ac:dyDescent="0.25">
      <c r="C64987"/>
      <c r="M64987"/>
    </row>
    <row r="64988" spans="3:13" ht="12.75" customHeight="1" x14ac:dyDescent="0.25">
      <c r="C64988"/>
      <c r="M64988"/>
    </row>
    <row r="64989" spans="3:13" ht="12.75" customHeight="1" x14ac:dyDescent="0.25">
      <c r="C64989"/>
      <c r="M64989"/>
    </row>
    <row r="64990" spans="3:13" ht="12.75" customHeight="1" x14ac:dyDescent="0.25">
      <c r="C64990"/>
      <c r="M64990"/>
    </row>
    <row r="64991" spans="3:13" ht="12.75" customHeight="1" x14ac:dyDescent="0.25">
      <c r="C64991"/>
      <c r="M64991"/>
    </row>
    <row r="64992" spans="3:13" ht="12.75" customHeight="1" x14ac:dyDescent="0.25">
      <c r="C64992"/>
      <c r="M64992"/>
    </row>
    <row r="64993" spans="3:13" ht="12.75" customHeight="1" x14ac:dyDescent="0.25">
      <c r="C64993"/>
      <c r="M64993"/>
    </row>
    <row r="64994" spans="3:13" ht="12.75" customHeight="1" x14ac:dyDescent="0.25">
      <c r="C64994"/>
      <c r="M64994"/>
    </row>
    <row r="64995" spans="3:13" ht="12.75" customHeight="1" x14ac:dyDescent="0.25">
      <c r="C64995"/>
      <c r="M64995"/>
    </row>
    <row r="64996" spans="3:13" ht="12.75" customHeight="1" x14ac:dyDescent="0.25">
      <c r="C64996"/>
      <c r="M64996"/>
    </row>
    <row r="64997" spans="3:13" ht="12.75" customHeight="1" x14ac:dyDescent="0.25">
      <c r="C64997"/>
      <c r="M64997"/>
    </row>
    <row r="64998" spans="3:13" ht="12.75" customHeight="1" x14ac:dyDescent="0.25">
      <c r="C64998"/>
      <c r="M64998"/>
    </row>
    <row r="64999" spans="3:13" ht="12.75" customHeight="1" x14ac:dyDescent="0.25">
      <c r="C64999"/>
      <c r="M64999"/>
    </row>
    <row r="65000" spans="3:13" ht="12.75" customHeight="1" x14ac:dyDescent="0.25">
      <c r="C65000"/>
      <c r="M65000"/>
    </row>
    <row r="65001" spans="3:13" ht="12.75" customHeight="1" x14ac:dyDescent="0.25">
      <c r="C65001"/>
      <c r="M65001"/>
    </row>
    <row r="65002" spans="3:13" ht="12.75" customHeight="1" x14ac:dyDescent="0.25">
      <c r="C65002"/>
      <c r="M65002"/>
    </row>
    <row r="65003" spans="3:13" ht="12.75" customHeight="1" x14ac:dyDescent="0.25">
      <c r="C65003"/>
      <c r="M65003"/>
    </row>
    <row r="65004" spans="3:13" ht="12.75" customHeight="1" x14ac:dyDescent="0.25">
      <c r="C65004"/>
      <c r="M65004"/>
    </row>
    <row r="65005" spans="3:13" ht="12.75" customHeight="1" x14ac:dyDescent="0.25">
      <c r="C65005"/>
      <c r="M65005"/>
    </row>
    <row r="65006" spans="3:13" ht="12.75" customHeight="1" x14ac:dyDescent="0.25">
      <c r="C65006"/>
      <c r="M65006"/>
    </row>
    <row r="65007" spans="3:13" ht="12.75" customHeight="1" x14ac:dyDescent="0.25">
      <c r="C65007"/>
      <c r="M65007"/>
    </row>
    <row r="65008" spans="3:13" ht="12.75" customHeight="1" x14ac:dyDescent="0.25">
      <c r="C65008"/>
      <c r="M65008"/>
    </row>
    <row r="65009" spans="3:13" ht="12.75" customHeight="1" x14ac:dyDescent="0.25">
      <c r="C65009"/>
      <c r="M65009"/>
    </row>
    <row r="65010" spans="3:13" ht="12.75" customHeight="1" x14ac:dyDescent="0.25">
      <c r="C65010"/>
      <c r="M65010"/>
    </row>
    <row r="65011" spans="3:13" ht="12.75" customHeight="1" x14ac:dyDescent="0.25">
      <c r="C65011"/>
      <c r="M65011"/>
    </row>
    <row r="65012" spans="3:13" ht="12.75" customHeight="1" x14ac:dyDescent="0.25">
      <c r="C65012"/>
      <c r="M65012"/>
    </row>
    <row r="65013" spans="3:13" ht="12.75" customHeight="1" x14ac:dyDescent="0.25">
      <c r="C65013"/>
      <c r="M65013"/>
    </row>
    <row r="65014" spans="3:13" ht="12.75" customHeight="1" x14ac:dyDescent="0.25">
      <c r="C65014"/>
      <c r="M65014"/>
    </row>
    <row r="65015" spans="3:13" ht="12.75" customHeight="1" x14ac:dyDescent="0.25">
      <c r="C65015"/>
      <c r="M65015"/>
    </row>
    <row r="65016" spans="3:13" ht="12.75" customHeight="1" x14ac:dyDescent="0.25">
      <c r="C65016"/>
      <c r="M65016"/>
    </row>
    <row r="65017" spans="3:13" ht="12.75" customHeight="1" x14ac:dyDescent="0.25">
      <c r="C65017"/>
      <c r="M65017"/>
    </row>
    <row r="65018" spans="3:13" ht="12.75" customHeight="1" x14ac:dyDescent="0.25">
      <c r="C65018"/>
      <c r="M65018"/>
    </row>
    <row r="65019" spans="3:13" ht="12.75" customHeight="1" x14ac:dyDescent="0.25">
      <c r="C65019"/>
      <c r="M65019"/>
    </row>
    <row r="65020" spans="3:13" ht="12.75" customHeight="1" x14ac:dyDescent="0.25">
      <c r="C65020"/>
      <c r="M65020"/>
    </row>
    <row r="65021" spans="3:13" ht="12.75" customHeight="1" x14ac:dyDescent="0.25">
      <c r="C65021"/>
      <c r="M65021"/>
    </row>
    <row r="65022" spans="3:13" ht="12.75" customHeight="1" x14ac:dyDescent="0.25">
      <c r="C65022"/>
      <c r="M65022"/>
    </row>
    <row r="65023" spans="3:13" ht="12.75" customHeight="1" x14ac:dyDescent="0.25">
      <c r="C65023"/>
      <c r="M65023"/>
    </row>
    <row r="65024" spans="3:13" ht="12.75" customHeight="1" x14ac:dyDescent="0.25">
      <c r="C65024"/>
      <c r="M65024"/>
    </row>
    <row r="65025" spans="3:13" ht="12.75" customHeight="1" x14ac:dyDescent="0.25">
      <c r="C65025"/>
      <c r="M65025"/>
    </row>
    <row r="65026" spans="3:13" ht="12.75" customHeight="1" x14ac:dyDescent="0.25">
      <c r="C65026"/>
      <c r="M65026"/>
    </row>
    <row r="65027" spans="3:13" ht="12.75" customHeight="1" x14ac:dyDescent="0.25">
      <c r="C65027"/>
      <c r="M65027"/>
    </row>
    <row r="65028" spans="3:13" ht="12.75" customHeight="1" x14ac:dyDescent="0.25">
      <c r="C65028"/>
      <c r="M65028"/>
    </row>
    <row r="65029" spans="3:13" ht="12.75" customHeight="1" x14ac:dyDescent="0.25">
      <c r="C65029"/>
      <c r="M65029"/>
    </row>
    <row r="65030" spans="3:13" ht="12.75" customHeight="1" x14ac:dyDescent="0.25">
      <c r="C65030"/>
      <c r="M65030"/>
    </row>
    <row r="65031" spans="3:13" ht="12.75" customHeight="1" x14ac:dyDescent="0.25">
      <c r="C65031"/>
      <c r="M65031"/>
    </row>
    <row r="65032" spans="3:13" ht="12.75" customHeight="1" x14ac:dyDescent="0.25">
      <c r="C65032"/>
      <c r="M65032"/>
    </row>
    <row r="65033" spans="3:13" ht="12.75" customHeight="1" x14ac:dyDescent="0.25">
      <c r="C65033"/>
      <c r="M65033"/>
    </row>
    <row r="65034" spans="3:13" ht="12.75" customHeight="1" x14ac:dyDescent="0.25">
      <c r="C65034"/>
      <c r="M65034"/>
    </row>
    <row r="65035" spans="3:13" ht="12.75" customHeight="1" x14ac:dyDescent="0.25">
      <c r="C65035"/>
      <c r="M65035"/>
    </row>
    <row r="65036" spans="3:13" ht="12.75" customHeight="1" x14ac:dyDescent="0.25">
      <c r="C65036"/>
      <c r="M65036"/>
    </row>
    <row r="65037" spans="3:13" ht="12.75" customHeight="1" x14ac:dyDescent="0.25">
      <c r="C65037"/>
      <c r="M65037"/>
    </row>
    <row r="65038" spans="3:13" ht="12.75" customHeight="1" x14ac:dyDescent="0.25">
      <c r="C65038"/>
      <c r="M65038"/>
    </row>
    <row r="65039" spans="3:13" ht="12.75" customHeight="1" x14ac:dyDescent="0.25">
      <c r="C65039"/>
      <c r="M65039"/>
    </row>
    <row r="65040" spans="3:13" ht="12.75" customHeight="1" x14ac:dyDescent="0.25">
      <c r="C65040"/>
      <c r="M65040"/>
    </row>
    <row r="65041" spans="3:13" ht="12.75" customHeight="1" x14ac:dyDescent="0.25">
      <c r="C65041"/>
      <c r="M65041"/>
    </row>
    <row r="65042" spans="3:13" ht="12.75" customHeight="1" x14ac:dyDescent="0.25">
      <c r="C65042"/>
      <c r="M65042"/>
    </row>
    <row r="65043" spans="3:13" ht="12.75" customHeight="1" x14ac:dyDescent="0.25">
      <c r="C65043"/>
      <c r="M65043"/>
    </row>
    <row r="65044" spans="3:13" ht="12.75" customHeight="1" x14ac:dyDescent="0.25">
      <c r="C65044"/>
      <c r="M65044"/>
    </row>
    <row r="65045" spans="3:13" ht="12.75" customHeight="1" x14ac:dyDescent="0.25">
      <c r="C65045"/>
      <c r="M65045"/>
    </row>
    <row r="65046" spans="3:13" ht="12.75" customHeight="1" x14ac:dyDescent="0.25">
      <c r="C65046"/>
      <c r="M65046"/>
    </row>
    <row r="65047" spans="3:13" ht="12.75" customHeight="1" x14ac:dyDescent="0.25">
      <c r="C65047"/>
      <c r="M65047"/>
    </row>
    <row r="65048" spans="3:13" ht="12.75" customHeight="1" x14ac:dyDescent="0.25">
      <c r="C65048"/>
      <c r="M65048"/>
    </row>
    <row r="65049" spans="3:13" ht="12.75" customHeight="1" x14ac:dyDescent="0.25">
      <c r="C65049"/>
      <c r="M65049"/>
    </row>
    <row r="65050" spans="3:13" ht="12.75" customHeight="1" x14ac:dyDescent="0.25">
      <c r="C65050"/>
      <c r="M65050"/>
    </row>
    <row r="65051" spans="3:13" ht="12.75" customHeight="1" x14ac:dyDescent="0.25">
      <c r="C65051"/>
      <c r="M65051"/>
    </row>
    <row r="65052" spans="3:13" ht="12.75" customHeight="1" x14ac:dyDescent="0.25">
      <c r="C65052"/>
      <c r="M65052"/>
    </row>
    <row r="65053" spans="3:13" ht="12.75" customHeight="1" x14ac:dyDescent="0.25">
      <c r="C65053"/>
      <c r="M65053"/>
    </row>
    <row r="65054" spans="3:13" ht="12.75" customHeight="1" x14ac:dyDescent="0.25">
      <c r="C65054"/>
      <c r="M65054"/>
    </row>
    <row r="65055" spans="3:13" ht="12.75" customHeight="1" x14ac:dyDescent="0.25">
      <c r="C65055"/>
      <c r="M65055"/>
    </row>
    <row r="65056" spans="3:13" ht="12.75" customHeight="1" x14ac:dyDescent="0.25">
      <c r="C65056"/>
      <c r="M65056"/>
    </row>
    <row r="65057" spans="3:13" ht="12.75" customHeight="1" x14ac:dyDescent="0.25">
      <c r="C65057"/>
      <c r="M65057"/>
    </row>
    <row r="65058" spans="3:13" ht="12.75" customHeight="1" x14ac:dyDescent="0.25">
      <c r="C65058"/>
      <c r="M65058"/>
    </row>
    <row r="65059" spans="3:13" ht="12.75" customHeight="1" x14ac:dyDescent="0.25">
      <c r="C65059"/>
      <c r="M65059"/>
    </row>
    <row r="65060" spans="3:13" ht="12.75" customHeight="1" x14ac:dyDescent="0.25">
      <c r="C65060"/>
      <c r="M65060"/>
    </row>
    <row r="65061" spans="3:13" ht="12.75" customHeight="1" x14ac:dyDescent="0.25">
      <c r="C65061"/>
      <c r="M65061"/>
    </row>
    <row r="65062" spans="3:13" ht="12.75" customHeight="1" x14ac:dyDescent="0.25">
      <c r="C65062"/>
      <c r="M65062"/>
    </row>
    <row r="65063" spans="3:13" ht="12.75" customHeight="1" x14ac:dyDescent="0.25">
      <c r="C65063"/>
      <c r="M65063"/>
    </row>
    <row r="65064" spans="3:13" ht="12.75" customHeight="1" x14ac:dyDescent="0.25">
      <c r="C65064"/>
      <c r="M65064"/>
    </row>
    <row r="65065" spans="3:13" ht="12.75" customHeight="1" x14ac:dyDescent="0.25">
      <c r="C65065"/>
      <c r="M65065"/>
    </row>
    <row r="65066" spans="3:13" ht="12.75" customHeight="1" x14ac:dyDescent="0.25">
      <c r="C65066"/>
      <c r="M65066"/>
    </row>
    <row r="65067" spans="3:13" ht="12.75" customHeight="1" x14ac:dyDescent="0.25">
      <c r="C65067"/>
      <c r="M65067"/>
    </row>
    <row r="65068" spans="3:13" ht="12.75" customHeight="1" x14ac:dyDescent="0.25">
      <c r="C65068"/>
      <c r="M65068"/>
    </row>
    <row r="65069" spans="3:13" ht="12.75" customHeight="1" x14ac:dyDescent="0.25">
      <c r="C65069"/>
      <c r="M65069"/>
    </row>
    <row r="65070" spans="3:13" ht="12.75" customHeight="1" x14ac:dyDescent="0.25">
      <c r="C65070"/>
      <c r="M65070"/>
    </row>
    <row r="65071" spans="3:13" ht="12.75" customHeight="1" x14ac:dyDescent="0.25">
      <c r="C65071"/>
      <c r="M65071"/>
    </row>
    <row r="65072" spans="3:13" ht="12.75" customHeight="1" x14ac:dyDescent="0.25">
      <c r="C65072"/>
      <c r="M65072"/>
    </row>
    <row r="65073" spans="3:13" ht="12.75" customHeight="1" x14ac:dyDescent="0.25">
      <c r="C65073"/>
      <c r="M65073"/>
    </row>
    <row r="65074" spans="3:13" ht="12.75" customHeight="1" x14ac:dyDescent="0.25">
      <c r="C65074"/>
      <c r="M65074"/>
    </row>
    <row r="65075" spans="3:13" ht="12.75" customHeight="1" x14ac:dyDescent="0.25">
      <c r="C65075"/>
      <c r="M65075"/>
    </row>
    <row r="65076" spans="3:13" ht="12.75" customHeight="1" x14ac:dyDescent="0.25">
      <c r="C65076"/>
      <c r="M65076"/>
    </row>
    <row r="65077" spans="3:13" ht="12.75" customHeight="1" x14ac:dyDescent="0.25">
      <c r="C65077"/>
      <c r="M65077"/>
    </row>
    <row r="65078" spans="3:13" ht="12.75" customHeight="1" x14ac:dyDescent="0.25">
      <c r="C65078"/>
      <c r="M65078"/>
    </row>
    <row r="65079" spans="3:13" ht="12.75" customHeight="1" x14ac:dyDescent="0.25">
      <c r="C65079"/>
      <c r="M65079"/>
    </row>
    <row r="65080" spans="3:13" ht="12.75" customHeight="1" x14ac:dyDescent="0.25">
      <c r="C65080"/>
      <c r="M65080"/>
    </row>
    <row r="65081" spans="3:13" ht="12.75" customHeight="1" x14ac:dyDescent="0.25">
      <c r="C65081"/>
      <c r="M65081"/>
    </row>
    <row r="65082" spans="3:13" ht="12.75" customHeight="1" x14ac:dyDescent="0.25">
      <c r="C65082"/>
      <c r="M65082"/>
    </row>
    <row r="65083" spans="3:13" ht="12.75" customHeight="1" x14ac:dyDescent="0.25">
      <c r="C65083"/>
      <c r="M65083"/>
    </row>
    <row r="65084" spans="3:13" ht="12.75" customHeight="1" x14ac:dyDescent="0.25">
      <c r="C65084"/>
      <c r="M65084"/>
    </row>
    <row r="65085" spans="3:13" ht="12.75" customHeight="1" x14ac:dyDescent="0.25">
      <c r="C65085"/>
      <c r="M65085"/>
    </row>
    <row r="65086" spans="3:13" ht="12.75" customHeight="1" x14ac:dyDescent="0.25">
      <c r="C65086"/>
      <c r="M65086"/>
    </row>
    <row r="65087" spans="3:13" ht="12.75" customHeight="1" x14ac:dyDescent="0.25">
      <c r="C65087"/>
      <c r="M65087"/>
    </row>
    <row r="65088" spans="3:13" ht="12.75" customHeight="1" x14ac:dyDescent="0.25">
      <c r="C65088"/>
      <c r="M65088"/>
    </row>
    <row r="65089" spans="3:13" ht="12.75" customHeight="1" x14ac:dyDescent="0.25">
      <c r="C65089"/>
      <c r="M65089"/>
    </row>
    <row r="65090" spans="3:13" ht="12.75" customHeight="1" x14ac:dyDescent="0.25">
      <c r="C65090"/>
      <c r="M65090"/>
    </row>
    <row r="65091" spans="3:13" ht="12.75" customHeight="1" x14ac:dyDescent="0.25">
      <c r="C65091"/>
      <c r="M65091"/>
    </row>
    <row r="65092" spans="3:13" ht="12.75" customHeight="1" x14ac:dyDescent="0.25">
      <c r="C65092"/>
      <c r="M65092"/>
    </row>
    <row r="65093" spans="3:13" ht="12.75" customHeight="1" x14ac:dyDescent="0.25">
      <c r="C65093"/>
      <c r="M65093"/>
    </row>
    <row r="65094" spans="3:13" ht="12.75" customHeight="1" x14ac:dyDescent="0.25">
      <c r="C65094"/>
      <c r="M65094"/>
    </row>
    <row r="65095" spans="3:13" ht="12.75" customHeight="1" x14ac:dyDescent="0.25">
      <c r="C65095"/>
      <c r="M65095"/>
    </row>
    <row r="65096" spans="3:13" ht="12.75" customHeight="1" x14ac:dyDescent="0.25">
      <c r="C65096"/>
      <c r="M65096"/>
    </row>
    <row r="65097" spans="3:13" ht="12.75" customHeight="1" x14ac:dyDescent="0.25">
      <c r="C65097"/>
      <c r="M65097"/>
    </row>
    <row r="65098" spans="3:13" ht="12.75" customHeight="1" x14ac:dyDescent="0.25">
      <c r="C65098"/>
      <c r="M65098"/>
    </row>
    <row r="65099" spans="3:13" ht="12.75" customHeight="1" x14ac:dyDescent="0.25">
      <c r="C65099"/>
      <c r="M65099"/>
    </row>
    <row r="65100" spans="3:13" ht="12.75" customHeight="1" x14ac:dyDescent="0.25">
      <c r="C65100"/>
      <c r="M65100"/>
    </row>
    <row r="65101" spans="3:13" ht="12.75" customHeight="1" x14ac:dyDescent="0.25">
      <c r="C65101"/>
      <c r="M65101"/>
    </row>
    <row r="65102" spans="3:13" ht="12.75" customHeight="1" x14ac:dyDescent="0.25">
      <c r="C65102"/>
      <c r="M65102"/>
    </row>
    <row r="65103" spans="3:13" ht="12.75" customHeight="1" x14ac:dyDescent="0.25">
      <c r="C65103"/>
      <c r="M65103"/>
    </row>
    <row r="65104" spans="3:13" ht="12.75" customHeight="1" x14ac:dyDescent="0.25">
      <c r="C65104"/>
      <c r="M65104"/>
    </row>
    <row r="65105" spans="3:13" ht="12.75" customHeight="1" x14ac:dyDescent="0.25">
      <c r="C65105"/>
      <c r="M65105"/>
    </row>
    <row r="65106" spans="3:13" ht="12.75" customHeight="1" x14ac:dyDescent="0.25">
      <c r="C65106"/>
      <c r="M65106"/>
    </row>
    <row r="65107" spans="3:13" ht="12.75" customHeight="1" x14ac:dyDescent="0.25">
      <c r="C65107"/>
      <c r="M65107"/>
    </row>
    <row r="65108" spans="3:13" ht="12.75" customHeight="1" x14ac:dyDescent="0.25">
      <c r="C65108"/>
      <c r="M65108"/>
    </row>
    <row r="65109" spans="3:13" ht="12.75" customHeight="1" x14ac:dyDescent="0.25">
      <c r="C65109"/>
      <c r="M65109"/>
    </row>
    <row r="65110" spans="3:13" ht="12.75" customHeight="1" x14ac:dyDescent="0.25">
      <c r="C65110"/>
      <c r="M65110"/>
    </row>
    <row r="65111" spans="3:13" ht="12.75" customHeight="1" x14ac:dyDescent="0.25">
      <c r="C65111"/>
      <c r="M65111"/>
    </row>
    <row r="65112" spans="3:13" ht="12.75" customHeight="1" x14ac:dyDescent="0.25">
      <c r="C65112"/>
      <c r="M65112"/>
    </row>
    <row r="65113" spans="3:13" ht="12.75" customHeight="1" x14ac:dyDescent="0.25">
      <c r="C65113"/>
      <c r="M65113"/>
    </row>
    <row r="65114" spans="3:13" ht="12.75" customHeight="1" x14ac:dyDescent="0.25">
      <c r="C65114"/>
      <c r="M65114"/>
    </row>
    <row r="65115" spans="3:13" ht="12.75" customHeight="1" x14ac:dyDescent="0.25">
      <c r="C65115"/>
      <c r="M65115"/>
    </row>
    <row r="65116" spans="3:13" ht="12.75" customHeight="1" x14ac:dyDescent="0.25">
      <c r="C65116"/>
      <c r="M65116"/>
    </row>
    <row r="65117" spans="3:13" ht="12.75" customHeight="1" x14ac:dyDescent="0.25">
      <c r="C65117"/>
      <c r="M65117"/>
    </row>
    <row r="65118" spans="3:13" ht="12.75" customHeight="1" x14ac:dyDescent="0.25">
      <c r="C65118"/>
      <c r="M65118"/>
    </row>
    <row r="65119" spans="3:13" ht="12.75" customHeight="1" x14ac:dyDescent="0.25">
      <c r="C65119"/>
      <c r="M65119"/>
    </row>
    <row r="65120" spans="3:13" ht="12.75" customHeight="1" x14ac:dyDescent="0.25">
      <c r="C65120"/>
      <c r="M65120"/>
    </row>
    <row r="65121" spans="3:13" ht="12.75" customHeight="1" x14ac:dyDescent="0.25">
      <c r="C65121"/>
      <c r="M65121"/>
    </row>
    <row r="65122" spans="3:13" ht="12.75" customHeight="1" x14ac:dyDescent="0.25">
      <c r="C65122"/>
      <c r="M65122"/>
    </row>
    <row r="65123" spans="3:13" ht="12.75" customHeight="1" x14ac:dyDescent="0.25">
      <c r="C65123"/>
      <c r="M65123"/>
    </row>
    <row r="65124" spans="3:13" ht="12.75" customHeight="1" x14ac:dyDescent="0.25">
      <c r="C65124"/>
      <c r="M65124"/>
    </row>
    <row r="65125" spans="3:13" ht="12.75" customHeight="1" x14ac:dyDescent="0.25">
      <c r="C65125"/>
      <c r="M65125"/>
    </row>
    <row r="65126" spans="3:13" ht="12.75" customHeight="1" x14ac:dyDescent="0.25">
      <c r="C65126"/>
      <c r="M65126"/>
    </row>
    <row r="65127" spans="3:13" ht="12.75" customHeight="1" x14ac:dyDescent="0.25">
      <c r="C65127"/>
      <c r="M65127"/>
    </row>
    <row r="65128" spans="3:13" ht="12.75" customHeight="1" x14ac:dyDescent="0.25">
      <c r="C65128"/>
      <c r="M65128"/>
    </row>
    <row r="65129" spans="3:13" ht="12.75" customHeight="1" x14ac:dyDescent="0.25">
      <c r="C65129"/>
      <c r="M65129"/>
    </row>
    <row r="65130" spans="3:13" ht="12.75" customHeight="1" x14ac:dyDescent="0.25">
      <c r="C65130"/>
      <c r="M65130"/>
    </row>
    <row r="65131" spans="3:13" ht="12.75" customHeight="1" x14ac:dyDescent="0.25">
      <c r="C65131"/>
      <c r="M65131"/>
    </row>
    <row r="65132" spans="3:13" ht="12.75" customHeight="1" x14ac:dyDescent="0.25">
      <c r="C65132"/>
      <c r="M65132"/>
    </row>
    <row r="65133" spans="3:13" ht="12.75" customHeight="1" x14ac:dyDescent="0.25">
      <c r="C65133"/>
      <c r="M65133"/>
    </row>
    <row r="65134" spans="3:13" ht="12.75" customHeight="1" x14ac:dyDescent="0.25">
      <c r="C65134"/>
      <c r="M65134"/>
    </row>
    <row r="65135" spans="3:13" ht="12.75" customHeight="1" x14ac:dyDescent="0.25">
      <c r="C65135"/>
      <c r="M65135"/>
    </row>
    <row r="65136" spans="3:13" ht="12.75" customHeight="1" x14ac:dyDescent="0.25">
      <c r="C65136"/>
      <c r="M65136"/>
    </row>
    <row r="65137" spans="3:13" ht="12.75" customHeight="1" x14ac:dyDescent="0.25">
      <c r="C65137"/>
      <c r="M65137"/>
    </row>
    <row r="65138" spans="3:13" ht="12.75" customHeight="1" x14ac:dyDescent="0.25">
      <c r="C65138"/>
      <c r="M65138"/>
    </row>
    <row r="65139" spans="3:13" ht="12.75" customHeight="1" x14ac:dyDescent="0.25">
      <c r="C65139"/>
      <c r="M65139"/>
    </row>
    <row r="65140" spans="3:13" ht="12.75" customHeight="1" x14ac:dyDescent="0.25">
      <c r="C65140"/>
      <c r="M65140"/>
    </row>
    <row r="65141" spans="3:13" ht="12.75" customHeight="1" x14ac:dyDescent="0.25">
      <c r="C65141"/>
      <c r="M65141"/>
    </row>
    <row r="65142" spans="3:13" ht="12.75" customHeight="1" x14ac:dyDescent="0.25">
      <c r="C65142"/>
      <c r="M65142"/>
    </row>
    <row r="65143" spans="3:13" ht="12.75" customHeight="1" x14ac:dyDescent="0.25">
      <c r="C65143"/>
      <c r="M65143"/>
    </row>
    <row r="65144" spans="3:13" ht="12.75" customHeight="1" x14ac:dyDescent="0.25">
      <c r="C65144"/>
      <c r="M65144"/>
    </row>
    <row r="65145" spans="3:13" ht="12.75" customHeight="1" x14ac:dyDescent="0.25">
      <c r="C65145"/>
      <c r="M65145"/>
    </row>
    <row r="65146" spans="3:13" ht="12.75" customHeight="1" x14ac:dyDescent="0.25">
      <c r="C65146"/>
      <c r="M65146"/>
    </row>
    <row r="65147" spans="3:13" ht="12.75" customHeight="1" x14ac:dyDescent="0.25">
      <c r="C65147"/>
      <c r="M65147"/>
    </row>
    <row r="65148" spans="3:13" ht="12.75" customHeight="1" x14ac:dyDescent="0.25">
      <c r="C65148"/>
      <c r="M65148"/>
    </row>
    <row r="65149" spans="3:13" ht="12.75" customHeight="1" x14ac:dyDescent="0.25">
      <c r="C65149"/>
      <c r="M65149"/>
    </row>
    <row r="65150" spans="3:13" ht="12.75" customHeight="1" x14ac:dyDescent="0.25">
      <c r="C65150"/>
      <c r="M65150"/>
    </row>
    <row r="65151" spans="3:13" ht="12.75" customHeight="1" x14ac:dyDescent="0.25">
      <c r="C65151"/>
      <c r="M65151"/>
    </row>
    <row r="65152" spans="3:13" ht="12.75" customHeight="1" x14ac:dyDescent="0.25">
      <c r="C65152"/>
      <c r="M65152"/>
    </row>
    <row r="65153" spans="3:13" ht="12.75" customHeight="1" x14ac:dyDescent="0.25">
      <c r="C65153"/>
      <c r="M65153"/>
    </row>
    <row r="65154" spans="3:13" ht="12.75" customHeight="1" x14ac:dyDescent="0.25">
      <c r="C65154"/>
      <c r="M65154"/>
    </row>
    <row r="65155" spans="3:13" ht="12.75" customHeight="1" x14ac:dyDescent="0.25">
      <c r="C65155"/>
      <c r="M65155"/>
    </row>
    <row r="65156" spans="3:13" ht="12.75" customHeight="1" x14ac:dyDescent="0.25">
      <c r="C65156"/>
      <c r="M65156"/>
    </row>
    <row r="65157" spans="3:13" ht="12.75" customHeight="1" x14ac:dyDescent="0.25">
      <c r="C65157"/>
      <c r="M65157"/>
    </row>
    <row r="65158" spans="3:13" ht="12.75" customHeight="1" x14ac:dyDescent="0.25">
      <c r="C65158"/>
      <c r="M65158"/>
    </row>
    <row r="65159" spans="3:13" ht="12.75" customHeight="1" x14ac:dyDescent="0.25">
      <c r="C65159"/>
      <c r="M65159"/>
    </row>
    <row r="65160" spans="3:13" ht="12.75" customHeight="1" x14ac:dyDescent="0.25">
      <c r="C65160"/>
      <c r="M65160"/>
    </row>
    <row r="65161" spans="3:13" ht="12.75" customHeight="1" x14ac:dyDescent="0.25">
      <c r="C65161"/>
      <c r="M65161"/>
    </row>
    <row r="65162" spans="3:13" ht="12.75" customHeight="1" x14ac:dyDescent="0.25">
      <c r="C65162"/>
      <c r="M65162"/>
    </row>
    <row r="65163" spans="3:13" ht="12.75" customHeight="1" x14ac:dyDescent="0.25">
      <c r="C65163"/>
      <c r="M65163"/>
    </row>
    <row r="65164" spans="3:13" ht="12.75" customHeight="1" x14ac:dyDescent="0.25">
      <c r="C65164"/>
      <c r="M65164"/>
    </row>
    <row r="65165" spans="3:13" ht="12.75" customHeight="1" x14ac:dyDescent="0.25">
      <c r="C65165"/>
      <c r="M65165"/>
    </row>
    <row r="65166" spans="3:13" ht="12.75" customHeight="1" x14ac:dyDescent="0.25">
      <c r="C65166"/>
      <c r="M65166"/>
    </row>
    <row r="65167" spans="3:13" ht="12.75" customHeight="1" x14ac:dyDescent="0.25">
      <c r="C65167"/>
      <c r="M65167"/>
    </row>
    <row r="65168" spans="3:13" ht="12.75" customHeight="1" x14ac:dyDescent="0.25">
      <c r="C65168"/>
      <c r="M65168"/>
    </row>
    <row r="65169" spans="3:13" ht="12.75" customHeight="1" x14ac:dyDescent="0.25">
      <c r="C65169"/>
      <c r="M65169"/>
    </row>
    <row r="65170" spans="3:13" ht="12.75" customHeight="1" x14ac:dyDescent="0.25">
      <c r="C65170"/>
      <c r="M65170"/>
    </row>
    <row r="65171" spans="3:13" ht="12.75" customHeight="1" x14ac:dyDescent="0.25">
      <c r="C65171"/>
      <c r="M65171"/>
    </row>
    <row r="65172" spans="3:13" ht="12.75" customHeight="1" x14ac:dyDescent="0.25">
      <c r="C65172"/>
      <c r="M65172"/>
    </row>
    <row r="65173" spans="3:13" ht="12.75" customHeight="1" x14ac:dyDescent="0.25">
      <c r="C65173"/>
      <c r="M65173"/>
    </row>
    <row r="65174" spans="3:13" ht="12.75" customHeight="1" x14ac:dyDescent="0.25">
      <c r="C65174"/>
      <c r="M65174"/>
    </row>
    <row r="65175" spans="3:13" ht="12.75" customHeight="1" x14ac:dyDescent="0.25">
      <c r="C65175"/>
      <c r="M65175"/>
    </row>
    <row r="65176" spans="3:13" ht="12.75" customHeight="1" x14ac:dyDescent="0.25">
      <c r="C65176"/>
      <c r="M65176"/>
    </row>
    <row r="65177" spans="3:13" ht="12.75" customHeight="1" x14ac:dyDescent="0.25">
      <c r="C65177"/>
      <c r="M65177"/>
    </row>
    <row r="65178" spans="3:13" ht="12.75" customHeight="1" x14ac:dyDescent="0.25">
      <c r="C65178"/>
      <c r="M65178"/>
    </row>
    <row r="65179" spans="3:13" ht="12.75" customHeight="1" x14ac:dyDescent="0.25">
      <c r="C65179"/>
      <c r="M65179"/>
    </row>
    <row r="65180" spans="3:13" ht="12.75" customHeight="1" x14ac:dyDescent="0.25">
      <c r="C65180"/>
      <c r="M65180"/>
    </row>
    <row r="65181" spans="3:13" ht="12.75" customHeight="1" x14ac:dyDescent="0.25">
      <c r="C65181"/>
      <c r="M65181"/>
    </row>
    <row r="65182" spans="3:13" ht="12.75" customHeight="1" x14ac:dyDescent="0.25">
      <c r="C65182"/>
      <c r="M65182"/>
    </row>
    <row r="65183" spans="3:13" ht="12.75" customHeight="1" x14ac:dyDescent="0.25">
      <c r="C65183"/>
      <c r="M65183"/>
    </row>
    <row r="65184" spans="3:13" ht="12.75" customHeight="1" x14ac:dyDescent="0.25">
      <c r="C65184"/>
      <c r="M65184"/>
    </row>
    <row r="65185" spans="3:13" ht="12.75" customHeight="1" x14ac:dyDescent="0.25">
      <c r="C65185"/>
      <c r="M65185"/>
    </row>
    <row r="65186" spans="3:13" ht="12.75" customHeight="1" x14ac:dyDescent="0.25">
      <c r="C65186"/>
      <c r="M65186"/>
    </row>
    <row r="65187" spans="3:13" ht="12.75" customHeight="1" x14ac:dyDescent="0.25">
      <c r="C65187"/>
      <c r="M65187"/>
    </row>
    <row r="65188" spans="3:13" ht="12.75" customHeight="1" x14ac:dyDescent="0.25">
      <c r="C65188"/>
      <c r="M65188"/>
    </row>
    <row r="65189" spans="3:13" ht="12.75" customHeight="1" x14ac:dyDescent="0.25">
      <c r="C65189"/>
      <c r="M65189"/>
    </row>
    <row r="65190" spans="3:13" ht="12.75" customHeight="1" x14ac:dyDescent="0.25">
      <c r="C65190"/>
      <c r="M65190"/>
    </row>
    <row r="65191" spans="3:13" ht="12.75" customHeight="1" x14ac:dyDescent="0.25">
      <c r="C65191"/>
      <c r="M65191"/>
    </row>
    <row r="65192" spans="3:13" ht="12.75" customHeight="1" x14ac:dyDescent="0.25">
      <c r="C65192"/>
      <c r="M65192"/>
    </row>
    <row r="65193" spans="3:13" ht="12.75" customHeight="1" x14ac:dyDescent="0.25">
      <c r="C65193"/>
      <c r="M65193"/>
    </row>
    <row r="65194" spans="3:13" ht="12.75" customHeight="1" x14ac:dyDescent="0.25">
      <c r="C65194"/>
      <c r="M65194"/>
    </row>
    <row r="65195" spans="3:13" ht="12.75" customHeight="1" x14ac:dyDescent="0.25">
      <c r="C65195"/>
      <c r="M65195"/>
    </row>
    <row r="65196" spans="3:13" ht="12.75" customHeight="1" x14ac:dyDescent="0.25">
      <c r="C65196"/>
      <c r="M65196"/>
    </row>
    <row r="65197" spans="3:13" ht="12.75" customHeight="1" x14ac:dyDescent="0.25">
      <c r="C65197"/>
      <c r="M65197"/>
    </row>
    <row r="65198" spans="3:13" ht="12.75" customHeight="1" x14ac:dyDescent="0.25">
      <c r="C65198"/>
      <c r="M65198"/>
    </row>
    <row r="65199" spans="3:13" ht="12.75" customHeight="1" x14ac:dyDescent="0.25">
      <c r="C65199"/>
      <c r="M65199"/>
    </row>
    <row r="65200" spans="3:13" ht="12.75" customHeight="1" x14ac:dyDescent="0.25">
      <c r="C65200"/>
      <c r="M65200"/>
    </row>
    <row r="65201" spans="3:13" ht="12.75" customHeight="1" x14ac:dyDescent="0.25">
      <c r="C65201"/>
      <c r="M65201"/>
    </row>
    <row r="65202" spans="3:13" ht="12.75" customHeight="1" x14ac:dyDescent="0.25">
      <c r="C65202"/>
      <c r="M65202"/>
    </row>
    <row r="65203" spans="3:13" ht="12.75" customHeight="1" x14ac:dyDescent="0.25">
      <c r="C65203"/>
      <c r="M65203"/>
    </row>
    <row r="65204" spans="3:13" ht="12.75" customHeight="1" x14ac:dyDescent="0.25">
      <c r="C65204"/>
      <c r="M65204"/>
    </row>
    <row r="65205" spans="3:13" ht="12.75" customHeight="1" x14ac:dyDescent="0.25">
      <c r="C65205"/>
      <c r="M65205"/>
    </row>
    <row r="65206" spans="3:13" ht="12.75" customHeight="1" x14ac:dyDescent="0.25">
      <c r="C65206"/>
      <c r="M65206"/>
    </row>
    <row r="65207" spans="3:13" ht="12.75" customHeight="1" x14ac:dyDescent="0.25">
      <c r="C65207"/>
      <c r="M65207"/>
    </row>
    <row r="65208" spans="3:13" ht="12.75" customHeight="1" x14ac:dyDescent="0.25">
      <c r="C65208"/>
      <c r="M65208"/>
    </row>
    <row r="65209" spans="3:13" ht="12.75" customHeight="1" x14ac:dyDescent="0.25">
      <c r="C65209"/>
      <c r="M65209"/>
    </row>
    <row r="65210" spans="3:13" ht="12.75" customHeight="1" x14ac:dyDescent="0.25">
      <c r="C65210"/>
      <c r="M65210"/>
    </row>
    <row r="65211" spans="3:13" ht="12.75" customHeight="1" x14ac:dyDescent="0.25">
      <c r="C65211"/>
      <c r="M65211"/>
    </row>
    <row r="65212" spans="3:13" ht="12.75" customHeight="1" x14ac:dyDescent="0.25">
      <c r="C65212"/>
      <c r="M65212"/>
    </row>
    <row r="65213" spans="3:13" ht="12.75" customHeight="1" x14ac:dyDescent="0.25">
      <c r="C65213"/>
      <c r="M65213"/>
    </row>
    <row r="65214" spans="3:13" ht="12.75" customHeight="1" x14ac:dyDescent="0.25">
      <c r="C65214"/>
      <c r="M65214"/>
    </row>
    <row r="65215" spans="3:13" ht="12.75" customHeight="1" x14ac:dyDescent="0.25">
      <c r="C65215"/>
      <c r="M65215"/>
    </row>
    <row r="65216" spans="3:13" ht="12.75" customHeight="1" x14ac:dyDescent="0.25">
      <c r="C65216"/>
      <c r="M65216"/>
    </row>
    <row r="65217" spans="3:13" ht="12.75" customHeight="1" x14ac:dyDescent="0.25">
      <c r="C65217"/>
      <c r="M65217"/>
    </row>
    <row r="65218" spans="3:13" ht="12.75" customHeight="1" x14ac:dyDescent="0.25">
      <c r="C65218"/>
      <c r="M65218"/>
    </row>
    <row r="65219" spans="3:13" ht="12.75" customHeight="1" x14ac:dyDescent="0.25">
      <c r="C65219"/>
      <c r="M65219"/>
    </row>
    <row r="65220" spans="3:13" ht="12.75" customHeight="1" x14ac:dyDescent="0.25">
      <c r="C65220"/>
      <c r="M65220"/>
    </row>
    <row r="65221" spans="3:13" ht="12.75" customHeight="1" x14ac:dyDescent="0.25">
      <c r="C65221"/>
      <c r="M65221"/>
    </row>
    <row r="65222" spans="3:13" ht="12.75" customHeight="1" x14ac:dyDescent="0.25">
      <c r="C65222"/>
      <c r="M65222"/>
    </row>
    <row r="65223" spans="3:13" ht="12.75" customHeight="1" x14ac:dyDescent="0.25">
      <c r="C65223"/>
      <c r="M65223"/>
    </row>
    <row r="65224" spans="3:13" ht="12.75" customHeight="1" x14ac:dyDescent="0.25">
      <c r="C65224"/>
      <c r="M65224"/>
    </row>
    <row r="65225" spans="3:13" ht="12.75" customHeight="1" x14ac:dyDescent="0.25">
      <c r="C65225"/>
      <c r="M65225"/>
    </row>
    <row r="65226" spans="3:13" ht="12.75" customHeight="1" x14ac:dyDescent="0.25">
      <c r="C65226"/>
      <c r="M65226"/>
    </row>
    <row r="65227" spans="3:13" ht="12.75" customHeight="1" x14ac:dyDescent="0.25">
      <c r="C65227"/>
      <c r="M65227"/>
    </row>
    <row r="65228" spans="3:13" ht="12.75" customHeight="1" x14ac:dyDescent="0.25">
      <c r="C65228"/>
      <c r="M65228"/>
    </row>
    <row r="65229" spans="3:13" ht="12.75" customHeight="1" x14ac:dyDescent="0.25">
      <c r="C65229"/>
      <c r="M65229"/>
    </row>
    <row r="65230" spans="3:13" ht="12.75" customHeight="1" x14ac:dyDescent="0.25">
      <c r="C65230"/>
      <c r="M65230"/>
    </row>
    <row r="65231" spans="3:13" ht="12.75" customHeight="1" x14ac:dyDescent="0.25">
      <c r="C65231"/>
      <c r="M65231"/>
    </row>
    <row r="65232" spans="3:13" ht="12.75" customHeight="1" x14ac:dyDescent="0.25">
      <c r="C65232"/>
      <c r="M65232"/>
    </row>
    <row r="65233" spans="3:13" ht="12.75" customHeight="1" x14ac:dyDescent="0.25">
      <c r="C65233"/>
      <c r="M65233"/>
    </row>
    <row r="65234" spans="3:13" ht="12.75" customHeight="1" x14ac:dyDescent="0.25">
      <c r="C65234"/>
      <c r="M65234"/>
    </row>
    <row r="65235" spans="3:13" ht="12.75" customHeight="1" x14ac:dyDescent="0.25">
      <c r="C65235"/>
      <c r="M65235"/>
    </row>
    <row r="65236" spans="3:13" ht="12.75" customHeight="1" x14ac:dyDescent="0.25">
      <c r="C65236"/>
      <c r="M65236"/>
    </row>
    <row r="65237" spans="3:13" ht="12.75" customHeight="1" x14ac:dyDescent="0.25">
      <c r="C65237"/>
      <c r="M65237"/>
    </row>
    <row r="65238" spans="3:13" ht="12.75" customHeight="1" x14ac:dyDescent="0.25">
      <c r="C65238"/>
      <c r="M65238"/>
    </row>
    <row r="65239" spans="3:13" ht="12.75" customHeight="1" x14ac:dyDescent="0.25">
      <c r="C65239"/>
      <c r="M65239"/>
    </row>
    <row r="65240" spans="3:13" ht="12.75" customHeight="1" x14ac:dyDescent="0.25">
      <c r="C65240"/>
      <c r="M65240"/>
    </row>
    <row r="65241" spans="3:13" ht="12.75" customHeight="1" x14ac:dyDescent="0.25">
      <c r="C65241"/>
      <c r="M65241"/>
    </row>
    <row r="65242" spans="3:13" ht="12.75" customHeight="1" x14ac:dyDescent="0.25">
      <c r="C65242"/>
      <c r="M65242"/>
    </row>
    <row r="65243" spans="3:13" ht="12.75" customHeight="1" x14ac:dyDescent="0.25">
      <c r="C65243"/>
      <c r="M65243"/>
    </row>
    <row r="65244" spans="3:13" ht="12.75" customHeight="1" x14ac:dyDescent="0.25">
      <c r="C65244"/>
      <c r="M65244"/>
    </row>
    <row r="65245" spans="3:13" ht="12.75" customHeight="1" x14ac:dyDescent="0.25">
      <c r="C65245"/>
      <c r="M65245"/>
    </row>
    <row r="65246" spans="3:13" ht="12.75" customHeight="1" x14ac:dyDescent="0.25">
      <c r="C65246"/>
      <c r="M65246"/>
    </row>
    <row r="65247" spans="3:13" ht="12.75" customHeight="1" x14ac:dyDescent="0.25">
      <c r="C65247"/>
      <c r="M65247"/>
    </row>
    <row r="65248" spans="3:13" ht="12.75" customHeight="1" x14ac:dyDescent="0.25">
      <c r="C65248"/>
      <c r="M65248"/>
    </row>
    <row r="65249" spans="3:13" ht="12.75" customHeight="1" x14ac:dyDescent="0.25">
      <c r="C65249"/>
      <c r="M65249"/>
    </row>
    <row r="65250" spans="3:13" ht="12.75" customHeight="1" x14ac:dyDescent="0.25">
      <c r="C65250"/>
      <c r="M65250"/>
    </row>
    <row r="65251" spans="3:13" ht="12.75" customHeight="1" x14ac:dyDescent="0.25">
      <c r="C65251"/>
      <c r="M65251"/>
    </row>
    <row r="65252" spans="3:13" ht="12.75" customHeight="1" x14ac:dyDescent="0.25">
      <c r="C65252"/>
      <c r="M65252"/>
    </row>
    <row r="65253" spans="3:13" ht="12.75" customHeight="1" x14ac:dyDescent="0.25">
      <c r="C65253"/>
      <c r="M65253"/>
    </row>
    <row r="65254" spans="3:13" ht="12.75" customHeight="1" x14ac:dyDescent="0.25">
      <c r="C65254"/>
      <c r="M65254"/>
    </row>
    <row r="65255" spans="3:13" ht="12.75" customHeight="1" x14ac:dyDescent="0.25">
      <c r="C65255"/>
      <c r="M65255"/>
    </row>
    <row r="65256" spans="3:13" ht="12.75" customHeight="1" x14ac:dyDescent="0.25">
      <c r="C65256"/>
      <c r="M65256"/>
    </row>
    <row r="65257" spans="3:13" ht="12.75" customHeight="1" x14ac:dyDescent="0.25">
      <c r="C65257"/>
      <c r="M65257"/>
    </row>
    <row r="65258" spans="3:13" ht="12.75" customHeight="1" x14ac:dyDescent="0.25">
      <c r="C65258"/>
      <c r="M65258"/>
    </row>
    <row r="65259" spans="3:13" ht="12.75" customHeight="1" x14ac:dyDescent="0.25">
      <c r="C65259"/>
      <c r="M65259"/>
    </row>
    <row r="65260" spans="3:13" ht="12.75" customHeight="1" x14ac:dyDescent="0.25">
      <c r="C65260"/>
      <c r="M65260"/>
    </row>
    <row r="65261" spans="3:13" ht="12.75" customHeight="1" x14ac:dyDescent="0.25">
      <c r="C65261"/>
      <c r="M65261"/>
    </row>
    <row r="65262" spans="3:13" ht="12.75" customHeight="1" x14ac:dyDescent="0.25">
      <c r="C65262"/>
      <c r="M65262"/>
    </row>
    <row r="65263" spans="3:13" ht="12.75" customHeight="1" x14ac:dyDescent="0.25">
      <c r="C65263"/>
      <c r="M65263"/>
    </row>
    <row r="65264" spans="3:13" ht="12.75" customHeight="1" x14ac:dyDescent="0.25">
      <c r="C65264"/>
      <c r="M65264"/>
    </row>
    <row r="65265" spans="3:13" ht="12.75" customHeight="1" x14ac:dyDescent="0.25">
      <c r="C65265"/>
      <c r="M65265"/>
    </row>
    <row r="65266" spans="3:13" ht="12.75" customHeight="1" x14ac:dyDescent="0.25">
      <c r="C65266"/>
      <c r="M65266"/>
    </row>
    <row r="65267" spans="3:13" ht="12.75" customHeight="1" x14ac:dyDescent="0.25">
      <c r="C65267"/>
      <c r="M65267"/>
    </row>
    <row r="65268" spans="3:13" ht="12.75" customHeight="1" x14ac:dyDescent="0.25">
      <c r="C65268"/>
      <c r="M65268"/>
    </row>
    <row r="65269" spans="3:13" ht="12.75" customHeight="1" x14ac:dyDescent="0.25">
      <c r="C65269"/>
      <c r="M65269"/>
    </row>
    <row r="65270" spans="3:13" ht="12.75" customHeight="1" x14ac:dyDescent="0.25">
      <c r="C65270"/>
      <c r="M65270"/>
    </row>
    <row r="65271" spans="3:13" ht="12.75" customHeight="1" x14ac:dyDescent="0.25">
      <c r="C65271"/>
      <c r="M65271"/>
    </row>
    <row r="65272" spans="3:13" ht="12.75" customHeight="1" x14ac:dyDescent="0.25">
      <c r="C65272"/>
      <c r="M65272"/>
    </row>
    <row r="65273" spans="3:13" ht="12.75" customHeight="1" x14ac:dyDescent="0.25">
      <c r="C65273"/>
      <c r="M65273"/>
    </row>
    <row r="65274" spans="3:13" ht="12.75" customHeight="1" x14ac:dyDescent="0.25">
      <c r="C65274"/>
      <c r="M65274"/>
    </row>
    <row r="65275" spans="3:13" ht="12.75" customHeight="1" x14ac:dyDescent="0.25">
      <c r="C65275"/>
      <c r="M65275"/>
    </row>
    <row r="65276" spans="3:13" ht="12.75" customHeight="1" x14ac:dyDescent="0.25">
      <c r="C65276"/>
      <c r="M65276"/>
    </row>
    <row r="65277" spans="3:13" ht="12.75" customHeight="1" x14ac:dyDescent="0.25">
      <c r="C65277"/>
      <c r="M65277"/>
    </row>
    <row r="65278" spans="3:13" ht="12.75" customHeight="1" x14ac:dyDescent="0.25">
      <c r="C65278"/>
      <c r="M65278"/>
    </row>
    <row r="65279" spans="3:13" ht="12.75" customHeight="1" x14ac:dyDescent="0.25">
      <c r="C65279"/>
      <c r="M65279"/>
    </row>
    <row r="65280" spans="3:13" ht="12.75" customHeight="1" x14ac:dyDescent="0.25">
      <c r="C65280"/>
      <c r="M65280"/>
    </row>
    <row r="65281" spans="3:13" ht="12.75" customHeight="1" x14ac:dyDescent="0.25">
      <c r="C65281"/>
      <c r="M65281"/>
    </row>
    <row r="65282" spans="3:13" ht="12.75" customHeight="1" x14ac:dyDescent="0.25">
      <c r="C65282"/>
      <c r="M65282"/>
    </row>
    <row r="65283" spans="3:13" ht="12.75" customHeight="1" x14ac:dyDescent="0.25">
      <c r="C65283"/>
      <c r="M65283"/>
    </row>
    <row r="65284" spans="3:13" ht="12.75" customHeight="1" x14ac:dyDescent="0.25">
      <c r="C65284"/>
      <c r="M65284"/>
    </row>
    <row r="65285" spans="3:13" ht="12.75" customHeight="1" x14ac:dyDescent="0.25">
      <c r="C65285"/>
      <c r="M65285"/>
    </row>
    <row r="65286" spans="3:13" ht="12.75" customHeight="1" x14ac:dyDescent="0.25">
      <c r="C65286"/>
      <c r="M65286"/>
    </row>
    <row r="65287" spans="3:13" ht="12.75" customHeight="1" x14ac:dyDescent="0.25">
      <c r="C65287"/>
      <c r="M65287"/>
    </row>
    <row r="65288" spans="3:13" ht="12.75" customHeight="1" x14ac:dyDescent="0.25">
      <c r="C65288"/>
      <c r="M65288"/>
    </row>
    <row r="65289" spans="3:13" ht="12.75" customHeight="1" x14ac:dyDescent="0.25">
      <c r="C65289"/>
      <c r="M65289"/>
    </row>
    <row r="65290" spans="3:13" ht="12.75" customHeight="1" x14ac:dyDescent="0.25">
      <c r="C65290"/>
      <c r="M65290"/>
    </row>
    <row r="65291" spans="3:13" ht="12.75" customHeight="1" x14ac:dyDescent="0.25">
      <c r="C65291"/>
      <c r="M65291"/>
    </row>
    <row r="65292" spans="3:13" ht="12.75" customHeight="1" x14ac:dyDescent="0.25">
      <c r="C65292"/>
      <c r="M65292"/>
    </row>
    <row r="65293" spans="3:13" ht="12.75" customHeight="1" x14ac:dyDescent="0.25">
      <c r="C65293"/>
      <c r="M65293"/>
    </row>
    <row r="65294" spans="3:13" ht="12.75" customHeight="1" x14ac:dyDescent="0.25">
      <c r="C65294"/>
      <c r="M65294"/>
    </row>
    <row r="65295" spans="3:13" ht="12.75" customHeight="1" x14ac:dyDescent="0.25">
      <c r="C65295"/>
      <c r="M65295"/>
    </row>
    <row r="65296" spans="3:13" ht="12.75" customHeight="1" x14ac:dyDescent="0.25">
      <c r="C65296"/>
      <c r="M65296"/>
    </row>
    <row r="65297" spans="3:13" ht="12.75" customHeight="1" x14ac:dyDescent="0.25">
      <c r="C65297"/>
      <c r="M65297"/>
    </row>
    <row r="65298" spans="3:13" ht="12.75" customHeight="1" x14ac:dyDescent="0.25">
      <c r="C65298"/>
      <c r="M65298"/>
    </row>
    <row r="65299" spans="3:13" ht="12.75" customHeight="1" x14ac:dyDescent="0.25">
      <c r="C65299"/>
      <c r="M65299"/>
    </row>
    <row r="65300" spans="3:13" ht="12.75" customHeight="1" x14ac:dyDescent="0.25">
      <c r="C65300"/>
      <c r="M65300"/>
    </row>
  </sheetData>
  <sheetProtection algorithmName="SHA-512" hashValue="iAwNGG3FfMxfvK0jSx0Ne8D5dJQUWUjNi5BhTq7EoZPqUlGVcTYTCPs8fYV7Y6llUwk8b1urNnPZEbUkhTH9RQ==" saltValue="QYnPn4bzPKupv/2nhAlMDg==" spinCount="100000" sheet="1" objects="1" scenarios="1" autoFilter="0"/>
  <autoFilter ref="C15:C32" xr:uid="{00000000-0009-0000-0000-000005000000}">
    <filterColumn colId="0">
      <filters>
        <filter val="F"/>
      </filters>
    </filterColumn>
  </autoFilter>
  <mergeCells count="15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</mergeCells>
  <phoneticPr fontId="38" type="noConversion"/>
  <conditionalFormatting sqref="D14:I14 D16:I31">
    <cfRule type="expression" dxfId="210" priority="5314" stopIfTrue="1">
      <formula>$B14=1</formula>
    </cfRule>
    <cfRule type="expression" dxfId="209" priority="5315" stopIfTrue="1">
      <formula>OR($B14=0,$B14=2,$B14=3,$B14=4)</formula>
    </cfRule>
  </conditionalFormatting>
  <conditionalFormatting sqref="M12:N32">
    <cfRule type="expression" dxfId="208" priority="5316" stopIfTrue="1">
      <formula>ACOMPANHAMENTO="BM"</formula>
    </cfRule>
    <cfRule type="expression" dxfId="207" priority="5317" stopIfTrue="1">
      <formula>OR($B12=0,$B12=2,$B12=3,$B12=4)</formula>
    </cfRule>
    <cfRule type="expression" dxfId="206" priority="5318" stopIfTrue="1">
      <formula>$B12=1</formula>
    </cfRule>
  </conditionalFormatting>
  <conditionalFormatting sqref="K12:K32">
    <cfRule type="expression" dxfId="205" priority="5319" stopIfTrue="1">
      <formula>OR(ACOMPANHAMENTO="BM",$A$12&lt;&gt;"Manual")</formula>
    </cfRule>
    <cfRule type="expression" dxfId="204" priority="5320" stopIfTrue="1">
      <formula>$B12=1</formula>
    </cfRule>
    <cfRule type="expression" dxfId="203" priority="5321" stopIfTrue="1">
      <formula>OR($B12=2,$B12=3,$B12=4,$B12=0)</formula>
    </cfRule>
  </conditionalFormatting>
  <conditionalFormatting sqref="O12:AA32">
    <cfRule type="expression" dxfId="202" priority="5322" stopIfTrue="1">
      <formula>ACOMPANHAMENTO="BM"</formula>
    </cfRule>
    <cfRule type="expression" dxfId="201" priority="5323" stopIfTrue="1">
      <formula>AND(O$12&lt;&gt;".",OR($B12=0,$B12=2,$B12=3,$B12=4,AND(O$12="",$B12&lt;&gt;"Empty"),OFFSET(O$12,0,-1)=""))</formula>
    </cfRule>
    <cfRule type="expression" dxfId="200" priority="5324" stopIfTrue="1">
      <formula>AND($B12=1,O$12&lt;&gt;".")</formula>
    </cfRule>
  </conditionalFormatting>
  <dataValidations count="4">
    <dataValidation type="decimal" operator="greaterThan" allowBlank="1" showErrorMessage="1" error="Apenas números decimais maiores que zero." sqref="O14 Q14:Z14 O16:O31 Q16:Z31" xr:uid="{00000000-0002-0000-0500-000000000000}">
      <formula1>0</formula1>
      <formula2>0</formula2>
    </dataValidation>
    <dataValidation type="list" allowBlank="1" showErrorMessage="1" sqref="K14 K16:K31" xr:uid="{00000000-0002-0000-0500-000001000000}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31" xr:uid="{00000000-0002-0000-0500-000002000000}"/>
    <dataValidation allowBlank="1" showInputMessage="1" showErrorMessage="1" prompt="A frente de obra é uma porção física da obra. Exemplos: Única; Rua A; Rua B; Trecho 01; Trecho 02; 1º Andar; 2º Andar; Copa; Banheiro" sqref="Q12" xr:uid="{00000000-0002-0000-0500-000003000000}"/>
  </dataValidations>
  <pageMargins left="0.78740157480314998" right="0.78740157480314998" top="0.78740157480314998" bottom="0.78740157480314998" header="0.59055118110236204" footer="0.59055118110236204"/>
  <pageSetup paperSize="9" scale="65" firstPageNumber="0" orientation="landscape" r:id="rId1"/>
  <headerFooter alignWithMargins="0">
    <oddHeader>&amp;C&amp;14I</oddHeader>
    <oddFooter>&amp;LPMv3.0.6&amp;R&amp;P / &amp;N</oddFooter>
  </headerFooter>
  <colBreaks count="1" manualBreakCount="1"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8">
    <pageSetUpPr fitToPage="1"/>
  </sheetPr>
  <dimension ref="B2:F65"/>
  <sheetViews>
    <sheetView showGridLines="0" zoomScale="90" zoomScaleNormal="90" workbookViewId="0">
      <pane ySplit="14" topLeftCell="A15" activePane="bottomLeft" state="frozen"/>
      <selection pane="bottomLeft" activeCell="D19" sqref="D19:E19"/>
    </sheetView>
  </sheetViews>
  <sheetFormatPr defaultRowHeight="13.2" x14ac:dyDescent="0.25"/>
  <cols>
    <col min="2" max="2" width="0" hidden="1" customWidth="1"/>
    <col min="3" max="3" width="12.6640625" customWidth="1"/>
    <col min="4" max="4" width="30.6640625" customWidth="1"/>
    <col min="6" max="6" width="25.6640625" customWidth="1"/>
  </cols>
  <sheetData>
    <row r="2" spans="2:6" ht="15.6" x14ac:dyDescent="0.25">
      <c r="C2" s="82" t="s">
        <v>264</v>
      </c>
    </row>
    <row r="4" spans="2:6" x14ac:dyDescent="0.25">
      <c r="C4" t="s">
        <v>265</v>
      </c>
    </row>
    <row r="6" spans="2:6" x14ac:dyDescent="0.25">
      <c r="C6" s="629" t="s">
        <v>453</v>
      </c>
      <c r="D6" s="629"/>
      <c r="E6" s="629"/>
      <c r="F6" s="629"/>
    </row>
    <row r="8" spans="2:6" ht="33.75" customHeight="1" x14ac:dyDescent="0.25"/>
    <row r="9" spans="2:6" ht="12" customHeight="1" x14ac:dyDescent="0.25">
      <c r="C9" s="630" t="str">
        <f>IF(ACOMPANHAMENTO="BM","Foi selecionado na aba 'MENU' o acompanhamento por BM. Não há necessidade de definição de Eventos.","")</f>
        <v/>
      </c>
      <c r="D9" s="630"/>
      <c r="E9" s="630"/>
      <c r="F9" s="630"/>
    </row>
    <row r="10" spans="2:6" ht="12" customHeight="1" x14ac:dyDescent="0.25">
      <c r="C10" s="630"/>
      <c r="D10" s="630"/>
      <c r="E10" s="630"/>
      <c r="F10" s="630"/>
    </row>
    <row r="11" spans="2:6" ht="12" customHeight="1" x14ac:dyDescent="0.25">
      <c r="C11" s="630"/>
      <c r="D11" s="630"/>
      <c r="E11" s="630"/>
      <c r="F11" s="630"/>
    </row>
    <row r="12" spans="2:6" ht="12" customHeight="1" x14ac:dyDescent="0.25"/>
    <row r="13" spans="2:6" ht="14.4" x14ac:dyDescent="0.3">
      <c r="C13" s="195" t="s">
        <v>266</v>
      </c>
      <c r="D13" s="631" t="s">
        <v>267</v>
      </c>
      <c r="E13" s="631"/>
      <c r="F13" s="196" t="s">
        <v>268</v>
      </c>
    </row>
    <row r="14" spans="2:6" hidden="1" x14ac:dyDescent="0.25">
      <c r="B14" t="e">
        <f ca="1">CONCATENATE(C14,".",D14)</f>
        <v>#VALUE!</v>
      </c>
      <c r="C14" s="197" t="e">
        <f ca="1">OFFSET(C14,-1,0)+1</f>
        <v>#VALUE!</v>
      </c>
      <c r="D14" s="628"/>
      <c r="E14" s="628"/>
      <c r="F14" s="198" t="e">
        <f ca="1">IF(AUTOEVENTO="Manual",ROUND(SUMPRODUCT((CÁLCULO!$M$15:$M$32=EVENTOS!$C14)*(OFFSET(CÁLCULO!$AA$15,0,1):OFFSET(CÁLCULO!$AL$32,0,-1))),2),0)</f>
        <v>#VALUE!</v>
      </c>
    </row>
    <row r="15" spans="2:6" x14ac:dyDescent="0.25">
      <c r="B15" t="str">
        <f>CONCATENATE(C15,".",D15)</f>
        <v>1.Administração Local</v>
      </c>
      <c r="C15" s="199">
        <v>1</v>
      </c>
      <c r="D15" s="632" t="s">
        <v>269</v>
      </c>
      <c r="E15" s="632"/>
      <c r="F15" s="200">
        <f ca="1">IF(AUTOEVENTO="Manual",ROUND(SUMIF(CÁLCULO!$M$15:$M$32,1,ORÇAMENTO!$X$15:$X$32),2),0)</f>
        <v>0</v>
      </c>
    </row>
    <row r="16" spans="2:6" x14ac:dyDescent="0.25">
      <c r="B16" t="str">
        <f t="shared" ref="B16:B64" ca="1" si="0">CONCATENATE(C16,".",D16)</f>
        <v>2.(SERVIÇOS PRELIMINARES)</v>
      </c>
      <c r="C16" s="197">
        <f t="shared" ref="C16:C64" ca="1" si="1">OFFSET(C16,-1,0)+1</f>
        <v>2</v>
      </c>
      <c r="D16" s="628" t="s">
        <v>484</v>
      </c>
      <c r="E16" s="628"/>
      <c r="F16" s="198">
        <f ca="1">IF(AUTOEVENTO="Manual",ROUND(SUMPRODUCT((CÁLCULO!$M$15:$M$32=EVENTOS!$C16)*(OFFSET(CÁLCULO!$AA$15,0,1):OFFSET(CÁLCULO!$AL$32,0,-1))),2),0)</f>
        <v>1725.75</v>
      </c>
    </row>
    <row r="17" spans="2:6" x14ac:dyDescent="0.25">
      <c r="B17" t="str">
        <f t="shared" ca="1" si="0"/>
        <v>3.EMBOÇO, FORRO, LOUÇAS E PORTAS</v>
      </c>
      <c r="C17" s="197">
        <f t="shared" ca="1" si="1"/>
        <v>3</v>
      </c>
      <c r="D17" s="628" t="s">
        <v>474</v>
      </c>
      <c r="E17" s="628"/>
      <c r="F17" s="198">
        <f ca="1">IF(AUTOEVENTO="Manual",ROUND(SUMPRODUCT((CÁLCULO!$M$15:$M$32=EVENTOS!$C17)*(OFFSET(CÁLCULO!$AA$15,0,1):OFFSET(CÁLCULO!$AL$32,0,-1))),2),0)</f>
        <v>48670.5</v>
      </c>
    </row>
    <row r="18" spans="2:6" x14ac:dyDescent="0.25">
      <c r="B18" t="str">
        <f t="shared" ca="1" si="0"/>
        <v>4.PINTURA</v>
      </c>
      <c r="C18" s="197">
        <f t="shared" ca="1" si="1"/>
        <v>4</v>
      </c>
      <c r="D18" s="628" t="s">
        <v>483</v>
      </c>
      <c r="E18" s="628"/>
      <c r="F18" s="198">
        <f ca="1">IF(AUTOEVENTO="Manual",ROUND(SUMPRODUCT((CÁLCULO!$M$15:$M$32=EVENTOS!$C18)*(OFFSET(CÁLCULO!$AA$15,0,1):OFFSET(CÁLCULO!$AL$32,0,-1))),2),0)</f>
        <v>49495.199999999997</v>
      </c>
    </row>
    <row r="19" spans="2:6" x14ac:dyDescent="0.25">
      <c r="B19" t="str">
        <f t="shared" ca="1" si="0"/>
        <v>5.</v>
      </c>
      <c r="C19" s="197">
        <f t="shared" ca="1" si="1"/>
        <v>5</v>
      </c>
      <c r="D19" s="628"/>
      <c r="E19" s="628"/>
      <c r="F19" s="198">
        <f ca="1">IF(AUTOEVENTO="Manual",ROUND(SUMPRODUCT((CÁLCULO!$M$15:$M$32=EVENTOS!$C19)*(OFFSET(CÁLCULO!$AA$15,0,1):OFFSET(CÁLCULO!$AL$32,0,-1))),2),0)</f>
        <v>0</v>
      </c>
    </row>
    <row r="20" spans="2:6" x14ac:dyDescent="0.25">
      <c r="B20" t="str">
        <f t="shared" ca="1" si="0"/>
        <v>6.</v>
      </c>
      <c r="C20" s="197">
        <f t="shared" ca="1" si="1"/>
        <v>6</v>
      </c>
      <c r="D20" s="628"/>
      <c r="E20" s="628"/>
      <c r="F20" s="198">
        <f ca="1">IF(AUTOEVENTO="Manual",ROUND(SUMPRODUCT((CÁLCULO!$M$15:$M$32=EVENTOS!$C20)*(OFFSET(CÁLCULO!$AA$15,0,1):OFFSET(CÁLCULO!$AL$32,0,-1))),2),0)</f>
        <v>0</v>
      </c>
    </row>
    <row r="21" spans="2:6" x14ac:dyDescent="0.25">
      <c r="B21" t="str">
        <f t="shared" ca="1" si="0"/>
        <v>7.</v>
      </c>
      <c r="C21" s="197">
        <f t="shared" ca="1" si="1"/>
        <v>7</v>
      </c>
      <c r="D21" s="628"/>
      <c r="E21" s="628"/>
      <c r="F21" s="198">
        <f ca="1">IF(AUTOEVENTO="Manual",ROUND(SUMPRODUCT((CÁLCULO!$M$15:$M$32=EVENTOS!$C21)*(OFFSET(CÁLCULO!$AA$15,0,1):OFFSET(CÁLCULO!$AL$32,0,-1))),2),0)</f>
        <v>0</v>
      </c>
    </row>
    <row r="22" spans="2:6" x14ac:dyDescent="0.25">
      <c r="B22" t="str">
        <f t="shared" ca="1" si="0"/>
        <v>8.</v>
      </c>
      <c r="C22" s="197">
        <f t="shared" ca="1" si="1"/>
        <v>8</v>
      </c>
      <c r="D22" s="628"/>
      <c r="E22" s="628"/>
      <c r="F22" s="198">
        <f ca="1">IF(AUTOEVENTO="Manual",ROUND(SUMPRODUCT((CÁLCULO!$M$15:$M$32=EVENTOS!$C22)*(OFFSET(CÁLCULO!$AA$15,0,1):OFFSET(CÁLCULO!$AL$32,0,-1))),2),0)</f>
        <v>0</v>
      </c>
    </row>
    <row r="23" spans="2:6" x14ac:dyDescent="0.25">
      <c r="B23" t="str">
        <f t="shared" ca="1" si="0"/>
        <v>9.</v>
      </c>
      <c r="C23" s="197">
        <f t="shared" ca="1" si="1"/>
        <v>9</v>
      </c>
      <c r="D23" s="628"/>
      <c r="E23" s="628"/>
      <c r="F23" s="198">
        <f ca="1">IF(AUTOEVENTO="Manual",ROUND(SUMPRODUCT((CÁLCULO!$M$15:$M$32=EVENTOS!$C23)*(OFFSET(CÁLCULO!$AA$15,0,1):OFFSET(CÁLCULO!$AL$32,0,-1))),2),0)</f>
        <v>0</v>
      </c>
    </row>
    <row r="24" spans="2:6" x14ac:dyDescent="0.25">
      <c r="B24" t="str">
        <f t="shared" ca="1" si="0"/>
        <v>10.</v>
      </c>
      <c r="C24" s="197">
        <f t="shared" ca="1" si="1"/>
        <v>10</v>
      </c>
      <c r="D24" s="628"/>
      <c r="E24" s="628"/>
      <c r="F24" s="198">
        <f ca="1">IF(AUTOEVENTO="Manual",ROUND(SUMPRODUCT((CÁLCULO!$M$15:$M$32=EVENTOS!$C24)*(OFFSET(CÁLCULO!$AA$15,0,1):OFFSET(CÁLCULO!$AL$32,0,-1))),2),0)</f>
        <v>0</v>
      </c>
    </row>
    <row r="25" spans="2:6" x14ac:dyDescent="0.25">
      <c r="B25" t="str">
        <f t="shared" ca="1" si="0"/>
        <v>11.</v>
      </c>
      <c r="C25" s="197">
        <f t="shared" ca="1" si="1"/>
        <v>11</v>
      </c>
      <c r="D25" s="628"/>
      <c r="E25" s="628"/>
      <c r="F25" s="198">
        <f ca="1">IF(AUTOEVENTO="Manual",ROUND(SUMPRODUCT((CÁLCULO!$M$15:$M$32=EVENTOS!$C25)*(OFFSET(CÁLCULO!$AA$15,0,1):OFFSET(CÁLCULO!$AL$32,0,-1))),2),0)</f>
        <v>0</v>
      </c>
    </row>
    <row r="26" spans="2:6" x14ac:dyDescent="0.25">
      <c r="B26" t="str">
        <f t="shared" ca="1" si="0"/>
        <v>12.</v>
      </c>
      <c r="C26" s="197">
        <f t="shared" ca="1" si="1"/>
        <v>12</v>
      </c>
      <c r="D26" s="628"/>
      <c r="E26" s="628"/>
      <c r="F26" s="198">
        <f ca="1">IF(AUTOEVENTO="Manual",ROUND(SUMPRODUCT((CÁLCULO!$M$15:$M$32=EVENTOS!$C26)*(OFFSET(CÁLCULO!$AA$15,0,1):OFFSET(CÁLCULO!$AL$32,0,-1))),2),0)</f>
        <v>0</v>
      </c>
    </row>
    <row r="27" spans="2:6" x14ac:dyDescent="0.25">
      <c r="B27" t="str">
        <f t="shared" ca="1" si="0"/>
        <v>13.</v>
      </c>
      <c r="C27" s="197">
        <f t="shared" ca="1" si="1"/>
        <v>13</v>
      </c>
      <c r="D27" s="628"/>
      <c r="E27" s="628"/>
      <c r="F27" s="198">
        <f ca="1">IF(AUTOEVENTO="Manual",ROUND(SUMPRODUCT((CÁLCULO!$M$15:$M$32=EVENTOS!$C27)*(OFFSET(CÁLCULO!$AA$15,0,1):OFFSET(CÁLCULO!$AL$32,0,-1))),2),0)</f>
        <v>0</v>
      </c>
    </row>
    <row r="28" spans="2:6" x14ac:dyDescent="0.25">
      <c r="B28" t="str">
        <f t="shared" ca="1" si="0"/>
        <v>14.</v>
      </c>
      <c r="C28" s="197">
        <f t="shared" ca="1" si="1"/>
        <v>14</v>
      </c>
      <c r="D28" s="628"/>
      <c r="E28" s="628"/>
      <c r="F28" s="198">
        <f ca="1">IF(AUTOEVENTO="Manual",ROUND(SUMPRODUCT((CÁLCULO!$M$15:$M$32=EVENTOS!$C28)*(OFFSET(CÁLCULO!$AA$15,0,1):OFFSET(CÁLCULO!$AL$32,0,-1))),2),0)</f>
        <v>0</v>
      </c>
    </row>
    <row r="29" spans="2:6" x14ac:dyDescent="0.25">
      <c r="B29" t="str">
        <f t="shared" ca="1" si="0"/>
        <v>15.</v>
      </c>
      <c r="C29" s="197">
        <f t="shared" ca="1" si="1"/>
        <v>15</v>
      </c>
      <c r="D29" s="628"/>
      <c r="E29" s="628"/>
      <c r="F29" s="198">
        <f ca="1">IF(AUTOEVENTO="Manual",ROUND(SUMPRODUCT((CÁLCULO!$M$15:$M$32=EVENTOS!$C29)*(OFFSET(CÁLCULO!$AA$15,0,1):OFFSET(CÁLCULO!$AL$32,0,-1))),2),0)</f>
        <v>0</v>
      </c>
    </row>
    <row r="30" spans="2:6" x14ac:dyDescent="0.25">
      <c r="B30" t="str">
        <f t="shared" ca="1" si="0"/>
        <v>16.</v>
      </c>
      <c r="C30" s="197">
        <f t="shared" ca="1" si="1"/>
        <v>16</v>
      </c>
      <c r="D30" s="628"/>
      <c r="E30" s="628"/>
      <c r="F30" s="198">
        <f ca="1">IF(AUTOEVENTO="Manual",ROUND(SUMPRODUCT((CÁLCULO!$M$15:$M$32=EVENTOS!$C30)*(OFFSET(CÁLCULO!$AA$15,0,1):OFFSET(CÁLCULO!$AL$32,0,-1))),2),0)</f>
        <v>0</v>
      </c>
    </row>
    <row r="31" spans="2:6" x14ac:dyDescent="0.25">
      <c r="B31" t="str">
        <f t="shared" ca="1" si="0"/>
        <v>17.</v>
      </c>
      <c r="C31" s="197">
        <f t="shared" ca="1" si="1"/>
        <v>17</v>
      </c>
      <c r="D31" s="628"/>
      <c r="E31" s="628"/>
      <c r="F31" s="198">
        <f ca="1">IF(AUTOEVENTO="Manual",ROUND(SUMPRODUCT((CÁLCULO!$M$15:$M$32=EVENTOS!$C31)*(OFFSET(CÁLCULO!$AA$15,0,1):OFFSET(CÁLCULO!$AL$32,0,-1))),2),0)</f>
        <v>0</v>
      </c>
    </row>
    <row r="32" spans="2:6" x14ac:dyDescent="0.25">
      <c r="B32" t="str">
        <f t="shared" ca="1" si="0"/>
        <v>18.</v>
      </c>
      <c r="C32" s="197">
        <f t="shared" ca="1" si="1"/>
        <v>18</v>
      </c>
      <c r="D32" s="628"/>
      <c r="E32" s="628"/>
      <c r="F32" s="198">
        <f ca="1">IF(AUTOEVENTO="Manual",ROUND(SUMPRODUCT((CÁLCULO!$M$15:$M$32=EVENTOS!$C32)*(OFFSET(CÁLCULO!$AA$15,0,1):OFFSET(CÁLCULO!$AL$32,0,-1))),2),0)</f>
        <v>0</v>
      </c>
    </row>
    <row r="33" spans="2:6" x14ac:dyDescent="0.25">
      <c r="B33" t="str">
        <f t="shared" ca="1" si="0"/>
        <v>19.</v>
      </c>
      <c r="C33" s="197">
        <f t="shared" ca="1" si="1"/>
        <v>19</v>
      </c>
      <c r="D33" s="628"/>
      <c r="E33" s="628"/>
      <c r="F33" s="198">
        <f ca="1">IF(AUTOEVENTO="Manual",ROUND(SUMPRODUCT((CÁLCULO!$M$15:$M$32=EVENTOS!$C33)*(OFFSET(CÁLCULO!$AA$15,0,1):OFFSET(CÁLCULO!$AL$32,0,-1))),2),0)</f>
        <v>0</v>
      </c>
    </row>
    <row r="34" spans="2:6" x14ac:dyDescent="0.25">
      <c r="B34" t="str">
        <f t="shared" ca="1" si="0"/>
        <v>20.</v>
      </c>
      <c r="C34" s="197">
        <f t="shared" ca="1" si="1"/>
        <v>20</v>
      </c>
      <c r="D34" s="628"/>
      <c r="E34" s="628"/>
      <c r="F34" s="198">
        <f ca="1">IF(AUTOEVENTO="Manual",ROUND(SUMPRODUCT((CÁLCULO!$M$15:$M$32=EVENTOS!$C34)*(OFFSET(CÁLCULO!$AA$15,0,1):OFFSET(CÁLCULO!$AL$32,0,-1))),2),0)</f>
        <v>0</v>
      </c>
    </row>
    <row r="35" spans="2:6" x14ac:dyDescent="0.25">
      <c r="B35" t="str">
        <f t="shared" ca="1" si="0"/>
        <v>21.</v>
      </c>
      <c r="C35" s="197">
        <f t="shared" ca="1" si="1"/>
        <v>21</v>
      </c>
      <c r="D35" s="628"/>
      <c r="E35" s="628"/>
      <c r="F35" s="198">
        <f ca="1">IF(AUTOEVENTO="Manual",ROUND(SUMPRODUCT((CÁLCULO!$M$15:$M$32=EVENTOS!$C35)*(OFFSET(CÁLCULO!$AA$15,0,1):OFFSET(CÁLCULO!$AL$32,0,-1))),2),0)</f>
        <v>0</v>
      </c>
    </row>
    <row r="36" spans="2:6" x14ac:dyDescent="0.25">
      <c r="B36" t="str">
        <f t="shared" ca="1" si="0"/>
        <v>22.</v>
      </c>
      <c r="C36" s="197">
        <f t="shared" ca="1" si="1"/>
        <v>22</v>
      </c>
      <c r="D36" s="628"/>
      <c r="E36" s="628"/>
      <c r="F36" s="198">
        <f ca="1">IF(AUTOEVENTO="Manual",ROUND(SUMPRODUCT((CÁLCULO!$M$15:$M$32=EVENTOS!$C36)*(OFFSET(CÁLCULO!$AA$15,0,1):OFFSET(CÁLCULO!$AL$32,0,-1))),2),0)</f>
        <v>0</v>
      </c>
    </row>
    <row r="37" spans="2:6" x14ac:dyDescent="0.25">
      <c r="B37" t="str">
        <f t="shared" ca="1" si="0"/>
        <v>23.</v>
      </c>
      <c r="C37" s="197">
        <f t="shared" ca="1" si="1"/>
        <v>23</v>
      </c>
      <c r="D37" s="628"/>
      <c r="E37" s="628"/>
      <c r="F37" s="198">
        <f ca="1">IF(AUTOEVENTO="Manual",ROUND(SUMPRODUCT((CÁLCULO!$M$15:$M$32=EVENTOS!$C37)*(OFFSET(CÁLCULO!$AA$15,0,1):OFFSET(CÁLCULO!$AL$32,0,-1))),2),0)</f>
        <v>0</v>
      </c>
    </row>
    <row r="38" spans="2:6" x14ac:dyDescent="0.25">
      <c r="B38" t="str">
        <f t="shared" ca="1" si="0"/>
        <v>24.</v>
      </c>
      <c r="C38" s="197">
        <f t="shared" ca="1" si="1"/>
        <v>24</v>
      </c>
      <c r="D38" s="628"/>
      <c r="E38" s="628"/>
      <c r="F38" s="198">
        <f ca="1">IF(AUTOEVENTO="Manual",ROUND(SUMPRODUCT((CÁLCULO!$M$15:$M$32=EVENTOS!$C38)*(OFFSET(CÁLCULO!$AA$15,0,1):OFFSET(CÁLCULO!$AL$32,0,-1))),2),0)</f>
        <v>0</v>
      </c>
    </row>
    <row r="39" spans="2:6" x14ac:dyDescent="0.25">
      <c r="B39" t="str">
        <f t="shared" ca="1" si="0"/>
        <v>25.</v>
      </c>
      <c r="C39" s="197">
        <f t="shared" ca="1" si="1"/>
        <v>25</v>
      </c>
      <c r="D39" s="628"/>
      <c r="E39" s="628"/>
      <c r="F39" s="198">
        <f ca="1">IF(AUTOEVENTO="Manual",ROUND(SUMPRODUCT((CÁLCULO!$M$15:$M$32=EVENTOS!$C39)*(OFFSET(CÁLCULO!$AA$15,0,1):OFFSET(CÁLCULO!$AL$32,0,-1))),2),0)</f>
        <v>0</v>
      </c>
    </row>
    <row r="40" spans="2:6" x14ac:dyDescent="0.25">
      <c r="B40" t="str">
        <f t="shared" ca="1" si="0"/>
        <v>26.</v>
      </c>
      <c r="C40" s="197">
        <f t="shared" ca="1" si="1"/>
        <v>26</v>
      </c>
      <c r="D40" s="628"/>
      <c r="E40" s="628"/>
      <c r="F40" s="198">
        <f ca="1">IF(AUTOEVENTO="Manual",ROUND(SUMPRODUCT((CÁLCULO!$M$15:$M$32=EVENTOS!$C40)*(OFFSET(CÁLCULO!$AA$15,0,1):OFFSET(CÁLCULO!$AL$32,0,-1))),2),0)</f>
        <v>0</v>
      </c>
    </row>
    <row r="41" spans="2:6" x14ac:dyDescent="0.25">
      <c r="B41" t="str">
        <f t="shared" ca="1" si="0"/>
        <v>27.</v>
      </c>
      <c r="C41" s="197">
        <f t="shared" ca="1" si="1"/>
        <v>27</v>
      </c>
      <c r="D41" s="628"/>
      <c r="E41" s="628"/>
      <c r="F41" s="198">
        <f ca="1">IF(AUTOEVENTO="Manual",ROUND(SUMPRODUCT((CÁLCULO!$M$15:$M$32=EVENTOS!$C41)*(OFFSET(CÁLCULO!$AA$15,0,1):OFFSET(CÁLCULO!$AL$32,0,-1))),2),0)</f>
        <v>0</v>
      </c>
    </row>
    <row r="42" spans="2:6" x14ac:dyDescent="0.25">
      <c r="B42" t="str">
        <f t="shared" ca="1" si="0"/>
        <v>28.</v>
      </c>
      <c r="C42" s="197">
        <f t="shared" ca="1" si="1"/>
        <v>28</v>
      </c>
      <c r="D42" s="628"/>
      <c r="E42" s="628"/>
      <c r="F42" s="198">
        <f ca="1">IF(AUTOEVENTO="Manual",ROUND(SUMPRODUCT((CÁLCULO!$M$15:$M$32=EVENTOS!$C42)*(OFFSET(CÁLCULO!$AA$15,0,1):OFFSET(CÁLCULO!$AL$32,0,-1))),2),0)</f>
        <v>0</v>
      </c>
    </row>
    <row r="43" spans="2:6" x14ac:dyDescent="0.25">
      <c r="B43" t="str">
        <f t="shared" ca="1" si="0"/>
        <v>29.</v>
      </c>
      <c r="C43" s="197">
        <f t="shared" ca="1" si="1"/>
        <v>29</v>
      </c>
      <c r="D43" s="628"/>
      <c r="E43" s="628"/>
      <c r="F43" s="198">
        <f ca="1">IF(AUTOEVENTO="Manual",ROUND(SUMPRODUCT((CÁLCULO!$M$15:$M$32=EVENTOS!$C43)*(OFFSET(CÁLCULO!$AA$15,0,1):OFFSET(CÁLCULO!$AL$32,0,-1))),2),0)</f>
        <v>0</v>
      </c>
    </row>
    <row r="44" spans="2:6" x14ac:dyDescent="0.25">
      <c r="B44" t="str">
        <f t="shared" ca="1" si="0"/>
        <v>30.</v>
      </c>
      <c r="C44" s="197">
        <f t="shared" ca="1" si="1"/>
        <v>30</v>
      </c>
      <c r="D44" s="628"/>
      <c r="E44" s="628"/>
      <c r="F44" s="198">
        <f ca="1">IF(AUTOEVENTO="Manual",ROUND(SUMPRODUCT((CÁLCULO!$M$15:$M$32=EVENTOS!$C44)*(OFFSET(CÁLCULO!$AA$15,0,1):OFFSET(CÁLCULO!$AL$32,0,-1))),2),0)</f>
        <v>0</v>
      </c>
    </row>
    <row r="45" spans="2:6" x14ac:dyDescent="0.25">
      <c r="B45" t="str">
        <f t="shared" ca="1" si="0"/>
        <v>31.</v>
      </c>
      <c r="C45" s="197">
        <f t="shared" ca="1" si="1"/>
        <v>31</v>
      </c>
      <c r="D45" s="628"/>
      <c r="E45" s="628"/>
      <c r="F45" s="198">
        <f ca="1">IF(AUTOEVENTO="Manual",ROUND(SUMPRODUCT((CÁLCULO!$M$15:$M$32=EVENTOS!$C45)*(OFFSET(CÁLCULO!$AA$15,0,1):OFFSET(CÁLCULO!$AL$32,0,-1))),2),0)</f>
        <v>0</v>
      </c>
    </row>
    <row r="46" spans="2:6" x14ac:dyDescent="0.25">
      <c r="B46" t="str">
        <f t="shared" ca="1" si="0"/>
        <v>32.</v>
      </c>
      <c r="C46" s="197">
        <f t="shared" ca="1" si="1"/>
        <v>32</v>
      </c>
      <c r="D46" s="628"/>
      <c r="E46" s="628"/>
      <c r="F46" s="198">
        <f ca="1">IF(AUTOEVENTO="Manual",ROUND(SUMPRODUCT((CÁLCULO!$M$15:$M$32=EVENTOS!$C46)*(OFFSET(CÁLCULO!$AA$15,0,1):OFFSET(CÁLCULO!$AL$32,0,-1))),2),0)</f>
        <v>0</v>
      </c>
    </row>
    <row r="47" spans="2:6" x14ac:dyDescent="0.25">
      <c r="B47" t="str">
        <f t="shared" ca="1" si="0"/>
        <v>33.</v>
      </c>
      <c r="C47" s="197">
        <f t="shared" ca="1" si="1"/>
        <v>33</v>
      </c>
      <c r="D47" s="628"/>
      <c r="E47" s="628"/>
      <c r="F47" s="198">
        <f ca="1">IF(AUTOEVENTO="Manual",ROUND(SUMPRODUCT((CÁLCULO!$M$15:$M$32=EVENTOS!$C47)*(OFFSET(CÁLCULO!$AA$15,0,1):OFFSET(CÁLCULO!$AL$32,0,-1))),2),0)</f>
        <v>0</v>
      </c>
    </row>
    <row r="48" spans="2:6" x14ac:dyDescent="0.25">
      <c r="B48" t="str">
        <f t="shared" ca="1" si="0"/>
        <v>34.</v>
      </c>
      <c r="C48" s="197">
        <f t="shared" ca="1" si="1"/>
        <v>34</v>
      </c>
      <c r="D48" s="628"/>
      <c r="E48" s="628"/>
      <c r="F48" s="198">
        <f ca="1">IF(AUTOEVENTO="Manual",ROUND(SUMPRODUCT((CÁLCULO!$M$15:$M$32=EVENTOS!$C48)*(OFFSET(CÁLCULO!$AA$15,0,1):OFFSET(CÁLCULO!$AL$32,0,-1))),2),0)</f>
        <v>0</v>
      </c>
    </row>
    <row r="49" spans="2:6" x14ac:dyDescent="0.25">
      <c r="B49" t="str">
        <f t="shared" ca="1" si="0"/>
        <v>35.</v>
      </c>
      <c r="C49" s="197">
        <f t="shared" ca="1" si="1"/>
        <v>35</v>
      </c>
      <c r="D49" s="628"/>
      <c r="E49" s="628"/>
      <c r="F49" s="198">
        <f ca="1">IF(AUTOEVENTO="Manual",ROUND(SUMPRODUCT((CÁLCULO!$M$15:$M$32=EVENTOS!$C49)*(OFFSET(CÁLCULO!$AA$15,0,1):OFFSET(CÁLCULO!$AL$32,0,-1))),2),0)</f>
        <v>0</v>
      </c>
    </row>
    <row r="50" spans="2:6" x14ac:dyDescent="0.25">
      <c r="B50" t="str">
        <f t="shared" ca="1" si="0"/>
        <v>36.</v>
      </c>
      <c r="C50" s="197">
        <f t="shared" ca="1" si="1"/>
        <v>36</v>
      </c>
      <c r="D50" s="628"/>
      <c r="E50" s="628"/>
      <c r="F50" s="198">
        <f ca="1">IF(AUTOEVENTO="Manual",ROUND(SUMPRODUCT((CÁLCULO!$M$15:$M$32=EVENTOS!$C50)*(OFFSET(CÁLCULO!$AA$15,0,1):OFFSET(CÁLCULO!$AL$32,0,-1))),2),0)</f>
        <v>0</v>
      </c>
    </row>
    <row r="51" spans="2:6" x14ac:dyDescent="0.25">
      <c r="B51" t="str">
        <f t="shared" ca="1" si="0"/>
        <v>37.</v>
      </c>
      <c r="C51" s="197">
        <f t="shared" ca="1" si="1"/>
        <v>37</v>
      </c>
      <c r="D51" s="628"/>
      <c r="E51" s="628"/>
      <c r="F51" s="198">
        <f ca="1">IF(AUTOEVENTO="Manual",ROUND(SUMPRODUCT((CÁLCULO!$M$15:$M$32=EVENTOS!$C51)*(OFFSET(CÁLCULO!$AA$15,0,1):OFFSET(CÁLCULO!$AL$32,0,-1))),2),0)</f>
        <v>0</v>
      </c>
    </row>
    <row r="52" spans="2:6" x14ac:dyDescent="0.25">
      <c r="B52" t="str">
        <f t="shared" ca="1" si="0"/>
        <v>38.</v>
      </c>
      <c r="C52" s="197">
        <f t="shared" ca="1" si="1"/>
        <v>38</v>
      </c>
      <c r="D52" s="628"/>
      <c r="E52" s="628"/>
      <c r="F52" s="198">
        <f ca="1">IF(AUTOEVENTO="Manual",ROUND(SUMPRODUCT((CÁLCULO!$M$15:$M$32=EVENTOS!$C52)*(OFFSET(CÁLCULO!$AA$15,0,1):OFFSET(CÁLCULO!$AL$32,0,-1))),2),0)</f>
        <v>0</v>
      </c>
    </row>
    <row r="53" spans="2:6" x14ac:dyDescent="0.25">
      <c r="B53" t="str">
        <f t="shared" ca="1" si="0"/>
        <v>39.</v>
      </c>
      <c r="C53" s="197">
        <f t="shared" ca="1" si="1"/>
        <v>39</v>
      </c>
      <c r="D53" s="628"/>
      <c r="E53" s="628"/>
      <c r="F53" s="198">
        <f ca="1">IF(AUTOEVENTO="Manual",ROUND(SUMPRODUCT((CÁLCULO!$M$15:$M$32=EVENTOS!$C53)*(OFFSET(CÁLCULO!$AA$15,0,1):OFFSET(CÁLCULO!$AL$32,0,-1))),2),0)</f>
        <v>0</v>
      </c>
    </row>
    <row r="54" spans="2:6" x14ac:dyDescent="0.25">
      <c r="B54" t="str">
        <f t="shared" ca="1" si="0"/>
        <v>40.</v>
      </c>
      <c r="C54" s="197">
        <f t="shared" ca="1" si="1"/>
        <v>40</v>
      </c>
      <c r="D54" s="628"/>
      <c r="E54" s="628"/>
      <c r="F54" s="198">
        <f ca="1">IF(AUTOEVENTO="Manual",ROUND(SUMPRODUCT((CÁLCULO!$M$15:$M$32=EVENTOS!$C54)*(OFFSET(CÁLCULO!$AA$15,0,1):OFFSET(CÁLCULO!$AL$32,0,-1))),2),0)</f>
        <v>0</v>
      </c>
    </row>
    <row r="55" spans="2:6" x14ac:dyDescent="0.25">
      <c r="B55" t="str">
        <f t="shared" ca="1" si="0"/>
        <v>41.</v>
      </c>
      <c r="C55" s="197">
        <f t="shared" ca="1" si="1"/>
        <v>41</v>
      </c>
      <c r="D55" s="628"/>
      <c r="E55" s="628"/>
      <c r="F55" s="198">
        <f ca="1">IF(AUTOEVENTO="Manual",ROUND(SUMPRODUCT((CÁLCULO!$M$15:$M$32=EVENTOS!$C55)*(OFFSET(CÁLCULO!$AA$15,0,1):OFFSET(CÁLCULO!$AL$32,0,-1))),2),0)</f>
        <v>0</v>
      </c>
    </row>
    <row r="56" spans="2:6" x14ac:dyDescent="0.25">
      <c r="B56" t="str">
        <f t="shared" ca="1" si="0"/>
        <v>42.</v>
      </c>
      <c r="C56" s="197">
        <f t="shared" ca="1" si="1"/>
        <v>42</v>
      </c>
      <c r="D56" s="628"/>
      <c r="E56" s="628"/>
      <c r="F56" s="198">
        <f ca="1">IF(AUTOEVENTO="Manual",ROUND(SUMPRODUCT((CÁLCULO!$M$15:$M$32=EVENTOS!$C56)*(OFFSET(CÁLCULO!$AA$15,0,1):OFFSET(CÁLCULO!$AL$32,0,-1))),2),0)</f>
        <v>0</v>
      </c>
    </row>
    <row r="57" spans="2:6" x14ac:dyDescent="0.25">
      <c r="B57" t="str">
        <f t="shared" ca="1" si="0"/>
        <v>43.</v>
      </c>
      <c r="C57" s="197">
        <f t="shared" ca="1" si="1"/>
        <v>43</v>
      </c>
      <c r="D57" s="628"/>
      <c r="E57" s="628"/>
      <c r="F57" s="198">
        <f ca="1">IF(AUTOEVENTO="Manual",ROUND(SUMPRODUCT((CÁLCULO!$M$15:$M$32=EVENTOS!$C57)*(OFFSET(CÁLCULO!$AA$15,0,1):OFFSET(CÁLCULO!$AL$32,0,-1))),2),0)</f>
        <v>0</v>
      </c>
    </row>
    <row r="58" spans="2:6" x14ac:dyDescent="0.25">
      <c r="B58" t="str">
        <f t="shared" ca="1" si="0"/>
        <v>44.</v>
      </c>
      <c r="C58" s="197">
        <f t="shared" ca="1" si="1"/>
        <v>44</v>
      </c>
      <c r="D58" s="628"/>
      <c r="E58" s="628"/>
      <c r="F58" s="198">
        <f ca="1">IF(AUTOEVENTO="Manual",ROUND(SUMPRODUCT((CÁLCULO!$M$15:$M$32=EVENTOS!$C58)*(OFFSET(CÁLCULO!$AA$15,0,1):OFFSET(CÁLCULO!$AL$32,0,-1))),2),0)</f>
        <v>0</v>
      </c>
    </row>
    <row r="59" spans="2:6" x14ac:dyDescent="0.25">
      <c r="B59" t="str">
        <f t="shared" ca="1" si="0"/>
        <v>45.</v>
      </c>
      <c r="C59" s="197">
        <f t="shared" ca="1" si="1"/>
        <v>45</v>
      </c>
      <c r="D59" s="628"/>
      <c r="E59" s="628"/>
      <c r="F59" s="198">
        <f ca="1">IF(AUTOEVENTO="Manual",ROUND(SUMPRODUCT((CÁLCULO!$M$15:$M$32=EVENTOS!$C59)*(OFFSET(CÁLCULO!$AA$15,0,1):OFFSET(CÁLCULO!$AL$32,0,-1))),2),0)</f>
        <v>0</v>
      </c>
    </row>
    <row r="60" spans="2:6" x14ac:dyDescent="0.25">
      <c r="B60" t="str">
        <f t="shared" ca="1" si="0"/>
        <v>46.</v>
      </c>
      <c r="C60" s="197">
        <f t="shared" ca="1" si="1"/>
        <v>46</v>
      </c>
      <c r="D60" s="628"/>
      <c r="E60" s="628"/>
      <c r="F60" s="198">
        <f ca="1">IF(AUTOEVENTO="Manual",ROUND(SUMPRODUCT((CÁLCULO!$M$15:$M$32=EVENTOS!$C60)*(OFFSET(CÁLCULO!$AA$15,0,1):OFFSET(CÁLCULO!$AL$32,0,-1))),2),0)</f>
        <v>0</v>
      </c>
    </row>
    <row r="61" spans="2:6" x14ac:dyDescent="0.25">
      <c r="B61" t="str">
        <f t="shared" ca="1" si="0"/>
        <v>47.</v>
      </c>
      <c r="C61" s="197">
        <f t="shared" ca="1" si="1"/>
        <v>47</v>
      </c>
      <c r="D61" s="628"/>
      <c r="E61" s="628"/>
      <c r="F61" s="198">
        <f ca="1">IF(AUTOEVENTO="Manual",ROUND(SUMPRODUCT((CÁLCULO!$M$15:$M$32=EVENTOS!$C61)*(OFFSET(CÁLCULO!$AA$15,0,1):OFFSET(CÁLCULO!$AL$32,0,-1))),2),0)</f>
        <v>0</v>
      </c>
    </row>
    <row r="62" spans="2:6" x14ac:dyDescent="0.25">
      <c r="B62" t="str">
        <f t="shared" ca="1" si="0"/>
        <v>48.</v>
      </c>
      <c r="C62" s="197">
        <f t="shared" ca="1" si="1"/>
        <v>48</v>
      </c>
      <c r="D62" s="628"/>
      <c r="E62" s="628"/>
      <c r="F62" s="198">
        <f ca="1">IF(AUTOEVENTO="Manual",ROUND(SUMPRODUCT((CÁLCULO!$M$15:$M$32=EVENTOS!$C62)*(OFFSET(CÁLCULO!$AA$15,0,1):OFFSET(CÁLCULO!$AL$32,0,-1))),2),0)</f>
        <v>0</v>
      </c>
    </row>
    <row r="63" spans="2:6" x14ac:dyDescent="0.25">
      <c r="B63" t="str">
        <f t="shared" ca="1" si="0"/>
        <v>49.</v>
      </c>
      <c r="C63" s="197">
        <f t="shared" ca="1" si="1"/>
        <v>49</v>
      </c>
      <c r="D63" s="628"/>
      <c r="E63" s="628"/>
      <c r="F63" s="198">
        <f ca="1">IF(AUTOEVENTO="Manual",ROUND(SUMPRODUCT((CÁLCULO!$M$15:$M$32=EVENTOS!$C63)*(OFFSET(CÁLCULO!$AA$15,0,1):OFFSET(CÁLCULO!$AL$32,0,-1))),2),0)</f>
        <v>0</v>
      </c>
    </row>
    <row r="64" spans="2:6" x14ac:dyDescent="0.25">
      <c r="B64" t="str">
        <f t="shared" ca="1" si="0"/>
        <v>50.</v>
      </c>
      <c r="C64" s="197">
        <f t="shared" ca="1" si="1"/>
        <v>50</v>
      </c>
      <c r="D64" s="628"/>
      <c r="E64" s="628"/>
      <c r="F64" s="198">
        <f ca="1">IF(AUTOEVENTO="Manual",ROUND(SUMPRODUCT((CÁLCULO!$M$15:$M$32=EVENTOS!$C64)*(OFFSET(CÁLCULO!$AA$15,0,1):OFFSET(CÁLCULO!$AL$32,0,-1))),2),0)</f>
        <v>0</v>
      </c>
    </row>
    <row r="65" spans="3:6" ht="5.0999999999999996" customHeight="1" x14ac:dyDescent="0.25">
      <c r="C65" s="190"/>
      <c r="D65" s="201"/>
      <c r="E65" s="201"/>
      <c r="F65" s="202"/>
    </row>
  </sheetData>
  <sheetProtection algorithmName="SHA-512" hashValue="ZgL7kARA2cJOGv+gJe6Z3EZ6JMUHTovamIojrPBuKEXng10SJVTzgW5TPK1KuMxzAcLzEC+yEIEfD7K9ZKWyDA==" saltValue="eaUCOfEWXc9dL0JA29s+EQ==" spinCount="100000" sheet="1" objects="1" scenarios="1" autoFilter="0"/>
  <mergeCells count="54">
    <mergeCell ref="D40:E40"/>
    <mergeCell ref="D61:E61"/>
    <mergeCell ref="D52:E52"/>
    <mergeCell ref="D53:E53"/>
    <mergeCell ref="D54:E54"/>
    <mergeCell ref="D55:E55"/>
    <mergeCell ref="D60:E60"/>
    <mergeCell ref="D41:E41"/>
    <mergeCell ref="D43:E43"/>
    <mergeCell ref="D34:E34"/>
    <mergeCell ref="D47:E47"/>
    <mergeCell ref="D42:E42"/>
    <mergeCell ref="D20:E20"/>
    <mergeCell ref="D23:E23"/>
    <mergeCell ref="D24:E24"/>
    <mergeCell ref="D25:E25"/>
    <mergeCell ref="D28:E28"/>
    <mergeCell ref="D29:E29"/>
    <mergeCell ref="D31:E31"/>
    <mergeCell ref="D32:E32"/>
    <mergeCell ref="D35:E35"/>
    <mergeCell ref="D36:E36"/>
    <mergeCell ref="D37:E37"/>
    <mergeCell ref="D38:E38"/>
    <mergeCell ref="D39:E39"/>
    <mergeCell ref="D26:E26"/>
    <mergeCell ref="D27:E27"/>
    <mergeCell ref="D30:E30"/>
    <mergeCell ref="D33:E33"/>
    <mergeCell ref="D21:E21"/>
    <mergeCell ref="D22:E22"/>
    <mergeCell ref="C6:F6"/>
    <mergeCell ref="C9:F11"/>
    <mergeCell ref="D13:E13"/>
    <mergeCell ref="D14:E14"/>
    <mergeCell ref="D19:E19"/>
    <mergeCell ref="D15:E15"/>
    <mergeCell ref="D16:E16"/>
    <mergeCell ref="D17:E17"/>
    <mergeCell ref="D18:E18"/>
    <mergeCell ref="D62:E62"/>
    <mergeCell ref="D63:E63"/>
    <mergeCell ref="D64:E64"/>
    <mergeCell ref="D44:E44"/>
    <mergeCell ref="D45:E45"/>
    <mergeCell ref="D46:E46"/>
    <mergeCell ref="D56:E56"/>
    <mergeCell ref="D57:E57"/>
    <mergeCell ref="D58:E58"/>
    <mergeCell ref="D59:E59"/>
    <mergeCell ref="D51:E51"/>
    <mergeCell ref="D49:E49"/>
    <mergeCell ref="D50:E50"/>
    <mergeCell ref="D48:E48"/>
  </mergeCells>
  <phoneticPr fontId="38" type="noConversion"/>
  <conditionalFormatting sqref="C13:F15 C65:F65">
    <cfRule type="expression" dxfId="199" priority="112" stopIfTrue="1">
      <formula>OR(AUTOEVENTO&lt;&gt;"Manual",ACOMPANHAMENTO="BM")</formula>
    </cfRule>
  </conditionalFormatting>
  <conditionalFormatting sqref="C16:F24">
    <cfRule type="expression" dxfId="198" priority="6" stopIfTrue="1">
      <formula>OR(AUTOEVENTO&lt;&gt;"Manual",ACOMPANHAMENTO="BM")</formula>
    </cfRule>
  </conditionalFormatting>
  <conditionalFormatting sqref="C25:F33">
    <cfRule type="expression" dxfId="197" priority="5" stopIfTrue="1">
      <formula>OR(AUTOEVENTO&lt;&gt;"Manual",ACOMPANHAMENTO="BM")</formula>
    </cfRule>
  </conditionalFormatting>
  <conditionalFormatting sqref="C34:F42">
    <cfRule type="expression" dxfId="196" priority="4" stopIfTrue="1">
      <formula>OR(AUTOEVENTO&lt;&gt;"Manual",ACOMPANHAMENTO="BM")</formula>
    </cfRule>
  </conditionalFormatting>
  <conditionalFormatting sqref="C43:F51">
    <cfRule type="expression" dxfId="195" priority="3" stopIfTrue="1">
      <formula>OR(AUTOEVENTO&lt;&gt;"Manual",ACOMPANHAMENTO="BM")</formula>
    </cfRule>
  </conditionalFormatting>
  <conditionalFormatting sqref="C52:F60">
    <cfRule type="expression" dxfId="194" priority="2" stopIfTrue="1">
      <formula>OR(AUTOEVENTO&lt;&gt;"Manual",ACOMPANHAMENTO="BM")</formula>
    </cfRule>
  </conditionalFormatting>
  <conditionalFormatting sqref="C61:F64">
    <cfRule type="expression" dxfId="193" priority="1" stopIfTrue="1">
      <formula>OR(AUTOEVENTO&lt;&gt;"Manual",ACOMPANHAMENTO="BM")</formula>
    </cfRule>
  </conditionalFormatting>
  <dataValidations count="1">
    <dataValidation type="list" allowBlank="1" showErrorMessage="1" sqref="C6" xr:uid="{00000000-0002-0000-0600-000000000000}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0" firstPageNumber="0" orientation="portrait" horizontalDpi="300" verticalDpi="300" r:id="rId1"/>
  <headerFooter alignWithMargins="0">
    <oddHeader>&amp;L_</oddHeader>
    <oddFooter>&amp;LPMv3.0.6&amp;R&amp;P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9" filterMode="1"/>
  <dimension ref="A1:AF180"/>
  <sheetViews>
    <sheetView showGridLines="0" tabSelected="1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/>
    </sheetView>
  </sheetViews>
  <sheetFormatPr defaultColWidth="9.109375" defaultRowHeight="13.2" x14ac:dyDescent="0.25"/>
  <cols>
    <col min="1" max="3" width="9.109375" style="203" hidden="1" customWidth="1"/>
    <col min="4" max="4" width="11" style="204" hidden="1" customWidth="1"/>
    <col min="5" max="5" width="19" style="203" hidden="1" customWidth="1"/>
    <col min="6" max="6" width="3.6640625" style="204" customWidth="1"/>
    <col min="7" max="7" width="12.6640625" style="203" customWidth="1"/>
    <col min="8" max="8" width="7.109375" style="204" customWidth="1"/>
    <col min="9" max="9" width="14.554687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4140625" style="205" customWidth="1"/>
    <col min="19" max="19" width="10.6640625" style="205" customWidth="1"/>
    <col min="20" max="31" width="11" style="204" customWidth="1"/>
    <col min="32" max="32" width="0.109375" style="204" customWidth="1"/>
    <col min="33" max="16384" width="9.109375" style="204"/>
  </cols>
  <sheetData>
    <row r="1" spans="1:32" hidden="1" x14ac:dyDescent="0.25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IF($E2=-1,0,IF(M$13&lt;=$L1,IF(ISERROR(MATCH(M$13,OFFSET($L1,1,0,ROW($L$164)-ROW($L1)-1),0)),ROW($L$164)-ROW($L1)-1,MATCH(M$13,OFFSET($L1,1,0,ROW($L$164)-ROW($L1)-1),0)-1),0))</f>
        <v>#REF!</v>
      </c>
      <c r="N1" s="211" t="e">
        <f ca="1">IF($E2=-1,0,IF(N$13&lt;=$L1,IF(ISERROR(MATCH(N$13,OFFSET($L1,1,0,ROW($L$164)-ROW($L1)-1),0)),ROW($L$164)-ROW($L1)-1,MATCH(N$13,OFFSET($L1,1,0,ROW($L$164)-ROW($L1)-1),0)-1),0))</f>
        <v>#REF!</v>
      </c>
      <c r="O1" s="211" t="e">
        <f ca="1">IF($E2=-1,0,IF(O$13&lt;=$L1,IF(ISERROR(MATCH(O$13,OFFSET($L1,1,0,ROW($L$164)-ROW($L1)-1),0)),ROW($L$164)-ROW($L1)-1,MATCH(O$13,OFFSET($L1,1,0,ROW($L$164)-ROW($L1)-1),0)-1),0))</f>
        <v>#REF!</v>
      </c>
      <c r="P1" s="211" t="e">
        <f ca="1">IF($E2=-1,0,IF(P$13&lt;=$L1,IF(ISERROR(MATCH(P$13,OFFSET($L1,1,0,ROW($L$164)-ROW($L1)-1),0)),ROW($L$164)-ROW($L1)-1,MATCH(P$13,OFFSET($L1,1,0,ROW($L$164)-ROW($L1)-1),0)-1),0))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270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5">
      <c r="D2" s="568"/>
      <c r="E2" s="203" t="e">
        <f ca="1">IF(ISERROR(E1),IF(1+COUNTIF($L$13:OFFSET(L1,-1,0),1)&lt;=MAX(QCI!$D$13:$D$24),1+COUNTIF($L$13:OFFSET(L1,-1,0),1),-1),0)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69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70"/>
      <c r="AF2" s="532"/>
    </row>
    <row r="3" spans="1:32" ht="0.15" hidden="1" customHeight="1" x14ac:dyDescent="0.25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$32,"="&amp;CRONO!D$12,CÁLCULO!$AB$15:$AL$32)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$32,"&lt;="&amp;CRONO!T$12,CÁLCULO!$AB$15:$AL$32)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$32,"="&amp;CRONO!U$12,CÁLCULO!$AB$15:$AL$32)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$32,"="&amp;CRONO!V$12,CÁLCULO!$AB$15:$AL$32)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$32,"="&amp;CRONO!W$12,CÁLCULO!$AB$15:$AL$32)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$32,"="&amp;CRONO!X$12,CÁLCULO!$AB$15:$AL$32)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$32,"="&amp;CRONO!Y$12,CÁLCULO!$AB$15:$AL$32)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$32,"="&amp;CRONO!Z$12,CÁLCULO!$AB$15:$AL$32)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$32,"="&amp;CRONO!AA$12,CÁLCULO!$AB$15:$AL$32)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$32,"="&amp;CRONO!AB$12,CÁLCULO!$AB$15:$AL$32)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$32,"="&amp;CRONO!AC$12,CÁLCULO!$AB$15:$AL$32)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$32,"="&amp;CRONO!AD$12,CÁLCULO!$AB$15:$AL$32)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$32,"="&amp;CRONO!AE$12,CÁLCULO!$AB$15:$AL$32)/(ORÇAMENTO!$X$15-CÁLCULO.TotalAdmLocal)*CRONO!$E3,0),AE2*$R1),SUMIF(OFFSET($R3,1,0,$Q1-2),($L1+1)&amp;"$",OFFSET(AE3,1,0,$Q1-2)))</f>
        <v>#REF!</v>
      </c>
    </row>
    <row r="4" spans="1:32" ht="15" customHeight="1" x14ac:dyDescent="0.3">
      <c r="R4" s="228" t="str">
        <f>IF(TIPOORCAMENTO="licitado","CRONOGRAMA FÍSICO-FINANCEIRO LICITADO","CRONOGRAMA FÍSICO-FINANCEIRO")</f>
        <v>CRONOGRAMA FÍSICO-FINANCEIRO</v>
      </c>
      <c r="AD4" s="605" t="s">
        <v>140</v>
      </c>
      <c r="AE4" s="605"/>
    </row>
    <row r="5" spans="1:32" ht="15" x14ac:dyDescent="0.25">
      <c r="R5" s="83" t="str">
        <f>import.recurso</f>
        <v>OGU</v>
      </c>
      <c r="AD5" s="606" t="s">
        <v>143</v>
      </c>
      <c r="AE5" s="606"/>
    </row>
    <row r="6" spans="1:32" ht="12.75" customHeight="1" x14ac:dyDescent="0.25"/>
    <row r="7" spans="1:32" ht="12.75" customHeight="1" x14ac:dyDescent="0.25">
      <c r="E7" s="229"/>
      <c r="G7" s="640" t="s">
        <v>271</v>
      </c>
      <c r="H7" s="230" t="s">
        <v>146</v>
      </c>
      <c r="I7" s="231"/>
      <c r="J7" s="232" t="s">
        <v>446</v>
      </c>
      <c r="K7" s="233" t="s">
        <v>272</v>
      </c>
      <c r="L7" s="204"/>
      <c r="M7" s="204"/>
      <c r="N7" s="204"/>
      <c r="S7" s="234"/>
      <c r="T7" s="230" t="s">
        <v>273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ht="13.8" x14ac:dyDescent="0.3">
      <c r="D8" s="203"/>
      <c r="E8" s="115"/>
      <c r="F8" s="594" t="s">
        <v>209</v>
      </c>
      <c r="G8" s="640"/>
      <c r="H8" s="638">
        <f>Import.CR</f>
        <v>0</v>
      </c>
      <c r="I8" s="638"/>
      <c r="J8" s="236">
        <f>Import.TransfereGOV</f>
        <v>0</v>
      </c>
      <c r="K8" s="637" t="str">
        <f>Import.Proponente</f>
        <v>PREFEITURA MUNICIPAL DE BOM JARDIM DE MINAS</v>
      </c>
      <c r="L8" s="637"/>
      <c r="M8" s="637"/>
      <c r="N8" s="637"/>
      <c r="O8" s="637"/>
      <c r="P8" s="637"/>
      <c r="Q8" s="637"/>
      <c r="R8" s="637"/>
      <c r="S8" s="637"/>
      <c r="T8" s="638" t="str">
        <f>Import.Apelido</f>
        <v>REFORMA - COLÉGIO TABOÃO</v>
      </c>
      <c r="U8" s="638"/>
      <c r="V8" s="638"/>
      <c r="W8" s="638"/>
      <c r="X8" s="638"/>
      <c r="Y8" s="634">
        <f>IF(TIPOORCAMENTO="Licitado",Import.empresa,Import.DescLote)</f>
        <v>0</v>
      </c>
      <c r="Z8" s="634"/>
      <c r="AA8" s="634"/>
      <c r="AB8" s="634"/>
      <c r="AC8" s="634"/>
      <c r="AD8" s="634"/>
      <c r="AE8" s="223" t="str">
        <f>IF(TIPOORCAMENTO="Licitado",Import.CTEF,"")</f>
        <v/>
      </c>
    </row>
    <row r="9" spans="1:32" ht="13.8" x14ac:dyDescent="0.3">
      <c r="E9" s="115"/>
      <c r="F9" s="594"/>
      <c r="G9" s="640"/>
    </row>
    <row r="10" spans="1:32" x14ac:dyDescent="0.25">
      <c r="E10" s="229"/>
      <c r="F10" s="594"/>
      <c r="G10" s="237">
        <v>2</v>
      </c>
      <c r="J10" s="639" t="str">
        <f ca="1">IF(MAX($A$13:$A$164)&lt;CRONO.LinhasNecessarias,"ERRO: NÚMERO DE LINHAS DO CRONOGRAMA INSUFICIENTE. CLIQUE EM ATUALIZAR LINHAS.",IF(AND(ACOMPANHAMENTO="PLE",ROUND(OFFSET($AF$174,0,-1),2)=0),"CRONOGRAMA DEVE SER PREENCHIDO POR EVENTOS",IF(ROUND(OFFSET($AF$174,0,-1),2)&lt;&gt;$Q$165,"ERRO: CRONOGRAMA NÃO FECHA 100%","")))</f>
        <v/>
      </c>
      <c r="K10" s="639"/>
      <c r="L10" s="639"/>
      <c r="M10" s="639"/>
      <c r="N10" s="639"/>
      <c r="O10" s="639"/>
      <c r="P10" s="639"/>
      <c r="Q10" s="639"/>
      <c r="R10" s="639"/>
      <c r="S10" s="639"/>
    </row>
    <row r="11" spans="1:32" ht="12.75" customHeight="1" x14ac:dyDescent="0.25">
      <c r="F11" s="594"/>
      <c r="H11" s="238"/>
      <c r="I11" s="238"/>
      <c r="J11" s="639"/>
      <c r="K11" s="639"/>
      <c r="L11" s="639"/>
      <c r="M11" s="639"/>
      <c r="N11" s="639"/>
      <c r="O11" s="639"/>
      <c r="P11" s="639"/>
      <c r="Q11" s="639"/>
      <c r="R11" s="639"/>
      <c r="S11" s="639"/>
    </row>
    <row r="12" spans="1:32" ht="12.75" customHeight="1" x14ac:dyDescent="0.25">
      <c r="D12" s="239">
        <f ca="1">OFFSET(D12,0,-1)+1</f>
        <v>1</v>
      </c>
      <c r="F12" s="107" t="s">
        <v>217</v>
      </c>
      <c r="G12" s="642" t="s">
        <v>274</v>
      </c>
      <c r="H12" s="643" t="s">
        <v>231</v>
      </c>
      <c r="I12" s="644" t="s">
        <v>234</v>
      </c>
      <c r="J12" s="240"/>
      <c r="K12" s="240"/>
      <c r="L12" s="241"/>
      <c r="M12" s="241"/>
      <c r="N12" s="241"/>
      <c r="O12" s="241"/>
      <c r="P12" s="241"/>
      <c r="Q12" s="241"/>
      <c r="R12" s="635" t="s">
        <v>275</v>
      </c>
      <c r="S12" s="636" t="s">
        <v>276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" customHeight="1" x14ac:dyDescent="0.25">
      <c r="A13" s="244" t="s">
        <v>277</v>
      </c>
      <c r="B13" s="244" t="s">
        <v>169</v>
      </c>
      <c r="C13" s="244" t="s">
        <v>278</v>
      </c>
      <c r="D13" s="245" t="e">
        <f ca="1">OFFSET(D13,0,-1)+41-DAY(OFFSET(D13,0,-1)+40)</f>
        <v>#VALUE!</v>
      </c>
      <c r="E13" s="244" t="s">
        <v>279</v>
      </c>
      <c r="G13" s="642"/>
      <c r="H13" s="643"/>
      <c r="I13" s="644"/>
      <c r="J13" s="246"/>
      <c r="K13" s="246"/>
      <c r="L13" s="247" t="s">
        <v>229</v>
      </c>
      <c r="M13" s="247">
        <v>1</v>
      </c>
      <c r="N13" s="247">
        <v>2</v>
      </c>
      <c r="O13" s="247">
        <v>3</v>
      </c>
      <c r="P13" s="247">
        <v>4</v>
      </c>
      <c r="Q13" s="248" t="s">
        <v>280</v>
      </c>
      <c r="R13" s="635"/>
      <c r="S13" s="636"/>
      <c r="T13" s="249">
        <v>45200</v>
      </c>
      <c r="U13" s="245">
        <f ca="1">OFFSET(U13,0,-1)+41-DAY(OFFSET(U13,0,-1)+40)</f>
        <v>45231</v>
      </c>
      <c r="V13" s="245">
        <f ca="1">OFFSET(V13,0,-1)+41-DAY(OFFSET(V13,0,-1)+40)</f>
        <v>45261</v>
      </c>
      <c r="W13" s="245">
        <f t="shared" ref="W13:AE13" ca="1" si="2">OFFSET(W13,0,-1)+41-DAY(OFFSET(W13,0,-1)+40)</f>
        <v>45292</v>
      </c>
      <c r="X13" s="245">
        <f t="shared" ca="1" si="2"/>
        <v>45323</v>
      </c>
      <c r="Y13" s="245">
        <f t="shared" ca="1" si="2"/>
        <v>45352</v>
      </c>
      <c r="Z13" s="245">
        <f t="shared" ca="1" si="2"/>
        <v>45383</v>
      </c>
      <c r="AA13" s="245">
        <f t="shared" ca="1" si="2"/>
        <v>45413</v>
      </c>
      <c r="AB13" s="245">
        <f t="shared" ca="1" si="2"/>
        <v>45444</v>
      </c>
      <c r="AC13" s="245">
        <f t="shared" ca="1" si="2"/>
        <v>45474</v>
      </c>
      <c r="AD13" s="245">
        <f t="shared" ca="1" si="2"/>
        <v>45505</v>
      </c>
      <c r="AE13" s="250">
        <f t="shared" ca="1" si="2"/>
        <v>45536</v>
      </c>
    </row>
    <row r="14" spans="1:32" x14ac:dyDescent="0.25">
      <c r="A14" s="203">
        <f t="shared" ref="A14" ca="1" si="3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>
        <f ca="1">IF(AND($Q14=2,ACOMPANHAMENTO="BM"),D15,D16/$R14)</f>
        <v>0.50451014576322606</v>
      </c>
      <c r="E14" s="203">
        <f ca="1">IF(A14&lt;=ORÇAMENTO.MáximoListaCrono,MATCH(A14,ORÇAMENTO.ListaCrono,0),NA())</f>
        <v>1</v>
      </c>
      <c r="F14" s="203" t="str">
        <f t="shared" ref="F14" ca="1" si="4">IF(AND($E15&lt;&gt;-1,$R14&gt;0),"F","")</f>
        <v>F</v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REFORMA - COLÉGIO TABOÃO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IF($E15=-1,0,IF(M$13&lt;=$L14,IF(ISERROR(MATCH(M$13,OFFSET($L14,1,0,ROW($L$164)-ROW($L14)-1),0)),ROW($L$164)-ROW($L14)-1,MATCH(M$13,OFFSET($L14,1,0,ROW($L$164)-ROW($L14)-1),0)-1),0))</f>
        <v>11</v>
      </c>
      <c r="N14" s="211">
        <f ca="1">IF($E15=-1,0,IF(N$13&lt;=$L14,IF(ISERROR(MATCH(N$13,OFFSET($L14,1,0,ROW($L$164)-ROW($L14)-1),0)),ROW($L$164)-ROW($L14)-1,MATCH(N$13,OFFSET($L14,1,0,ROW($L$164)-ROW($L14)-1),0)-1),0))</f>
        <v>0</v>
      </c>
      <c r="O14" s="211">
        <f ca="1">IF($E15=-1,0,IF(O$13&lt;=$L14,IF(ISERROR(MATCH(O$13,OFFSET($L14,1,0,ROW($L$164)-ROW($L14)-1),0)),ROW($L$164)-ROW($L14)-1,MATCH(O$13,OFFSET($L14,1,0,ROW($L$164)-ROW($L14)-1),0)-1),0))</f>
        <v>0</v>
      </c>
      <c r="P14" s="211">
        <f ca="1">IF($E15=-1,0,IF(P$13&lt;=$L14,IF(ISERROR(MATCH(P$13,OFFSET($L14,1,0,ROW($L$164)-ROW($L14)-1),0)),ROW($L$164)-ROW($L14)-1,MATCH(P$13,OFFSET($L14,1,0,ROW($L$164)-ROW($L14)-1),0)-1),0))</f>
        <v>0</v>
      </c>
      <c r="Q14" s="211">
        <f t="shared" ref="Q14" ca="1" si="5">MIN(OFFSET(L14,0,1,,L14))</f>
        <v>11</v>
      </c>
      <c r="R14" s="212">
        <f ca="1">IF($E15=0,OFFSET(ORÇAMENTO!X$15,$E14,0),IF($E15&lt;&gt;-1,OFFSET(QCI!$O$13,$E15,0),""))</f>
        <v>99891.45</v>
      </c>
      <c r="S14" s="213" t="s">
        <v>270</v>
      </c>
      <c r="T14" s="214">
        <f t="shared" ref="T14:AE14" ca="1" si="6">IF(AND($Q14=2,ACOMPANHAMENTO="BM"),T15,T16/$R14)</f>
        <v>0.50451014576322606</v>
      </c>
      <c r="U14" s="206">
        <f t="shared" ca="1" si="6"/>
        <v>0.495489854236774</v>
      </c>
      <c r="V14" s="206">
        <f t="shared" ca="1" si="6"/>
        <v>0</v>
      </c>
      <c r="W14" s="206">
        <f t="shared" ca="1" si="6"/>
        <v>0</v>
      </c>
      <c r="X14" s="206">
        <f t="shared" ca="1" si="6"/>
        <v>0</v>
      </c>
      <c r="Y14" s="206">
        <f t="shared" ca="1" si="6"/>
        <v>0</v>
      </c>
      <c r="Z14" s="206">
        <f t="shared" ca="1" si="6"/>
        <v>0</v>
      </c>
      <c r="AA14" s="206">
        <f t="shared" ca="1" si="6"/>
        <v>0</v>
      </c>
      <c r="AB14" s="206">
        <f t="shared" ca="1" si="6"/>
        <v>0</v>
      </c>
      <c r="AC14" s="206">
        <f t="shared" ca="1" si="6"/>
        <v>0</v>
      </c>
      <c r="AD14" s="206">
        <f t="shared" ca="1" si="6"/>
        <v>0</v>
      </c>
      <c r="AE14" s="215">
        <f t="shared" ca="1" si="6"/>
        <v>0</v>
      </c>
    </row>
    <row r="15" spans="1:32" ht="12.75" customHeight="1" x14ac:dyDescent="0.25">
      <c r="D15" s="568"/>
      <c r="E15" s="203">
        <f ca="1">IF(ISERROR(E14),IF(1+COUNTIF($L$13:OFFSET(L14,-1,0),1)&lt;=MAX(QCI!$D$13:$D$24),1+COUNTIF($L$13:OFFSET(L14,-1,0),1),-1),0)</f>
        <v>0</v>
      </c>
      <c r="F15" s="203" t="str">
        <f t="shared" ref="F15" ca="1" si="7">IF(AND($E15&lt;&gt;-1,$R14&gt;0),"F","")</f>
        <v>F</v>
      </c>
      <c r="G15" s="216" t="str">
        <f ca="1">IF(OR(R14=0,R14=""),"vazia",IF(AND(OR(ACOMPANHAMENTO="PLE",$Q14&lt;&gt;2),$E15=0),"calculada","--&gt;"))</f>
        <v>calculada</v>
      </c>
      <c r="H15" s="217"/>
      <c r="I15" s="218" t="str">
        <f t="shared" ref="I15" ca="1" si="8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69"/>
      <c r="U15" s="568"/>
      <c r="V15" s="568"/>
      <c r="W15" s="568"/>
      <c r="X15" s="568"/>
      <c r="Y15" s="568"/>
      <c r="Z15" s="568"/>
      <c r="AA15" s="568"/>
      <c r="AB15" s="568"/>
      <c r="AC15" s="568"/>
      <c r="AD15" s="568"/>
      <c r="AE15" s="570"/>
      <c r="AF15" s="532"/>
    </row>
    <row r="16" spans="1:32" ht="0.15" hidden="1" customHeight="1" x14ac:dyDescent="0.25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$32,"="&amp;CRONO!D$12,CÁLCULO!$AB$15:$AL$32)/(ORÇAMENTO!$X$15-CÁLCULO.TotalAdmLocal)*CRONO!$E16,0),D15*$R14),SUMIF(OFFSET($R16,1,0,$Q14-2),($L14+1)&amp;"$",OFFSET(D16,1,0,$Q14-2)))</f>
        <v>50396.250000000007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t="shared" ref="R16" ca="1" si="9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$32,"&lt;="&amp;CRONO!T$12,CÁLCULO!$AB$15:$AL$32)/(ORÇAMENTO!$X$15-CÁLCULO.TotalAdmLocal)*CRONO!$E16,0),T15*$R14),SUMIF(OFFSET($R16,1,0,$Q14-2),($L14+1)&amp;"$",OFFSET(T16,1,0,$Q14-2)))</f>
        <v>50396.250000000007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$32,"="&amp;CRONO!U$12,CÁLCULO!$AB$15:$AL$32)/(ORÇAMENTO!$X$15-CÁLCULO.TotalAdmLocal)*CRONO!$E16,0),U15*$R14),SUMIF(OFFSET($R16,1,0,$Q14-2),($L14+1)&amp;"$",OFFSET(U16,1,0,$Q14-2)))</f>
        <v>49495.199999999997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$32,"="&amp;CRONO!V$12,CÁLCULO!$AB$15:$AL$32)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$32,"="&amp;CRONO!W$12,CÁLCULO!$AB$15:$AL$32)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$32,"="&amp;CRONO!X$12,CÁLCULO!$AB$15:$AL$32)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$32,"="&amp;CRONO!Y$12,CÁLCULO!$AB$15:$AL$32)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$32,"="&amp;CRONO!Z$12,CÁLCULO!$AB$15:$AL$32)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$32,"="&amp;CRONO!AA$12,CÁLCULO!$AB$15:$AL$32)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$32,"="&amp;CRONO!AB$12,CÁLCULO!$AB$15:$AL$32)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$32,"="&amp;CRONO!AC$12,CÁLCULO!$AB$15:$AL$32)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$32,"="&amp;CRONO!AD$12,CÁLCULO!$AB$15:$AL$32)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$32,"="&amp;CRONO!AE$12,CÁLCULO!$AB$15:$AL$32)/(ORÇAMENTO!$X$15-CÁLCULO.TotalAdmLocal)*CRONO!$E16,0),AE15*$R14),SUMIF(OFFSET($R16,1,0,$Q14-2),($L14+1)&amp;"$",OFFSET(AE16,1,0,$Q14-2)))</f>
        <v>0</v>
      </c>
    </row>
    <row r="17" spans="1:32" x14ac:dyDescent="0.25">
      <c r="A17" s="203">
        <f t="shared" ref="A17" ca="1" si="10">OFFSET(A17,-3,0)+1</f>
        <v>2</v>
      </c>
      <c r="B17" s="203">
        <f ca="1">IF($Q17&lt;&gt;2,0,IF($R17=0,1,IF(E18&gt;0,OFFSET(QCI!$M$13,SUBSTITUTE(E18,".",""),0),OFFSET(ORÇAMENTO!$AA$15,CRONO!$E17,0))/$R17))</f>
        <v>4.4244026891189572E-3</v>
      </c>
      <c r="C17" s="203">
        <f ca="1">IF($Q17&lt;&gt;2,0,IF($R17=0,1,IF(E18&gt;0,OFFSET(QCI!$N$13,SUBSTITUTE(E18,".",""),0),OFFSET(ORÇAMENTO!$AB$15,CRONO!$E17,0))/$R17))</f>
        <v>0</v>
      </c>
      <c r="D17" s="206">
        <f ca="1">IF(AND($Q17=2,ACOMPANHAMENTO="BM"),D18,D19/$R17)</f>
        <v>1</v>
      </c>
      <c r="E17" s="203">
        <f ca="1">IF(A17&lt;=ORÇAMENTO.MáximoListaCrono,MATCH(A17,ORÇAMENTO.ListaCrono,0),NA())</f>
        <v>2</v>
      </c>
      <c r="F17" s="203" t="str">
        <f t="shared" ref="F17" ca="1" si="11">IF(AND($E18&lt;&gt;-1,$R17&gt;0),"F","")</f>
        <v>F</v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(SERVIÇOS PRELIMINARES)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IF($E18=-1,0,IF(M$13&lt;=$L17,IF(ISERROR(MATCH(M$13,OFFSET($L17,1,0,ROW($L$164)-ROW($L17)-1),0)),ROW($L$164)-ROW($L17)-1,MATCH(M$13,OFFSET($L17,1,0,ROW($L$164)-ROW($L17)-1),0)-1),0))</f>
        <v>8</v>
      </c>
      <c r="N17" s="211">
        <f ca="1">IF($E18=-1,0,IF(N$13&lt;=$L17,IF(ISERROR(MATCH(N$13,OFFSET($L17,1,0,ROW($L$164)-ROW($L17)-1),0)),ROW($L$164)-ROW($L17)-1,MATCH(N$13,OFFSET($L17,1,0,ROW($L$164)-ROW($L17)-1),0)-1),0))</f>
        <v>2</v>
      </c>
      <c r="O17" s="211">
        <f ca="1">IF($E18=-1,0,IF(O$13&lt;=$L17,IF(ISERROR(MATCH(O$13,OFFSET($L17,1,0,ROW($L$164)-ROW($L17)-1),0)),ROW($L$164)-ROW($L17)-1,MATCH(O$13,OFFSET($L17,1,0,ROW($L$164)-ROW($L17)-1),0)-1),0))</f>
        <v>0</v>
      </c>
      <c r="P17" s="211">
        <f ca="1">IF($E18=-1,0,IF(P$13&lt;=$L17,IF(ISERROR(MATCH(P$13,OFFSET($L17,1,0,ROW($L$164)-ROW($L17)-1),0)),ROW($L$164)-ROW($L17)-1,MATCH(P$13,OFFSET($L17,1,0,ROW($L$164)-ROW($L17)-1),0)-1),0))</f>
        <v>0</v>
      </c>
      <c r="Q17" s="211">
        <f t="shared" ref="Q17" ca="1" si="12">MIN(OFFSET(L17,0,1,,L17))</f>
        <v>2</v>
      </c>
      <c r="R17" s="212">
        <f ca="1">IF($E18=0,OFFSET(ORÇAMENTO!X$15,$E17,0),IF($E18&lt;&gt;-1,OFFSET(QCI!$O$13,$E18,0),""))</f>
        <v>1725.75</v>
      </c>
      <c r="S17" s="213" t="s">
        <v>270</v>
      </c>
      <c r="T17" s="214">
        <f t="shared" ref="T17:AE17" ca="1" si="13">IF(AND($Q17=2,ACOMPANHAMENTO="BM"),T18,T19/$R17)</f>
        <v>1</v>
      </c>
      <c r="U17" s="206">
        <f t="shared" ca="1" si="13"/>
        <v>0</v>
      </c>
      <c r="V17" s="206">
        <f t="shared" ca="1" si="13"/>
        <v>0</v>
      </c>
      <c r="W17" s="206">
        <f t="shared" ca="1" si="13"/>
        <v>0</v>
      </c>
      <c r="X17" s="206">
        <f t="shared" ca="1" si="13"/>
        <v>0</v>
      </c>
      <c r="Y17" s="206">
        <f t="shared" ca="1" si="13"/>
        <v>0</v>
      </c>
      <c r="Z17" s="206">
        <f t="shared" ca="1" si="13"/>
        <v>0</v>
      </c>
      <c r="AA17" s="206">
        <f t="shared" ca="1" si="13"/>
        <v>0</v>
      </c>
      <c r="AB17" s="206">
        <f t="shared" ca="1" si="13"/>
        <v>0</v>
      </c>
      <c r="AC17" s="206">
        <f t="shared" ca="1" si="13"/>
        <v>0</v>
      </c>
      <c r="AD17" s="206">
        <f t="shared" ca="1" si="13"/>
        <v>0</v>
      </c>
      <c r="AE17" s="215">
        <f t="shared" ca="1" si="13"/>
        <v>0</v>
      </c>
    </row>
    <row r="18" spans="1:32" ht="12.75" customHeight="1" x14ac:dyDescent="0.25">
      <c r="D18" s="568"/>
      <c r="E18" s="203">
        <f ca="1">IF(ISERROR(E17),IF(1+COUNTIF($L$13:OFFSET(L17,-1,0),1)&lt;=MAX(QCI!$D$13:$D$24),1+COUNTIF($L$13:OFFSET(L17,-1,0),1),-1),0)</f>
        <v>0</v>
      </c>
      <c r="F18" s="203" t="str">
        <f t="shared" ref="F18" ca="1" si="14">IF(AND($E18&lt;&gt;-1,$R17&gt;0),"F","")</f>
        <v>F</v>
      </c>
      <c r="G18" s="216" t="str">
        <f ca="1">IF(OR(R17=0,R17=""),"vazia",IF(AND(OR(ACOMPANHAMENTO="PLE",$Q17&lt;&gt;2),$E18=0),"calculada","--&gt;"))</f>
        <v>calculada</v>
      </c>
      <c r="H18" s="217"/>
      <c r="I18" s="218" t="str">
        <f t="shared" ref="I18" ca="1" si="15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69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70"/>
      <c r="AF18" s="532"/>
    </row>
    <row r="19" spans="1:32" ht="0.15" hidden="1" customHeight="1" x14ac:dyDescent="0.25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$32,"="&amp;CRONO!D$12,CÁLCULO!$AB$15:$AL$32)/(ORÇAMENTO!$X$15-CÁLCULO.TotalAdmLocal)*CRONO!$E19,0),D18*$R17),SUMIF(OFFSET($R19,1,0,$Q17-2),($L17+1)&amp;"$",OFFSET(D19,1,0,$Q17-2)))</f>
        <v>1725.75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t="shared" ref="R19" ca="1" si="16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$32,"&lt;="&amp;CRONO!T$12,CÁLCULO!$AB$15:$AL$32)/(ORÇAMENTO!$X$15-CÁLCULO.TotalAdmLocal)*CRONO!$E19,0),T18*$R17),SUMIF(OFFSET($R19,1,0,$Q17-2),($L17+1)&amp;"$",OFFSET(T19,1,0,$Q17-2)))</f>
        <v>1725.75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$32,"="&amp;CRONO!U$12,CÁLCULO!$AB$15:$AL$32)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$32,"="&amp;CRONO!V$12,CÁLCULO!$AB$15:$AL$32)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$32,"="&amp;CRONO!W$12,CÁLCULO!$AB$15:$AL$32)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$32,"="&amp;CRONO!X$12,CÁLCULO!$AB$15:$AL$32)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$32,"="&amp;CRONO!Y$12,CÁLCULO!$AB$15:$AL$32)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$32,"="&amp;CRONO!Z$12,CÁLCULO!$AB$15:$AL$32)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$32,"="&amp;CRONO!AA$12,CÁLCULO!$AB$15:$AL$32)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$32,"="&amp;CRONO!AB$12,CÁLCULO!$AB$15:$AL$32)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$32,"="&amp;CRONO!AC$12,CÁLCULO!$AB$15:$AL$32)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$32,"="&amp;CRONO!AD$12,CÁLCULO!$AB$15:$AL$32)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$32,"="&amp;CRONO!AE$12,CÁLCULO!$AB$15:$AL$32)/(ORÇAMENTO!$X$15-CÁLCULO.TotalAdmLocal)*CRONO!$E19,0),AE18*$R17),SUMIF(OFFSET($R19,1,0,$Q17-2),($L17+1)&amp;"$",OFFSET(AE19,1,0,$Q17-2)))</f>
        <v>0</v>
      </c>
    </row>
    <row r="20" spans="1:32" x14ac:dyDescent="0.25">
      <c r="A20" s="203">
        <f t="shared" ref="A20" ca="1" si="17">OFFSET(A20,-3,0)+1</f>
        <v>3</v>
      </c>
      <c r="B20" s="203">
        <f ca="1">IF($Q20&lt;&gt;2,0,IF($R20=0,1,IF(E21&gt;0,OFFSET(QCI!$M$13,SUBSTITUTE(E21,".",""),0),OFFSET(ORÇAMENTO!$AA$15,CRONO!$E20,0))/$R20))</f>
        <v>4.4244026891189572E-3</v>
      </c>
      <c r="C20" s="203">
        <f ca="1">IF($Q20&lt;&gt;2,0,IF($R20=0,1,IF(E21&gt;0,OFFSET(QCI!$N$13,SUBSTITUTE(E21,".",""),0),OFFSET(ORÇAMENTO!$AB$15,CRONO!$E20,0))/$R20))</f>
        <v>0</v>
      </c>
      <c r="D20" s="206">
        <f ca="1">IF(AND($Q20=2,ACOMPANHAMENTO="BM"),D21,D22/$R20)</f>
        <v>1.0000000000000002</v>
      </c>
      <c r="E20" s="203">
        <f ca="1">IF(A20&lt;=ORÇAMENTO.MáximoListaCrono,MATCH(A20,ORÇAMENTO.ListaCrono,0),NA())</f>
        <v>4</v>
      </c>
      <c r="F20" s="203" t="str">
        <f t="shared" ref="F20" ca="1" si="18">IF(AND($E21&lt;&gt;-1,$R20&gt;0),"F","")</f>
        <v>F</v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EMBOÇO, FORRO, LOUÇAS E PORTAS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IF($E21=-1,0,IF(M$13&lt;=$L20,IF(ISERROR(MATCH(M$13,OFFSET($L20,1,0,ROW($L$164)-ROW($L20)-1),0)),ROW($L$164)-ROW($L20)-1,MATCH(M$13,OFFSET($L20,1,0,ROW($L$164)-ROW($L20)-1),0)-1),0))</f>
        <v>5</v>
      </c>
      <c r="N20" s="211">
        <f ca="1">IF($E21=-1,0,IF(N$13&lt;=$L20,IF(ISERROR(MATCH(N$13,OFFSET($L20,1,0,ROW($L$164)-ROW($L20)-1),0)),ROW($L$164)-ROW($L20)-1,MATCH(N$13,OFFSET($L20,1,0,ROW($L$164)-ROW($L20)-1),0)-1),0))</f>
        <v>2</v>
      </c>
      <c r="O20" s="211">
        <f ca="1">IF($E21=-1,0,IF(O$13&lt;=$L20,IF(ISERROR(MATCH(O$13,OFFSET($L20,1,0,ROW($L$164)-ROW($L20)-1),0)),ROW($L$164)-ROW($L20)-1,MATCH(O$13,OFFSET($L20,1,0,ROW($L$164)-ROW($L20)-1),0)-1),0))</f>
        <v>0</v>
      </c>
      <c r="P20" s="211">
        <f ca="1">IF($E21=-1,0,IF(P$13&lt;=$L20,IF(ISERROR(MATCH(P$13,OFFSET($L20,1,0,ROW($L$164)-ROW($L20)-1),0)),ROW($L$164)-ROW($L20)-1,MATCH(P$13,OFFSET($L20,1,0,ROW($L$164)-ROW($L20)-1),0)-1),0))</f>
        <v>0</v>
      </c>
      <c r="Q20" s="211">
        <f t="shared" ref="Q20" ca="1" si="19">MIN(OFFSET(L20,0,1,,L20))</f>
        <v>2</v>
      </c>
      <c r="R20" s="212">
        <f ca="1">IF($E21=0,OFFSET(ORÇAMENTO!X$15,$E20,0),IF($E21&lt;&gt;-1,OFFSET(QCI!$O$13,$E21,0),""))</f>
        <v>48670.5</v>
      </c>
      <c r="S20" s="213" t="s">
        <v>270</v>
      </c>
      <c r="T20" s="214">
        <f t="shared" ref="T20:AE20" ca="1" si="20">IF(AND($Q20=2,ACOMPANHAMENTO="BM"),T21,T22/$R20)</f>
        <v>1.0000000000000002</v>
      </c>
      <c r="U20" s="206">
        <f t="shared" ca="1" si="20"/>
        <v>0</v>
      </c>
      <c r="V20" s="206">
        <f t="shared" ca="1" si="20"/>
        <v>0</v>
      </c>
      <c r="W20" s="206">
        <f t="shared" ca="1" si="20"/>
        <v>0</v>
      </c>
      <c r="X20" s="206">
        <f t="shared" ca="1" si="20"/>
        <v>0</v>
      </c>
      <c r="Y20" s="206">
        <f t="shared" ca="1" si="20"/>
        <v>0</v>
      </c>
      <c r="Z20" s="206">
        <f t="shared" ca="1" si="20"/>
        <v>0</v>
      </c>
      <c r="AA20" s="206">
        <f t="shared" ca="1" si="20"/>
        <v>0</v>
      </c>
      <c r="AB20" s="206">
        <f t="shared" ca="1" si="20"/>
        <v>0</v>
      </c>
      <c r="AC20" s="206">
        <f t="shared" ca="1" si="20"/>
        <v>0</v>
      </c>
      <c r="AD20" s="206">
        <f t="shared" ca="1" si="20"/>
        <v>0</v>
      </c>
      <c r="AE20" s="215">
        <f t="shared" ca="1" si="20"/>
        <v>0</v>
      </c>
    </row>
    <row r="21" spans="1:32" ht="12.75" customHeight="1" x14ac:dyDescent="0.25">
      <c r="D21" s="568"/>
      <c r="E21" s="203">
        <f ca="1">IF(ISERROR(E20),IF(1+COUNTIF($L$13:OFFSET(L20,-1,0),1)&lt;=MAX(QCI!$D$13:$D$24),1+COUNTIF($L$13:OFFSET(L20,-1,0),1),-1),0)</f>
        <v>0</v>
      </c>
      <c r="F21" s="203" t="str">
        <f t="shared" ref="F21" ca="1" si="21">IF(AND($E21&lt;&gt;-1,$R20&gt;0),"F","")</f>
        <v>F</v>
      </c>
      <c r="G21" s="216" t="str">
        <f ca="1">IF(OR(R20=0,R20=""),"vazia",IF(AND(OR(ACOMPANHAMENTO="PLE",$Q20&lt;&gt;2),$E21=0),"calculada","--&gt;"))</f>
        <v>calculada</v>
      </c>
      <c r="H21" s="217"/>
      <c r="I21" s="218" t="str">
        <f t="shared" ref="I21" ca="1" si="22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69"/>
      <c r="U21" s="568"/>
      <c r="V21" s="568"/>
      <c r="W21" s="568"/>
      <c r="X21" s="568"/>
      <c r="Y21" s="568"/>
      <c r="Z21" s="568"/>
      <c r="AA21" s="568"/>
      <c r="AB21" s="568"/>
      <c r="AC21" s="568"/>
      <c r="AD21" s="568"/>
      <c r="AE21" s="570"/>
      <c r="AF21" s="532"/>
    </row>
    <row r="22" spans="1:32" ht="0.15" hidden="1" customHeight="1" x14ac:dyDescent="0.25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$32,"="&amp;CRONO!D$12,CÁLCULO!$AB$15:$AL$32)/(ORÇAMENTO!$X$15-CÁLCULO.TotalAdmLocal)*CRONO!$E22,0),D21*$R20),SUMIF(OFFSET($R22,1,0,$Q20-2),($L20+1)&amp;"$",OFFSET(D22,1,0,$Q20-2)))</f>
        <v>48670.500000000007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t="shared" ref="R22" ca="1" si="23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$32,"&lt;="&amp;CRONO!T$12,CÁLCULO!$AB$15:$AL$32)/(ORÇAMENTO!$X$15-CÁLCULO.TotalAdmLocal)*CRONO!$E22,0),T21*$R20),SUMIF(OFFSET($R22,1,0,$Q20-2),($L20+1)&amp;"$",OFFSET(T22,1,0,$Q20-2)))</f>
        <v>48670.500000000007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$32,"="&amp;CRONO!U$12,CÁLCULO!$AB$15:$AL$32)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$32,"="&amp;CRONO!V$12,CÁLCULO!$AB$15:$AL$32)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$32,"="&amp;CRONO!W$12,CÁLCULO!$AB$15:$AL$32)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$32,"="&amp;CRONO!X$12,CÁLCULO!$AB$15:$AL$32)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$32,"="&amp;CRONO!Y$12,CÁLCULO!$AB$15:$AL$32)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$32,"="&amp;CRONO!Z$12,CÁLCULO!$AB$15:$AL$32)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$32,"="&amp;CRONO!AA$12,CÁLCULO!$AB$15:$AL$32)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$32,"="&amp;CRONO!AB$12,CÁLCULO!$AB$15:$AL$32)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$32,"="&amp;CRONO!AC$12,CÁLCULO!$AB$15:$AL$32)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$32,"="&amp;CRONO!AD$12,CÁLCULO!$AB$15:$AL$32)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$32,"="&amp;CRONO!AE$12,CÁLCULO!$AB$15:$AL$32)/(ORÇAMENTO!$X$15-CÁLCULO.TotalAdmLocal)*CRONO!$E22,0),AE21*$R20),SUMIF(OFFSET($R22,1,0,$Q20-2),($L20+1)&amp;"$",OFFSET(AE22,1,0,$Q20-2)))</f>
        <v>0</v>
      </c>
    </row>
    <row r="23" spans="1:32" x14ac:dyDescent="0.25">
      <c r="A23" s="203">
        <f t="shared" ref="A23" ca="1" si="24">OFFSET(A23,-3,0)+1</f>
        <v>4</v>
      </c>
      <c r="B23" s="203">
        <f ca="1">IF($Q23&lt;&gt;2,0,IF($R23=0,1,IF(E24&gt;0,OFFSET(QCI!$M$13,SUBSTITUTE(E24,".",""),0),OFFSET(ORÇAMENTO!$AA$15,CRONO!$E23,0))/$R23))</f>
        <v>4.4244026891189572E-3</v>
      </c>
      <c r="C23" s="203">
        <f ca="1">IF($Q23&lt;&gt;2,0,IF($R23=0,1,IF(E24&gt;0,OFFSET(QCI!$N$13,SUBSTITUTE(E24,".",""),0),OFFSET(ORÇAMENTO!$AB$15,CRONO!$E23,0))/$R23))</f>
        <v>0</v>
      </c>
      <c r="D23" s="206">
        <f ca="1">IF(AND($Q23=2,ACOMPANHAMENTO="BM"),D24,D25/$R23)</f>
        <v>0</v>
      </c>
      <c r="E23" s="203">
        <f ca="1">IF(A23&lt;=ORÇAMENTO.MáximoListaCrono,MATCH(A23,ORÇAMENTO.ListaCrono,0),NA())</f>
        <v>14</v>
      </c>
      <c r="F23" s="203" t="str">
        <f t="shared" ref="F23" ca="1" si="25">IF(AND($E24&lt;&gt;-1,$R23&gt;0),"F","")</f>
        <v>F</v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PINTURA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IF($E24=-1,0,IF(M$13&lt;=$L23,IF(ISERROR(MATCH(M$13,OFFSET($L23,1,0,ROW($L$164)-ROW($L23)-1),0)),ROW($L$164)-ROW($L23)-1,MATCH(M$13,OFFSET($L23,1,0,ROW($L$164)-ROW($L23)-1),0)-1),0))</f>
        <v>2</v>
      </c>
      <c r="N23" s="211">
        <f ca="1">IF($E24=-1,0,IF(N$13&lt;=$L23,IF(ISERROR(MATCH(N$13,OFFSET($L23,1,0,ROW($L$164)-ROW($L23)-1),0)),ROW($L$164)-ROW($L23)-1,MATCH(N$13,OFFSET($L23,1,0,ROW($L$164)-ROW($L23)-1),0)-1),0))</f>
        <v>140</v>
      </c>
      <c r="O23" s="211">
        <f ca="1">IF($E24=-1,0,IF(O$13&lt;=$L23,IF(ISERROR(MATCH(O$13,OFFSET($L23,1,0,ROW($L$164)-ROW($L23)-1),0)),ROW($L$164)-ROW($L23)-1,MATCH(O$13,OFFSET($L23,1,0,ROW($L$164)-ROW($L23)-1),0)-1),0))</f>
        <v>0</v>
      </c>
      <c r="P23" s="211">
        <f ca="1">IF($E24=-1,0,IF(P$13&lt;=$L23,IF(ISERROR(MATCH(P$13,OFFSET($L23,1,0,ROW($L$164)-ROW($L23)-1),0)),ROW($L$164)-ROW($L23)-1,MATCH(P$13,OFFSET($L23,1,0,ROW($L$164)-ROW($L23)-1),0)-1),0))</f>
        <v>0</v>
      </c>
      <c r="Q23" s="211">
        <f t="shared" ref="Q23" ca="1" si="26">MIN(OFFSET(L23,0,1,,L23))</f>
        <v>2</v>
      </c>
      <c r="R23" s="212">
        <f ca="1">IF($E24=0,OFFSET(ORÇAMENTO!X$15,$E23,0),IF($E24&lt;&gt;-1,OFFSET(QCI!$O$13,$E24,0),""))</f>
        <v>49495.199999999997</v>
      </c>
      <c r="S23" s="213" t="s">
        <v>270</v>
      </c>
      <c r="T23" s="214">
        <f t="shared" ref="T23:AE23" ca="1" si="27">IF(AND($Q23=2,ACOMPANHAMENTO="BM"),T24,T25/$R23)</f>
        <v>0</v>
      </c>
      <c r="U23" s="206">
        <f t="shared" ca="1" si="27"/>
        <v>1</v>
      </c>
      <c r="V23" s="206">
        <f t="shared" ca="1" si="27"/>
        <v>0</v>
      </c>
      <c r="W23" s="206">
        <f t="shared" ca="1" si="27"/>
        <v>0</v>
      </c>
      <c r="X23" s="206">
        <f t="shared" ca="1" si="27"/>
        <v>0</v>
      </c>
      <c r="Y23" s="206">
        <f t="shared" ca="1" si="27"/>
        <v>0</v>
      </c>
      <c r="Z23" s="206">
        <f t="shared" ca="1" si="27"/>
        <v>0</v>
      </c>
      <c r="AA23" s="206">
        <f t="shared" ca="1" si="27"/>
        <v>0</v>
      </c>
      <c r="AB23" s="206">
        <f t="shared" ca="1" si="27"/>
        <v>0</v>
      </c>
      <c r="AC23" s="206">
        <f t="shared" ca="1" si="27"/>
        <v>0</v>
      </c>
      <c r="AD23" s="206">
        <f t="shared" ca="1" si="27"/>
        <v>0</v>
      </c>
      <c r="AE23" s="215">
        <f t="shared" ca="1" si="27"/>
        <v>0</v>
      </c>
    </row>
    <row r="24" spans="1:32" ht="12.75" customHeight="1" x14ac:dyDescent="0.25">
      <c r="D24" s="568"/>
      <c r="E24" s="203">
        <f ca="1">IF(ISERROR(E23),IF(1+COUNTIF($L$13:OFFSET(L23,-1,0),1)&lt;=MAX(QCI!$D$13:$D$24),1+COUNTIF($L$13:OFFSET(L23,-1,0),1),-1),0)</f>
        <v>0</v>
      </c>
      <c r="F24" s="203" t="str">
        <f t="shared" ref="F24" ca="1" si="28">IF(AND($E24&lt;&gt;-1,$R23&gt;0),"F","")</f>
        <v>F</v>
      </c>
      <c r="G24" s="216" t="str">
        <f ca="1">IF(OR(R23=0,R23=""),"vazia",IF(AND(OR(ACOMPANHAMENTO="PLE",$Q23&lt;&gt;2),$E24=0),"calculada","--&gt;"))</f>
        <v>calculada</v>
      </c>
      <c r="H24" s="217"/>
      <c r="I24" s="218" t="str">
        <f t="shared" ref="I24" ca="1" si="29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69"/>
      <c r="U24" s="568"/>
      <c r="V24" s="568"/>
      <c r="W24" s="568"/>
      <c r="X24" s="568"/>
      <c r="Y24" s="568"/>
      <c r="Z24" s="568"/>
      <c r="AA24" s="568"/>
      <c r="AB24" s="568"/>
      <c r="AC24" s="568"/>
      <c r="AD24" s="568"/>
      <c r="AE24" s="570"/>
      <c r="AF24" s="532"/>
    </row>
    <row r="25" spans="1:32" ht="0.15" hidden="1" customHeight="1" x14ac:dyDescent="0.25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$32,"="&amp;CRONO!D$12,CÁLCULO!$AB$15:$AL$32)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t="shared" ref="R25" ca="1" si="30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$32,"&lt;="&amp;CRONO!T$12,CÁLCULO!$AB$15:$AL$32)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$32,"="&amp;CRONO!U$12,CÁLCULO!$AB$15:$AL$32)/(ORÇAMENTO!$X$15-CÁLCULO.TotalAdmLocal)*CRONO!$E25,0),U24*$R23),SUMIF(OFFSET($R25,1,0,$Q23-2),($L23+1)&amp;"$",OFFSET(U25,1,0,$Q23-2)))</f>
        <v>49495.199999999997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$32,"="&amp;CRONO!V$12,CÁLCULO!$AB$15:$AL$32)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$32,"="&amp;CRONO!W$12,CÁLCULO!$AB$15:$AL$32)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$32,"="&amp;CRONO!X$12,CÁLCULO!$AB$15:$AL$32)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$32,"="&amp;CRONO!Y$12,CÁLCULO!$AB$15:$AL$32)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$32,"="&amp;CRONO!Z$12,CÁLCULO!$AB$15:$AL$32)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$32,"="&amp;CRONO!AA$12,CÁLCULO!$AB$15:$AL$32)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$32,"="&amp;CRONO!AB$12,CÁLCULO!$AB$15:$AL$32)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$32,"="&amp;CRONO!AC$12,CÁLCULO!$AB$15:$AL$32)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$32,"="&amp;CRONO!AD$12,CÁLCULO!$AB$15:$AL$32)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$32,"="&amp;CRONO!AE$12,CÁLCULO!$AB$15:$AL$32)/(ORÇAMENTO!$X$15-CÁLCULO.TotalAdmLocal)*CRONO!$E25,0),AE24*$R23),SUMIF(OFFSET($R25,1,0,$Q23-2),($L23+1)&amp;"$",OFFSET(AE25,1,0,$Q23-2)))</f>
        <v>0</v>
      </c>
    </row>
    <row r="26" spans="1:32" hidden="1" x14ac:dyDescent="0.25">
      <c r="A26" s="203">
        <f t="shared" ref="A26" ca="1" si="3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 t="e">
        <f ca="1">IF(A26&lt;=ORÇAMENTO.MáximoListaCrono,MATCH(A26,ORÇAMENTO.ListaCrono,0),NA())</f>
        <v>#N/A</v>
      </c>
      <c r="F26" s="203" t="str">
        <f t="shared" ref="F26" ca="1" si="32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>
        <f ca="1">IF($E27=0,OFFSET(ORÇAMENTO!O$15,$E26,0),IF($E27&lt;&gt;-1,OFFSET(QCI!$D$13,$E27,0),""))</f>
        <v>2</v>
      </c>
      <c r="I26" s="209" t="str">
        <f ca="1">IF($E27=0,OFFSET(ORÇAMENTO!R$15,$E26,0),IF($E27&lt;&gt;-1,OFFSET(QCI!$G$13,$E27,0),""))</f>
        <v/>
      </c>
      <c r="J26" s="209"/>
      <c r="K26" s="209"/>
      <c r="L26" s="210">
        <f ca="1">IF($E27=0,OFFSET(ORÇAMENTO!C$15,$E26,0),1)</f>
        <v>1</v>
      </c>
      <c r="M26" s="211">
        <f ca="1">IF($E27=-1,0,IF(M$13&lt;=$L26,IF(ISERROR(MATCH(M$13,OFFSET($L26,1,0,ROW($L$164)-ROW($L26)-1),0)),ROW($L$164)-ROW($L26)-1,MATCH(M$13,OFFSET($L26,1,0,ROW($L$164)-ROW($L26)-1),0)-1),0))</f>
        <v>2</v>
      </c>
      <c r="N26" s="211">
        <f ca="1">IF($E27=-1,0,IF(N$13&lt;=$L26,IF(ISERROR(MATCH(N$13,OFFSET($L26,1,0,ROW($L$164)-ROW($L26)-1),0)),ROW($L$164)-ROW($L26)-1,MATCH(N$13,OFFSET($L26,1,0,ROW($L$164)-ROW($L26)-1),0)-1),0))</f>
        <v>0</v>
      </c>
      <c r="O26" s="211">
        <f ca="1">IF($E27=-1,0,IF(O$13&lt;=$L26,IF(ISERROR(MATCH(O$13,OFFSET($L26,1,0,ROW($L$164)-ROW($L26)-1),0)),ROW($L$164)-ROW($L26)-1,MATCH(O$13,OFFSET($L26,1,0,ROW($L$164)-ROW($L26)-1),0)-1),0))</f>
        <v>0</v>
      </c>
      <c r="P26" s="211">
        <f ca="1">IF($E27=-1,0,IF(P$13&lt;=$L26,IF(ISERROR(MATCH(P$13,OFFSET($L26,1,0,ROW($L$164)-ROW($L26)-1),0)),ROW($L$164)-ROW($L26)-1,MATCH(P$13,OFFSET($L26,1,0,ROW($L$164)-ROW($L26)-1),0)-1),0))</f>
        <v>0</v>
      </c>
      <c r="Q26" s="211">
        <f t="shared" ref="Q26" ca="1" si="33">MIN(OFFSET(L26,0,1,,L26))</f>
        <v>2</v>
      </c>
      <c r="R26" s="212">
        <f ca="1">IF($E27=0,OFFSET(ORÇAMENTO!X$15,$E26,0),IF($E27&lt;&gt;-1,OFFSET(QCI!$O$13,$E27,0),""))</f>
        <v>0</v>
      </c>
      <c r="S26" s="213" t="s">
        <v>270</v>
      </c>
      <c r="T26" s="214" t="e">
        <f t="shared" ref="T26:AE26" ca="1" si="34">IF(AND($Q26=2,ACOMPANHAMENTO="BM"),T27,T28/$R26)</f>
        <v>#DIV/0!</v>
      </c>
      <c r="U26" s="206" t="e">
        <f t="shared" ca="1" si="34"/>
        <v>#DIV/0!</v>
      </c>
      <c r="V26" s="206" t="e">
        <f t="shared" ca="1" si="34"/>
        <v>#DIV/0!</v>
      </c>
      <c r="W26" s="206" t="e">
        <f t="shared" ca="1" si="34"/>
        <v>#DIV/0!</v>
      </c>
      <c r="X26" s="206" t="e">
        <f t="shared" ca="1" si="34"/>
        <v>#DIV/0!</v>
      </c>
      <c r="Y26" s="206" t="e">
        <f t="shared" ca="1" si="34"/>
        <v>#DIV/0!</v>
      </c>
      <c r="Z26" s="206" t="e">
        <f t="shared" ca="1" si="34"/>
        <v>#DIV/0!</v>
      </c>
      <c r="AA26" s="206" t="e">
        <f t="shared" ca="1" si="34"/>
        <v>#DIV/0!</v>
      </c>
      <c r="AB26" s="206" t="e">
        <f t="shared" ca="1" si="34"/>
        <v>#DIV/0!</v>
      </c>
      <c r="AC26" s="206" t="e">
        <f t="shared" ca="1" si="34"/>
        <v>#DIV/0!</v>
      </c>
      <c r="AD26" s="206" t="e">
        <f t="shared" ca="1" si="34"/>
        <v>#DIV/0!</v>
      </c>
      <c r="AE26" s="215" t="e">
        <f t="shared" ca="1" si="34"/>
        <v>#DIV/0!</v>
      </c>
    </row>
    <row r="27" spans="1:32" ht="12.75" hidden="1" customHeight="1" x14ac:dyDescent="0.25">
      <c r="D27" s="568"/>
      <c r="E27" s="203">
        <f ca="1">IF(ISERROR(E26),IF(1+COUNTIF($L$13:OFFSET(L26,-1,0),1)&lt;=MAX(QCI!$D$13:$D$24),1+COUNTIF($L$13:OFFSET(L26,-1,0),1),-1),0)</f>
        <v>2</v>
      </c>
      <c r="F27" s="203" t="str">
        <f t="shared" ref="F27" ca="1" si="35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t="shared" ref="I27" ca="1" si="36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69"/>
      <c r="U27" s="568"/>
      <c r="V27" s="568"/>
      <c r="W27" s="568"/>
      <c r="X27" s="568"/>
      <c r="Y27" s="568"/>
      <c r="Z27" s="568"/>
      <c r="AA27" s="568"/>
      <c r="AB27" s="568"/>
      <c r="AC27" s="568"/>
      <c r="AD27" s="568"/>
      <c r="AE27" s="570"/>
      <c r="AF27" s="532"/>
    </row>
    <row r="28" spans="1:32" ht="0.15" hidden="1" customHeight="1" x14ac:dyDescent="0.25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$32,"="&amp;CRONO!D$12,CÁLCULO!$AB$15:$AL$32)/(ORÇAMENTO!$X$15-CÁLCULO.TotalAdmLocal)*CRONO!$E28,0),D27*$R26),SUMIF(OFFSET($R28,1,0,$Q26-2),($L26+1)&amp;"$",OFFSET(D28,1,0,$Q26-2)))</f>
        <v>0</v>
      </c>
      <c r="E28" s="203" t="str">
        <f ca="1">IF(OR($Q26&lt;&gt;2,AUTOEVENTO&lt;&gt;"manual",$E27&gt;0),"",SUMIF(OFFSET(CÁLCULO!$M$15,CRONO!$E26,0,OFFSET(ORÇAMENTO!$D$15,CRONO!$E26,0)),1,OFFSET(ORÇAMENTO!$X$15,CRONO!$E26,0,OFFSET(ORÇAMENTO!$D$15,CRONO!$E26,0))))</f>
        <v/>
      </c>
      <c r="G28" s="223"/>
      <c r="R28" s="224" t="str">
        <f t="shared" ref="R28" ca="1" si="37">L26&amp;"$"</f>
        <v>1$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$32,"&lt;="&amp;CRONO!T$12,CÁLCULO!$AB$15:$AL$32)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$32,"="&amp;CRONO!U$12,CÁLCULO!$AB$15:$AL$32)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$32,"="&amp;CRONO!V$12,CÁLCULO!$AB$15:$AL$32)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$32,"="&amp;CRONO!W$12,CÁLCULO!$AB$15:$AL$32)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$32,"="&amp;CRONO!X$12,CÁLCULO!$AB$15:$AL$32)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$32,"="&amp;CRONO!Y$12,CÁLCULO!$AB$15:$AL$32)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$32,"="&amp;CRONO!Z$12,CÁLCULO!$AB$15:$AL$32)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$32,"="&amp;CRONO!AA$12,CÁLCULO!$AB$15:$AL$32)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$32,"="&amp;CRONO!AB$12,CÁLCULO!$AB$15:$AL$32)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$32,"="&amp;CRONO!AC$12,CÁLCULO!$AB$15:$AL$32)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$32,"="&amp;CRONO!AD$12,CÁLCULO!$AB$15:$AL$32)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$32,"="&amp;CRONO!AE$12,CÁLCULO!$AB$15:$AL$32)/(ORÇAMENTO!$X$15-CÁLCULO.TotalAdmLocal)*CRONO!$E28,0),AE27*$R26),SUMIF(OFFSET($R28,1,0,$Q26-2),($L26+1)&amp;"$",OFFSET(AE28,1,0,$Q26-2)))</f>
        <v>0</v>
      </c>
    </row>
    <row r="29" spans="1:32" hidden="1" x14ac:dyDescent="0.25">
      <c r="A29" s="203">
        <f t="shared" ref="A29" ca="1" si="38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 t="e">
        <f ca="1">IF(A29&lt;=ORÇAMENTO.MáximoListaCrono,MATCH(A29,ORÇAMENTO.ListaCrono,0),NA())</f>
        <v>#N/A</v>
      </c>
      <c r="F29" s="203" t="str">
        <f t="shared" ref="F29" ca="1" si="39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>
        <f ca="1">IF($E30=0,OFFSET(ORÇAMENTO!O$15,$E29,0),IF($E30&lt;&gt;-1,OFFSET(QCI!$D$13,$E30,0),""))</f>
        <v>3</v>
      </c>
      <c r="I29" s="209" t="str">
        <f ca="1">IF($E30=0,OFFSET(ORÇAMENTO!R$15,$E29,0),IF($E30&lt;&gt;-1,OFFSET(QCI!$G$13,$E30,0),""))</f>
        <v/>
      </c>
      <c r="J29" s="209"/>
      <c r="K29" s="209"/>
      <c r="L29" s="210">
        <f ca="1">IF($E30=0,OFFSET(ORÇAMENTO!C$15,$E29,0),1)</f>
        <v>1</v>
      </c>
      <c r="M29" s="211">
        <f ca="1">IF($E30=-1,0,IF(M$13&lt;=$L29,IF(ISERROR(MATCH(M$13,OFFSET($L29,1,0,ROW($L$164)-ROW($L29)-1),0)),ROW($L$164)-ROW($L29)-1,MATCH(M$13,OFFSET($L29,1,0,ROW($L$164)-ROW($L29)-1),0)-1),0))</f>
        <v>2</v>
      </c>
      <c r="N29" s="211">
        <f ca="1">IF($E30=-1,0,IF(N$13&lt;=$L29,IF(ISERROR(MATCH(N$13,OFFSET($L29,1,0,ROW($L$164)-ROW($L29)-1),0)),ROW($L$164)-ROW($L29)-1,MATCH(N$13,OFFSET($L29,1,0,ROW($L$164)-ROW($L29)-1),0)-1),0))</f>
        <v>0</v>
      </c>
      <c r="O29" s="211">
        <f ca="1">IF($E30=-1,0,IF(O$13&lt;=$L29,IF(ISERROR(MATCH(O$13,OFFSET($L29,1,0,ROW($L$164)-ROW($L29)-1),0)),ROW($L$164)-ROW($L29)-1,MATCH(O$13,OFFSET($L29,1,0,ROW($L$164)-ROW($L29)-1),0)-1),0))</f>
        <v>0</v>
      </c>
      <c r="P29" s="211">
        <f ca="1">IF($E30=-1,0,IF(P$13&lt;=$L29,IF(ISERROR(MATCH(P$13,OFFSET($L29,1,0,ROW($L$164)-ROW($L29)-1),0)),ROW($L$164)-ROW($L29)-1,MATCH(P$13,OFFSET($L29,1,0,ROW($L$164)-ROW($L29)-1),0)-1),0))</f>
        <v>0</v>
      </c>
      <c r="Q29" s="211">
        <f t="shared" ref="Q29" ca="1" si="40">MIN(OFFSET(L29,0,1,,L29))</f>
        <v>2</v>
      </c>
      <c r="R29" s="212">
        <f ca="1">IF($E30=0,OFFSET(ORÇAMENTO!X$15,$E29,0),IF($E30&lt;&gt;-1,OFFSET(QCI!$O$13,$E30,0),""))</f>
        <v>0</v>
      </c>
      <c r="S29" s="213" t="s">
        <v>270</v>
      </c>
      <c r="T29" s="214" t="e">
        <f t="shared" ref="T29:AE29" ca="1" si="41">IF(AND($Q29=2,ACOMPANHAMENTO="BM"),T30,T31/$R29)</f>
        <v>#DIV/0!</v>
      </c>
      <c r="U29" s="206" t="e">
        <f t="shared" ca="1" si="41"/>
        <v>#DIV/0!</v>
      </c>
      <c r="V29" s="206" t="e">
        <f t="shared" ca="1" si="41"/>
        <v>#DIV/0!</v>
      </c>
      <c r="W29" s="206" t="e">
        <f t="shared" ca="1" si="41"/>
        <v>#DIV/0!</v>
      </c>
      <c r="X29" s="206" t="e">
        <f t="shared" ca="1" si="41"/>
        <v>#DIV/0!</v>
      </c>
      <c r="Y29" s="206" t="e">
        <f t="shared" ca="1" si="41"/>
        <v>#DIV/0!</v>
      </c>
      <c r="Z29" s="206" t="e">
        <f t="shared" ca="1" si="41"/>
        <v>#DIV/0!</v>
      </c>
      <c r="AA29" s="206" t="e">
        <f t="shared" ca="1" si="41"/>
        <v>#DIV/0!</v>
      </c>
      <c r="AB29" s="206" t="e">
        <f t="shared" ca="1" si="41"/>
        <v>#DIV/0!</v>
      </c>
      <c r="AC29" s="206" t="e">
        <f t="shared" ca="1" si="41"/>
        <v>#DIV/0!</v>
      </c>
      <c r="AD29" s="206" t="e">
        <f t="shared" ca="1" si="41"/>
        <v>#DIV/0!</v>
      </c>
      <c r="AE29" s="215" t="e">
        <f t="shared" ca="1" si="41"/>
        <v>#DIV/0!</v>
      </c>
    </row>
    <row r="30" spans="1:32" ht="12.75" hidden="1" customHeight="1" x14ac:dyDescent="0.25">
      <c r="D30" s="568"/>
      <c r="E30" s="203">
        <f ca="1">IF(ISERROR(E29),IF(1+COUNTIF($L$13:OFFSET(L29,-1,0),1)&lt;=MAX(QCI!$D$13:$D$24),1+COUNTIF($L$13:OFFSET(L29,-1,0),1),-1),0)</f>
        <v>3</v>
      </c>
      <c r="F30" s="203" t="str">
        <f t="shared" ref="F30" ca="1" si="42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t="shared" ref="I30" ca="1" si="43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69"/>
      <c r="U30" s="568"/>
      <c r="V30" s="568"/>
      <c r="W30" s="568"/>
      <c r="X30" s="568"/>
      <c r="Y30" s="568"/>
      <c r="Z30" s="568"/>
      <c r="AA30" s="568"/>
      <c r="AB30" s="568"/>
      <c r="AC30" s="568"/>
      <c r="AD30" s="568"/>
      <c r="AE30" s="570"/>
      <c r="AF30" s="532"/>
    </row>
    <row r="31" spans="1:32" ht="0.15" hidden="1" customHeight="1" x14ac:dyDescent="0.25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$32,"="&amp;CRONO!D$12,CÁLCULO!$AB$15:$AL$32)/(ORÇAMENTO!$X$15-CÁLCULO.TotalAdmLocal)*CRONO!$E31,0),D30*$R29),SUMIF(OFFSET($R31,1,0,$Q29-2),($L29+1)&amp;"$",OFFSET(D31,1,0,$Q29-2)))</f>
        <v>0</v>
      </c>
      <c r="E31" s="203" t="str">
        <f ca="1">IF(OR($Q29&lt;&gt;2,AUTOEVENTO&lt;&gt;"manual",$E30&gt;0),"",SUMIF(OFFSET(CÁLCULO!$M$15,CRONO!$E29,0,OFFSET(ORÇAMENTO!$D$15,CRONO!$E29,0)),1,OFFSET(ORÇAMENTO!$X$15,CRONO!$E29,0,OFFSET(ORÇAMENTO!$D$15,CRONO!$E29,0))))</f>
        <v/>
      </c>
      <c r="G31" s="223"/>
      <c r="R31" s="224" t="str">
        <f t="shared" ref="R31" ca="1" si="44">L29&amp;"$"</f>
        <v>1$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$32,"&lt;="&amp;CRONO!T$12,CÁLCULO!$AB$15:$AL$32)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$32,"="&amp;CRONO!U$12,CÁLCULO!$AB$15:$AL$32)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$32,"="&amp;CRONO!V$12,CÁLCULO!$AB$15:$AL$32)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$32,"="&amp;CRONO!W$12,CÁLCULO!$AB$15:$AL$32)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$32,"="&amp;CRONO!X$12,CÁLCULO!$AB$15:$AL$32)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$32,"="&amp;CRONO!Y$12,CÁLCULO!$AB$15:$AL$32)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$32,"="&amp;CRONO!Z$12,CÁLCULO!$AB$15:$AL$32)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$32,"="&amp;CRONO!AA$12,CÁLCULO!$AB$15:$AL$32)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$32,"="&amp;CRONO!AB$12,CÁLCULO!$AB$15:$AL$32)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$32,"="&amp;CRONO!AC$12,CÁLCULO!$AB$15:$AL$32)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$32,"="&amp;CRONO!AD$12,CÁLCULO!$AB$15:$AL$32)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$32,"="&amp;CRONO!AE$12,CÁLCULO!$AB$15:$AL$32)/(ORÇAMENTO!$X$15-CÁLCULO.TotalAdmLocal)*CRONO!$E31,0),AE30*$R29),SUMIF(OFFSET($R31,1,0,$Q29-2),($L29+1)&amp;"$",OFFSET(AE31,1,0,$Q29-2)))</f>
        <v>0</v>
      </c>
    </row>
    <row r="32" spans="1:32" hidden="1" x14ac:dyDescent="0.25">
      <c r="A32" s="203">
        <f t="shared" ref="A32" ca="1" si="45">OFFSET(A32,-3,0)+1</f>
        <v>7</v>
      </c>
      <c r="B32" s="203">
        <f ca="1">IF($Q32&lt;&gt;2,0,IF($R32=0,1,IF(E33&gt;0,OFFSET(QCI!$M$13,SUBSTITUTE(E33,".",""),0),OFFSET(ORÇAMENTO!$AA$15,CRONO!$E32,0))/$R32))</f>
        <v>1</v>
      </c>
      <c r="C32" s="203">
        <f ca="1">IF($Q32&lt;&gt;2,0,IF($R32=0,1,IF(E33&gt;0,OFFSET(QCI!$N$13,SUBSTITUTE(E33,".",""),0),OFFSET(ORÇAMENTO!$AB$15,CRONO!$E32,0))/$R32))</f>
        <v>1</v>
      </c>
      <c r="D32" s="206" t="e">
        <f ca="1">IF(AND($Q32=2,ACOMPANHAMENTO="BM"),D33,D34/$R32)</f>
        <v>#DIV/0!</v>
      </c>
      <c r="E32" s="203" t="e">
        <f ca="1">IF(A32&lt;=ORÇAMENTO.MáximoListaCrono,MATCH(A32,ORÇAMENTO.ListaCrono,0),NA())</f>
        <v>#N/A</v>
      </c>
      <c r="F32" s="203" t="str">
        <f t="shared" ref="F32" ca="1" si="46">IF(AND($E33&lt;&gt;-1,$R32&gt;0),"F","")</f>
        <v/>
      </c>
      <c r="G32" s="207" t="str">
        <f ca="1">IF(OR(R32=0,R32=""),"Linha",IF(AND(OR(ACOMPANHAMENTO="PLE",$Q32&lt;&gt;2),$E33=0),"Linha",1-SUM(T32:AF32)))</f>
        <v>Linha</v>
      </c>
      <c r="H32" s="208">
        <f ca="1">IF($E33=0,OFFSET(ORÇAMENTO!O$15,$E32,0),IF($E33&lt;&gt;-1,OFFSET(QCI!$D$13,$E33,0),""))</f>
        <v>4</v>
      </c>
      <c r="I32" s="209" t="str">
        <f ca="1">IF($E33=0,OFFSET(ORÇAMENTO!R$15,$E32,0),IF($E33&lt;&gt;-1,OFFSET(QCI!$G$13,$E33,0),""))</f>
        <v/>
      </c>
      <c r="J32" s="209"/>
      <c r="K32" s="209"/>
      <c r="L32" s="210">
        <f ca="1">IF($E33=0,OFFSET(ORÇAMENTO!C$15,$E32,0),1)</f>
        <v>1</v>
      </c>
      <c r="M32" s="211">
        <f ca="1">IF($E33=-1,0,IF(M$13&lt;=$L32,IF(ISERROR(MATCH(M$13,OFFSET($L32,1,0,ROW($L$164)-ROW($L32)-1),0)),ROW($L$164)-ROW($L32)-1,MATCH(M$13,OFFSET($L32,1,0,ROW($L$164)-ROW($L32)-1),0)-1),0))</f>
        <v>2</v>
      </c>
      <c r="N32" s="211">
        <f ca="1">IF($E33=-1,0,IF(N$13&lt;=$L32,IF(ISERROR(MATCH(N$13,OFFSET($L32,1,0,ROW($L$164)-ROW($L32)-1),0)),ROW($L$164)-ROW($L32)-1,MATCH(N$13,OFFSET($L32,1,0,ROW($L$164)-ROW($L32)-1),0)-1),0))</f>
        <v>0</v>
      </c>
      <c r="O32" s="211">
        <f ca="1">IF($E33=-1,0,IF(O$13&lt;=$L32,IF(ISERROR(MATCH(O$13,OFFSET($L32,1,0,ROW($L$164)-ROW($L32)-1),0)),ROW($L$164)-ROW($L32)-1,MATCH(O$13,OFFSET($L32,1,0,ROW($L$164)-ROW($L32)-1),0)-1),0))</f>
        <v>0</v>
      </c>
      <c r="P32" s="211">
        <f ca="1">IF($E33=-1,0,IF(P$13&lt;=$L32,IF(ISERROR(MATCH(P$13,OFFSET($L32,1,0,ROW($L$164)-ROW($L32)-1),0)),ROW($L$164)-ROW($L32)-1,MATCH(P$13,OFFSET($L32,1,0,ROW($L$164)-ROW($L32)-1),0)-1),0))</f>
        <v>0</v>
      </c>
      <c r="Q32" s="211">
        <f t="shared" ref="Q32" ca="1" si="47">MIN(OFFSET(L32,0,1,,L32))</f>
        <v>2</v>
      </c>
      <c r="R32" s="212">
        <f ca="1">IF($E33=0,OFFSET(ORÇAMENTO!X$15,$E32,0),IF($E33&lt;&gt;-1,OFFSET(QCI!$O$13,$E33,0),""))</f>
        <v>0</v>
      </c>
      <c r="S32" s="213" t="s">
        <v>270</v>
      </c>
      <c r="T32" s="214" t="e">
        <f t="shared" ref="T32:AE32" ca="1" si="48">IF(AND($Q32=2,ACOMPANHAMENTO="BM"),T33,T34/$R32)</f>
        <v>#DIV/0!</v>
      </c>
      <c r="U32" s="206" t="e">
        <f t="shared" ca="1" si="48"/>
        <v>#DIV/0!</v>
      </c>
      <c r="V32" s="206" t="e">
        <f t="shared" ca="1" si="48"/>
        <v>#DIV/0!</v>
      </c>
      <c r="W32" s="206" t="e">
        <f t="shared" ca="1" si="48"/>
        <v>#DIV/0!</v>
      </c>
      <c r="X32" s="206" t="e">
        <f t="shared" ca="1" si="48"/>
        <v>#DIV/0!</v>
      </c>
      <c r="Y32" s="206" t="e">
        <f t="shared" ca="1" si="48"/>
        <v>#DIV/0!</v>
      </c>
      <c r="Z32" s="206" t="e">
        <f t="shared" ca="1" si="48"/>
        <v>#DIV/0!</v>
      </c>
      <c r="AA32" s="206" t="e">
        <f t="shared" ca="1" si="48"/>
        <v>#DIV/0!</v>
      </c>
      <c r="AB32" s="206" t="e">
        <f t="shared" ca="1" si="48"/>
        <v>#DIV/0!</v>
      </c>
      <c r="AC32" s="206" t="e">
        <f t="shared" ca="1" si="48"/>
        <v>#DIV/0!</v>
      </c>
      <c r="AD32" s="206" t="e">
        <f t="shared" ca="1" si="48"/>
        <v>#DIV/0!</v>
      </c>
      <c r="AE32" s="215" t="e">
        <f t="shared" ca="1" si="48"/>
        <v>#DIV/0!</v>
      </c>
    </row>
    <row r="33" spans="1:32" ht="12.75" hidden="1" customHeight="1" x14ac:dyDescent="0.25">
      <c r="D33" s="568"/>
      <c r="E33" s="203">
        <f ca="1">IF(ISERROR(E32),IF(1+COUNTIF($L$13:OFFSET(L32,-1,0),1)&lt;=MAX(QCI!$D$13:$D$24),1+COUNTIF($L$13:OFFSET(L32,-1,0),1),-1),0)</f>
        <v>4</v>
      </c>
      <c r="F33" s="203" t="str">
        <f t="shared" ref="F33" ca="1" si="49">IF(AND($E33&lt;&gt;-1,$R32&gt;0),"F","")</f>
        <v/>
      </c>
      <c r="G33" s="216" t="str">
        <f ca="1">IF(OR(R32=0,R32=""),"vazia",IF(AND(OR(ACOMPANHAMENTO="PLE",$Q32&lt;&gt;2),$E33=0),"calculada","--&gt;"))</f>
        <v>vazia</v>
      </c>
      <c r="H33" s="217"/>
      <c r="I33" s="218" t="str">
        <f t="shared" ref="I33" ca="1" si="50">IF(AND(G32&lt;&gt;0,ISNUMBER(G32)),"PREENCHA ESTA LINHA --&gt;","")</f>
        <v/>
      </c>
      <c r="J33" s="218"/>
      <c r="K33" s="218"/>
      <c r="L33" s="219"/>
      <c r="M33" s="219"/>
      <c r="N33" s="219"/>
      <c r="O33" s="219"/>
      <c r="P33" s="219"/>
      <c r="Q33" s="219"/>
      <c r="R33" s="220"/>
      <c r="S33" s="221"/>
      <c r="T33" s="569"/>
      <c r="U33" s="568"/>
      <c r="V33" s="568"/>
      <c r="W33" s="568"/>
      <c r="X33" s="568"/>
      <c r="Y33" s="568"/>
      <c r="Z33" s="568"/>
      <c r="AA33" s="568"/>
      <c r="AB33" s="568"/>
      <c r="AC33" s="568"/>
      <c r="AD33" s="568"/>
      <c r="AE33" s="570"/>
      <c r="AF33" s="532"/>
    </row>
    <row r="34" spans="1:32" ht="0.15" hidden="1" customHeight="1" x14ac:dyDescent="0.25">
      <c r="D34" s="222">
        <f ca="1">IF($Q32=2,IF(AND(ACOMPANHAMENTO="PLE",ISNUMBER($E32)),SUMIF((OFFSET(CÁLCULO!$AM$15:$AW$15,$E32,0,OFFSET(ORÇAMENTO!$D$15,CRONO!$E32,0))),"="&amp;CRONO!D$12,OFFSET(CÁLCULO!$AB$15:$AL$15,$E32,0,OFFSET(ORÇAMENTO!$D$15,CRONO!$E32,0)))+IF(AND($E34&lt;&gt;"",$E34&lt;&gt;0),SUMIF(CÁLCULO!$AM$15:$AW$32,"="&amp;CRONO!D$12,CÁLCULO!$AB$15:$AL$32)/(ORÇAMENTO!$X$15-CÁLCULO.TotalAdmLocal)*CRONO!$E34,0),D33*$R32),SUMIF(OFFSET($R34,1,0,$Q32-2),($L32+1)&amp;"$",OFFSET(D34,1,0,$Q32-2)))</f>
        <v>0</v>
      </c>
      <c r="E34" s="203" t="str">
        <f ca="1">IF(OR($Q32&lt;&gt;2,AUTOEVENTO&lt;&gt;"manual",$E33&gt;0),"",SUMIF(OFFSET(CÁLCULO!$M$15,CRONO!$E32,0,OFFSET(ORÇAMENTO!$D$15,CRONO!$E32,0)),1,OFFSET(ORÇAMENTO!$X$15,CRONO!$E32,0,OFFSET(ORÇAMENTO!$D$15,CRONO!$E32,0))))</f>
        <v/>
      </c>
      <c r="G34" s="223"/>
      <c r="R34" s="224" t="str">
        <f t="shared" ref="R34" ca="1" si="51">L32&amp;"$"</f>
        <v>1$</v>
      </c>
      <c r="S34" s="225"/>
      <c r="T34" s="226">
        <f ca="1">IF($Q32=2,IF(AND(ACOMPANHAMENTO="PLE",ISNUMBER($E32)),SUMIF((OFFSET(CÁLCULO!$AM$15:$AW$15,$E32,0,OFFSET(ORÇAMENTO!$D$15,CRONO!$E32,0))),"&lt;="&amp;CRONO!T$12,OFFSET(CÁLCULO!$AB$15:$AL$15,$E32,0,OFFSET(ORÇAMENTO!$D$15,CRONO!$E32,0)))+IF(AND($E34&lt;&gt;"",$E34&lt;&gt;0),SUMIF(CÁLCULO!$AM$15:$AW$32,"&lt;="&amp;CRONO!T$12,CÁLCULO!$AB$15:$AL$32)/(ORÇAMENTO!$X$15-CÁLCULO.TotalAdmLocal)*CRONO!$E34,0),T33*$R32),SUMIF(OFFSET($R34,1,0,$Q32-2),($L32+1)&amp;"$",OFFSET(T34,1,0,$Q32-2)))</f>
        <v>0</v>
      </c>
      <c r="U34" s="222">
        <f ca="1">IF($Q32=2,IF(AND(ACOMPANHAMENTO="PLE",ISNUMBER($E32)),SUMIF((OFFSET(CÁLCULO!$AM$15:$AW$15,$E32,0,OFFSET(ORÇAMENTO!$D$15,CRONO!$E32,0))),"="&amp;CRONO!U$12,OFFSET(CÁLCULO!$AB$15:$AL$15,$E32,0,OFFSET(ORÇAMENTO!$D$15,CRONO!$E32,0)))+IF(AND($E34&lt;&gt;"",$E34&lt;&gt;0),SUMIF(CÁLCULO!$AM$15:$AW$32,"="&amp;CRONO!U$12,CÁLCULO!$AB$15:$AL$32)/(ORÇAMENTO!$X$15-CÁLCULO.TotalAdmLocal)*CRONO!$E34,0),U33*$R32),SUMIF(OFFSET($R34,1,0,$Q32-2),($L32+1)&amp;"$",OFFSET(U34,1,0,$Q32-2)))</f>
        <v>0</v>
      </c>
      <c r="V34" s="222">
        <f ca="1">IF($Q32=2,IF(AND(ACOMPANHAMENTO="PLE",ISNUMBER($E32)),SUMIF((OFFSET(CÁLCULO!$AM$15:$AW$15,$E32,0,OFFSET(ORÇAMENTO!$D$15,CRONO!$E32,0))),"="&amp;CRONO!V$12,OFFSET(CÁLCULO!$AB$15:$AL$15,$E32,0,OFFSET(ORÇAMENTO!$D$15,CRONO!$E32,0)))+IF(AND($E34&lt;&gt;"",$E34&lt;&gt;0),SUMIF(CÁLCULO!$AM$15:$AW$32,"="&amp;CRONO!V$12,CÁLCULO!$AB$15:$AL$32)/(ORÇAMENTO!$X$15-CÁLCULO.TotalAdmLocal)*CRONO!$E34,0),V33*$R32),SUMIF(OFFSET($R34,1,0,$Q32-2),($L32+1)&amp;"$",OFFSET(V34,1,0,$Q32-2)))</f>
        <v>0</v>
      </c>
      <c r="W34" s="222">
        <f ca="1">IF($Q32=2,IF(AND(ACOMPANHAMENTO="PLE",ISNUMBER($E32)),SUMIF((OFFSET(CÁLCULO!$AM$15:$AW$15,$E32,0,OFFSET(ORÇAMENTO!$D$15,CRONO!$E32,0))),"="&amp;CRONO!W$12,OFFSET(CÁLCULO!$AB$15:$AL$15,$E32,0,OFFSET(ORÇAMENTO!$D$15,CRONO!$E32,0)))+IF(AND($E34&lt;&gt;"",$E34&lt;&gt;0),SUMIF(CÁLCULO!$AM$15:$AW$32,"="&amp;CRONO!W$12,CÁLCULO!$AB$15:$AL$32)/(ORÇAMENTO!$X$15-CÁLCULO.TotalAdmLocal)*CRONO!$E34,0),W33*$R32),SUMIF(OFFSET($R34,1,0,$Q32-2),($L32+1)&amp;"$",OFFSET(W34,1,0,$Q32-2)))</f>
        <v>0</v>
      </c>
      <c r="X34" s="222">
        <f ca="1">IF($Q32=2,IF(AND(ACOMPANHAMENTO="PLE",ISNUMBER($E32)),SUMIF((OFFSET(CÁLCULO!$AM$15:$AW$15,$E32,0,OFFSET(ORÇAMENTO!$D$15,CRONO!$E32,0))),"="&amp;CRONO!X$12,OFFSET(CÁLCULO!$AB$15:$AL$15,$E32,0,OFFSET(ORÇAMENTO!$D$15,CRONO!$E32,0)))+IF(AND($E34&lt;&gt;"",$E34&lt;&gt;0),SUMIF(CÁLCULO!$AM$15:$AW$32,"="&amp;CRONO!X$12,CÁLCULO!$AB$15:$AL$32)/(ORÇAMENTO!$X$15-CÁLCULO.TotalAdmLocal)*CRONO!$E34,0),X33*$R32),SUMIF(OFFSET($R34,1,0,$Q32-2),($L32+1)&amp;"$",OFFSET(X34,1,0,$Q32-2)))</f>
        <v>0</v>
      </c>
      <c r="Y34" s="222">
        <f ca="1">IF($Q32=2,IF(AND(ACOMPANHAMENTO="PLE",ISNUMBER($E32)),SUMIF((OFFSET(CÁLCULO!$AM$15:$AW$15,$E32,0,OFFSET(ORÇAMENTO!$D$15,CRONO!$E32,0))),"="&amp;CRONO!Y$12,OFFSET(CÁLCULO!$AB$15:$AL$15,$E32,0,OFFSET(ORÇAMENTO!$D$15,CRONO!$E32,0)))+IF(AND($E34&lt;&gt;"",$E34&lt;&gt;0),SUMIF(CÁLCULO!$AM$15:$AW$32,"="&amp;CRONO!Y$12,CÁLCULO!$AB$15:$AL$32)/(ORÇAMENTO!$X$15-CÁLCULO.TotalAdmLocal)*CRONO!$E34,0),Y33*$R32),SUMIF(OFFSET($R34,1,0,$Q32-2),($L32+1)&amp;"$",OFFSET(Y34,1,0,$Q32-2)))</f>
        <v>0</v>
      </c>
      <c r="Z34" s="222">
        <f ca="1">IF($Q32=2,IF(AND(ACOMPANHAMENTO="PLE",ISNUMBER($E32)),SUMIF((OFFSET(CÁLCULO!$AM$15:$AW$15,$E32,0,OFFSET(ORÇAMENTO!$D$15,CRONO!$E32,0))),"="&amp;CRONO!Z$12,OFFSET(CÁLCULO!$AB$15:$AL$15,$E32,0,OFFSET(ORÇAMENTO!$D$15,CRONO!$E32,0)))+IF(AND($E34&lt;&gt;"",$E34&lt;&gt;0),SUMIF(CÁLCULO!$AM$15:$AW$32,"="&amp;CRONO!Z$12,CÁLCULO!$AB$15:$AL$32)/(ORÇAMENTO!$X$15-CÁLCULO.TotalAdmLocal)*CRONO!$E34,0),Z33*$R32),SUMIF(OFFSET($R34,1,0,$Q32-2),($L32+1)&amp;"$",OFFSET(Z34,1,0,$Q32-2)))</f>
        <v>0</v>
      </c>
      <c r="AA34" s="222">
        <f ca="1">IF($Q32=2,IF(AND(ACOMPANHAMENTO="PLE",ISNUMBER($E32)),SUMIF((OFFSET(CÁLCULO!$AM$15:$AW$15,$E32,0,OFFSET(ORÇAMENTO!$D$15,CRONO!$E32,0))),"="&amp;CRONO!AA$12,OFFSET(CÁLCULO!$AB$15:$AL$15,$E32,0,OFFSET(ORÇAMENTO!$D$15,CRONO!$E32,0)))+IF(AND($E34&lt;&gt;"",$E34&lt;&gt;0),SUMIF(CÁLCULO!$AM$15:$AW$32,"="&amp;CRONO!AA$12,CÁLCULO!$AB$15:$AL$32)/(ORÇAMENTO!$X$15-CÁLCULO.TotalAdmLocal)*CRONO!$E34,0),AA33*$R32),SUMIF(OFFSET($R34,1,0,$Q32-2),($L32+1)&amp;"$",OFFSET(AA34,1,0,$Q32-2)))</f>
        <v>0</v>
      </c>
      <c r="AB34" s="222">
        <f ca="1">IF($Q32=2,IF(AND(ACOMPANHAMENTO="PLE",ISNUMBER($E32)),SUMIF((OFFSET(CÁLCULO!$AM$15:$AW$15,$E32,0,OFFSET(ORÇAMENTO!$D$15,CRONO!$E32,0))),"="&amp;CRONO!AB$12,OFFSET(CÁLCULO!$AB$15:$AL$15,$E32,0,OFFSET(ORÇAMENTO!$D$15,CRONO!$E32,0)))+IF(AND($E34&lt;&gt;"",$E34&lt;&gt;0),SUMIF(CÁLCULO!$AM$15:$AW$32,"="&amp;CRONO!AB$12,CÁLCULO!$AB$15:$AL$32)/(ORÇAMENTO!$X$15-CÁLCULO.TotalAdmLocal)*CRONO!$E34,0),AB33*$R32),SUMIF(OFFSET($R34,1,0,$Q32-2),($L32+1)&amp;"$",OFFSET(AB34,1,0,$Q32-2)))</f>
        <v>0</v>
      </c>
      <c r="AC34" s="222">
        <f ca="1">IF($Q32=2,IF(AND(ACOMPANHAMENTO="PLE",ISNUMBER($E32)),SUMIF((OFFSET(CÁLCULO!$AM$15:$AW$15,$E32,0,OFFSET(ORÇAMENTO!$D$15,CRONO!$E32,0))),"="&amp;CRONO!AC$12,OFFSET(CÁLCULO!$AB$15:$AL$15,$E32,0,OFFSET(ORÇAMENTO!$D$15,CRONO!$E32,0)))+IF(AND($E34&lt;&gt;"",$E34&lt;&gt;0),SUMIF(CÁLCULO!$AM$15:$AW$32,"="&amp;CRONO!AC$12,CÁLCULO!$AB$15:$AL$32)/(ORÇAMENTO!$X$15-CÁLCULO.TotalAdmLocal)*CRONO!$E34,0),AC33*$R32),SUMIF(OFFSET($R34,1,0,$Q32-2),($L32+1)&amp;"$",OFFSET(AC34,1,0,$Q32-2)))</f>
        <v>0</v>
      </c>
      <c r="AD34" s="222">
        <f ca="1">IF($Q32=2,IF(AND(ACOMPANHAMENTO="PLE",ISNUMBER($E32)),SUMIF((OFFSET(CÁLCULO!$AM$15:$AW$15,$E32,0,OFFSET(ORÇAMENTO!$D$15,CRONO!$E32,0))),"="&amp;CRONO!AD$12,OFFSET(CÁLCULO!$AB$15:$AL$15,$E32,0,OFFSET(ORÇAMENTO!$D$15,CRONO!$E32,0)))+IF(AND($E34&lt;&gt;"",$E34&lt;&gt;0),SUMIF(CÁLCULO!$AM$15:$AW$32,"="&amp;CRONO!AD$12,CÁLCULO!$AB$15:$AL$32)/(ORÇAMENTO!$X$15-CÁLCULO.TotalAdmLocal)*CRONO!$E34,0),AD33*$R32),SUMIF(OFFSET($R34,1,0,$Q32-2),($L32+1)&amp;"$",OFFSET(AD34,1,0,$Q32-2)))</f>
        <v>0</v>
      </c>
      <c r="AE34" s="227">
        <f ca="1">IF($Q32=2,IF(AND(ACOMPANHAMENTO="PLE",ISNUMBER($E32)),SUMIF((OFFSET(CÁLCULO!$AM$15:$AW$15,$E32,0,OFFSET(ORÇAMENTO!$D$15,CRONO!$E32,0))),"="&amp;CRONO!AE$12,OFFSET(CÁLCULO!$AB$15:$AL$15,$E32,0,OFFSET(ORÇAMENTO!$D$15,CRONO!$E32,0)))+IF(AND($E34&lt;&gt;"",$E34&lt;&gt;0),SUMIF(CÁLCULO!$AM$15:$AW$32,"="&amp;CRONO!AE$12,CÁLCULO!$AB$15:$AL$32)/(ORÇAMENTO!$X$15-CÁLCULO.TotalAdmLocal)*CRONO!$E34,0),AE33*$R32),SUMIF(OFFSET($R34,1,0,$Q32-2),($L32+1)&amp;"$",OFFSET(AE34,1,0,$Q32-2)))</f>
        <v>0</v>
      </c>
    </row>
    <row r="35" spans="1:32" hidden="1" x14ac:dyDescent="0.25">
      <c r="A35" s="203">
        <f t="shared" ref="A35" ca="1" si="52">OFFSET(A35,-3,0)+1</f>
        <v>8</v>
      </c>
      <c r="B35" s="203">
        <f ca="1">IF($Q35&lt;&gt;2,0,IF($R35=0,1,IF(E36&gt;0,OFFSET(QCI!$M$13,SUBSTITUTE(E36,".",""),0),OFFSET(ORÇAMENTO!$AA$15,CRONO!$E35,0))/$R35))</f>
        <v>1</v>
      </c>
      <c r="C35" s="203">
        <f ca="1">IF($Q35&lt;&gt;2,0,IF($R35=0,1,IF(E36&gt;0,OFFSET(QCI!$N$13,SUBSTITUTE(E36,".",""),0),OFFSET(ORÇAMENTO!$AB$15,CRONO!$E35,0))/$R35))</f>
        <v>1</v>
      </c>
      <c r="D35" s="206" t="e">
        <f ca="1">IF(AND($Q35=2,ACOMPANHAMENTO="BM"),D36,D37/$R35)</f>
        <v>#DIV/0!</v>
      </c>
      <c r="E35" s="203" t="e">
        <f ca="1">IF(A35&lt;=ORÇAMENTO.MáximoListaCrono,MATCH(A35,ORÇAMENTO.ListaCrono,0),NA())</f>
        <v>#N/A</v>
      </c>
      <c r="F35" s="203" t="str">
        <f t="shared" ref="F35" ca="1" si="53">IF(AND($E36&lt;&gt;-1,$R35&gt;0),"F","")</f>
        <v/>
      </c>
      <c r="G35" s="207" t="str">
        <f ca="1">IF(OR(R35=0,R35=""),"Linha",IF(AND(OR(ACOMPANHAMENTO="PLE",$Q35&lt;&gt;2),$E36=0),"Linha",1-SUM(T35:AF35)))</f>
        <v>Linha</v>
      </c>
      <c r="H35" s="208">
        <f ca="1">IF($E36=0,OFFSET(ORÇAMENTO!O$15,$E35,0),IF($E36&lt;&gt;-1,OFFSET(QCI!$D$13,$E36,0),""))</f>
        <v>5</v>
      </c>
      <c r="I35" s="209" t="str">
        <f ca="1">IF($E36=0,OFFSET(ORÇAMENTO!R$15,$E35,0),IF($E36&lt;&gt;-1,OFFSET(QCI!$G$13,$E36,0),""))</f>
        <v/>
      </c>
      <c r="J35" s="209"/>
      <c r="K35" s="209"/>
      <c r="L35" s="210">
        <f ca="1">IF($E36=0,OFFSET(ORÇAMENTO!C$15,$E35,0),1)</f>
        <v>1</v>
      </c>
      <c r="M35" s="211">
        <f ca="1">IF($E36=-1,0,IF(M$13&lt;=$L35,IF(ISERROR(MATCH(M$13,OFFSET($L35,1,0,ROW($L$164)-ROW($L35)-1),0)),ROW($L$164)-ROW($L35)-1,MATCH(M$13,OFFSET($L35,1,0,ROW($L$164)-ROW($L35)-1),0)-1),0))</f>
        <v>2</v>
      </c>
      <c r="N35" s="211">
        <f ca="1">IF($E36=-1,0,IF(N$13&lt;=$L35,IF(ISERROR(MATCH(N$13,OFFSET($L35,1,0,ROW($L$164)-ROW($L35)-1),0)),ROW($L$164)-ROW($L35)-1,MATCH(N$13,OFFSET($L35,1,0,ROW($L$164)-ROW($L35)-1),0)-1),0))</f>
        <v>0</v>
      </c>
      <c r="O35" s="211">
        <f ca="1">IF($E36=-1,0,IF(O$13&lt;=$L35,IF(ISERROR(MATCH(O$13,OFFSET($L35,1,0,ROW($L$164)-ROW($L35)-1),0)),ROW($L$164)-ROW($L35)-1,MATCH(O$13,OFFSET($L35,1,0,ROW($L$164)-ROW($L35)-1),0)-1),0))</f>
        <v>0</v>
      </c>
      <c r="P35" s="211">
        <f ca="1">IF($E36=-1,0,IF(P$13&lt;=$L35,IF(ISERROR(MATCH(P$13,OFFSET($L35,1,0,ROW($L$164)-ROW($L35)-1),0)),ROW($L$164)-ROW($L35)-1,MATCH(P$13,OFFSET($L35,1,0,ROW($L$164)-ROW($L35)-1),0)-1),0))</f>
        <v>0</v>
      </c>
      <c r="Q35" s="211">
        <f t="shared" ref="Q35" ca="1" si="54">MIN(OFFSET(L35,0,1,,L35))</f>
        <v>2</v>
      </c>
      <c r="R35" s="212">
        <f ca="1">IF($E36=0,OFFSET(ORÇAMENTO!X$15,$E35,0),IF($E36&lt;&gt;-1,OFFSET(QCI!$O$13,$E36,0),""))</f>
        <v>0</v>
      </c>
      <c r="S35" s="213" t="s">
        <v>270</v>
      </c>
      <c r="T35" s="214" t="e">
        <f t="shared" ref="T35:AE35" ca="1" si="55">IF(AND($Q35=2,ACOMPANHAMENTO="BM"),T36,T37/$R35)</f>
        <v>#DIV/0!</v>
      </c>
      <c r="U35" s="206" t="e">
        <f t="shared" ca="1" si="55"/>
        <v>#DIV/0!</v>
      </c>
      <c r="V35" s="206" t="e">
        <f t="shared" ca="1" si="55"/>
        <v>#DIV/0!</v>
      </c>
      <c r="W35" s="206" t="e">
        <f t="shared" ca="1" si="55"/>
        <v>#DIV/0!</v>
      </c>
      <c r="X35" s="206" t="e">
        <f t="shared" ca="1" si="55"/>
        <v>#DIV/0!</v>
      </c>
      <c r="Y35" s="206" t="e">
        <f t="shared" ca="1" si="55"/>
        <v>#DIV/0!</v>
      </c>
      <c r="Z35" s="206" t="e">
        <f t="shared" ca="1" si="55"/>
        <v>#DIV/0!</v>
      </c>
      <c r="AA35" s="206" t="e">
        <f t="shared" ca="1" si="55"/>
        <v>#DIV/0!</v>
      </c>
      <c r="AB35" s="206" t="e">
        <f t="shared" ca="1" si="55"/>
        <v>#DIV/0!</v>
      </c>
      <c r="AC35" s="206" t="e">
        <f t="shared" ca="1" si="55"/>
        <v>#DIV/0!</v>
      </c>
      <c r="AD35" s="206" t="e">
        <f t="shared" ca="1" si="55"/>
        <v>#DIV/0!</v>
      </c>
      <c r="AE35" s="215" t="e">
        <f t="shared" ca="1" si="55"/>
        <v>#DIV/0!</v>
      </c>
    </row>
    <row r="36" spans="1:32" ht="12.75" hidden="1" customHeight="1" x14ac:dyDescent="0.25">
      <c r="D36" s="568"/>
      <c r="E36" s="203">
        <f ca="1">IF(ISERROR(E35),IF(1+COUNTIF($L$13:OFFSET(L35,-1,0),1)&lt;=MAX(QCI!$D$13:$D$24),1+COUNTIF($L$13:OFFSET(L35,-1,0),1),-1),0)</f>
        <v>5</v>
      </c>
      <c r="F36" s="203" t="str">
        <f t="shared" ref="F36" ca="1" si="56">IF(AND($E36&lt;&gt;-1,$R35&gt;0),"F","")</f>
        <v/>
      </c>
      <c r="G36" s="216" t="str">
        <f ca="1">IF(OR(R35=0,R35=""),"vazia",IF(AND(OR(ACOMPANHAMENTO="PLE",$Q35&lt;&gt;2),$E36=0),"calculada","--&gt;"))</f>
        <v>vazia</v>
      </c>
      <c r="H36" s="217"/>
      <c r="I36" s="218" t="str">
        <f t="shared" ref="I36" ca="1" si="57">IF(AND(G35&lt;&gt;0,ISNUMBER(G35)),"PREENCHA ESTA LINHA --&gt;","")</f>
        <v/>
      </c>
      <c r="J36" s="218"/>
      <c r="K36" s="218"/>
      <c r="L36" s="219"/>
      <c r="M36" s="219"/>
      <c r="N36" s="219"/>
      <c r="O36" s="219"/>
      <c r="P36" s="219"/>
      <c r="Q36" s="219"/>
      <c r="R36" s="220"/>
      <c r="S36" s="221"/>
      <c r="T36" s="569"/>
      <c r="U36" s="568"/>
      <c r="V36" s="568"/>
      <c r="W36" s="568"/>
      <c r="X36" s="568"/>
      <c r="Y36" s="568"/>
      <c r="Z36" s="568"/>
      <c r="AA36" s="568"/>
      <c r="AB36" s="568"/>
      <c r="AC36" s="568"/>
      <c r="AD36" s="568"/>
      <c r="AE36" s="570"/>
      <c r="AF36" s="532"/>
    </row>
    <row r="37" spans="1:32" ht="0.15" hidden="1" customHeight="1" x14ac:dyDescent="0.25">
      <c r="D37" s="222">
        <f ca="1">IF($Q35=2,IF(AND(ACOMPANHAMENTO="PLE",ISNUMBER($E35)),SUMIF((OFFSET(CÁLCULO!$AM$15:$AW$15,$E35,0,OFFSET(ORÇAMENTO!$D$15,CRONO!$E35,0))),"="&amp;CRONO!D$12,OFFSET(CÁLCULO!$AB$15:$AL$15,$E35,0,OFFSET(ORÇAMENTO!$D$15,CRONO!$E35,0)))+IF(AND($E37&lt;&gt;"",$E37&lt;&gt;0),SUMIF(CÁLCULO!$AM$15:$AW$32,"="&amp;CRONO!D$12,CÁLCULO!$AB$15:$AL$32)/(ORÇAMENTO!$X$15-CÁLCULO.TotalAdmLocal)*CRONO!$E37,0),D36*$R35),SUMIF(OFFSET($R37,1,0,$Q35-2),($L35+1)&amp;"$",OFFSET(D37,1,0,$Q35-2)))</f>
        <v>0</v>
      </c>
      <c r="E37" s="203" t="str">
        <f ca="1">IF(OR($Q35&lt;&gt;2,AUTOEVENTO&lt;&gt;"manual",$E36&gt;0),"",SUMIF(OFFSET(CÁLCULO!$M$15,CRONO!$E35,0,OFFSET(ORÇAMENTO!$D$15,CRONO!$E35,0)),1,OFFSET(ORÇAMENTO!$X$15,CRONO!$E35,0,OFFSET(ORÇAMENTO!$D$15,CRONO!$E35,0))))</f>
        <v/>
      </c>
      <c r="G37" s="223"/>
      <c r="R37" s="224" t="str">
        <f t="shared" ref="R37" ca="1" si="58">L35&amp;"$"</f>
        <v>1$</v>
      </c>
      <c r="S37" s="225"/>
      <c r="T37" s="226">
        <f ca="1">IF($Q35=2,IF(AND(ACOMPANHAMENTO="PLE",ISNUMBER($E35)),SUMIF((OFFSET(CÁLCULO!$AM$15:$AW$15,$E35,0,OFFSET(ORÇAMENTO!$D$15,CRONO!$E35,0))),"&lt;="&amp;CRONO!T$12,OFFSET(CÁLCULO!$AB$15:$AL$15,$E35,0,OFFSET(ORÇAMENTO!$D$15,CRONO!$E35,0)))+IF(AND($E37&lt;&gt;"",$E37&lt;&gt;0),SUMIF(CÁLCULO!$AM$15:$AW$32,"&lt;="&amp;CRONO!T$12,CÁLCULO!$AB$15:$AL$32)/(ORÇAMENTO!$X$15-CÁLCULO.TotalAdmLocal)*CRONO!$E37,0),T36*$R35),SUMIF(OFFSET($R37,1,0,$Q35-2),($L35+1)&amp;"$",OFFSET(T37,1,0,$Q35-2)))</f>
        <v>0</v>
      </c>
      <c r="U37" s="222">
        <f ca="1">IF($Q35=2,IF(AND(ACOMPANHAMENTO="PLE",ISNUMBER($E35)),SUMIF((OFFSET(CÁLCULO!$AM$15:$AW$15,$E35,0,OFFSET(ORÇAMENTO!$D$15,CRONO!$E35,0))),"="&amp;CRONO!U$12,OFFSET(CÁLCULO!$AB$15:$AL$15,$E35,0,OFFSET(ORÇAMENTO!$D$15,CRONO!$E35,0)))+IF(AND($E37&lt;&gt;"",$E37&lt;&gt;0),SUMIF(CÁLCULO!$AM$15:$AW$32,"="&amp;CRONO!U$12,CÁLCULO!$AB$15:$AL$32)/(ORÇAMENTO!$X$15-CÁLCULO.TotalAdmLocal)*CRONO!$E37,0),U36*$R35),SUMIF(OFFSET($R37,1,0,$Q35-2),($L35+1)&amp;"$",OFFSET(U37,1,0,$Q35-2)))</f>
        <v>0</v>
      </c>
      <c r="V37" s="222">
        <f ca="1">IF($Q35=2,IF(AND(ACOMPANHAMENTO="PLE",ISNUMBER($E35)),SUMIF((OFFSET(CÁLCULO!$AM$15:$AW$15,$E35,0,OFFSET(ORÇAMENTO!$D$15,CRONO!$E35,0))),"="&amp;CRONO!V$12,OFFSET(CÁLCULO!$AB$15:$AL$15,$E35,0,OFFSET(ORÇAMENTO!$D$15,CRONO!$E35,0)))+IF(AND($E37&lt;&gt;"",$E37&lt;&gt;0),SUMIF(CÁLCULO!$AM$15:$AW$32,"="&amp;CRONO!V$12,CÁLCULO!$AB$15:$AL$32)/(ORÇAMENTO!$X$15-CÁLCULO.TotalAdmLocal)*CRONO!$E37,0),V36*$R35),SUMIF(OFFSET($R37,1,0,$Q35-2),($L35+1)&amp;"$",OFFSET(V37,1,0,$Q35-2)))</f>
        <v>0</v>
      </c>
      <c r="W37" s="222">
        <f ca="1">IF($Q35=2,IF(AND(ACOMPANHAMENTO="PLE",ISNUMBER($E35)),SUMIF((OFFSET(CÁLCULO!$AM$15:$AW$15,$E35,0,OFFSET(ORÇAMENTO!$D$15,CRONO!$E35,0))),"="&amp;CRONO!W$12,OFFSET(CÁLCULO!$AB$15:$AL$15,$E35,0,OFFSET(ORÇAMENTO!$D$15,CRONO!$E35,0)))+IF(AND($E37&lt;&gt;"",$E37&lt;&gt;0),SUMIF(CÁLCULO!$AM$15:$AW$32,"="&amp;CRONO!W$12,CÁLCULO!$AB$15:$AL$32)/(ORÇAMENTO!$X$15-CÁLCULO.TotalAdmLocal)*CRONO!$E37,0),W36*$R35),SUMIF(OFFSET($R37,1,0,$Q35-2),($L35+1)&amp;"$",OFFSET(W37,1,0,$Q35-2)))</f>
        <v>0</v>
      </c>
      <c r="X37" s="222">
        <f ca="1">IF($Q35=2,IF(AND(ACOMPANHAMENTO="PLE",ISNUMBER($E35)),SUMIF((OFFSET(CÁLCULO!$AM$15:$AW$15,$E35,0,OFFSET(ORÇAMENTO!$D$15,CRONO!$E35,0))),"="&amp;CRONO!X$12,OFFSET(CÁLCULO!$AB$15:$AL$15,$E35,0,OFFSET(ORÇAMENTO!$D$15,CRONO!$E35,0)))+IF(AND($E37&lt;&gt;"",$E37&lt;&gt;0),SUMIF(CÁLCULO!$AM$15:$AW$32,"="&amp;CRONO!X$12,CÁLCULO!$AB$15:$AL$32)/(ORÇAMENTO!$X$15-CÁLCULO.TotalAdmLocal)*CRONO!$E37,0),X36*$R35),SUMIF(OFFSET($R37,1,0,$Q35-2),($L35+1)&amp;"$",OFFSET(X37,1,0,$Q35-2)))</f>
        <v>0</v>
      </c>
      <c r="Y37" s="222">
        <f ca="1">IF($Q35=2,IF(AND(ACOMPANHAMENTO="PLE",ISNUMBER($E35)),SUMIF((OFFSET(CÁLCULO!$AM$15:$AW$15,$E35,0,OFFSET(ORÇAMENTO!$D$15,CRONO!$E35,0))),"="&amp;CRONO!Y$12,OFFSET(CÁLCULO!$AB$15:$AL$15,$E35,0,OFFSET(ORÇAMENTO!$D$15,CRONO!$E35,0)))+IF(AND($E37&lt;&gt;"",$E37&lt;&gt;0),SUMIF(CÁLCULO!$AM$15:$AW$32,"="&amp;CRONO!Y$12,CÁLCULO!$AB$15:$AL$32)/(ORÇAMENTO!$X$15-CÁLCULO.TotalAdmLocal)*CRONO!$E37,0),Y36*$R35),SUMIF(OFFSET($R37,1,0,$Q35-2),($L35+1)&amp;"$",OFFSET(Y37,1,0,$Q35-2)))</f>
        <v>0</v>
      </c>
      <c r="Z37" s="222">
        <f ca="1">IF($Q35=2,IF(AND(ACOMPANHAMENTO="PLE",ISNUMBER($E35)),SUMIF((OFFSET(CÁLCULO!$AM$15:$AW$15,$E35,0,OFFSET(ORÇAMENTO!$D$15,CRONO!$E35,0))),"="&amp;CRONO!Z$12,OFFSET(CÁLCULO!$AB$15:$AL$15,$E35,0,OFFSET(ORÇAMENTO!$D$15,CRONO!$E35,0)))+IF(AND($E37&lt;&gt;"",$E37&lt;&gt;0),SUMIF(CÁLCULO!$AM$15:$AW$32,"="&amp;CRONO!Z$12,CÁLCULO!$AB$15:$AL$32)/(ORÇAMENTO!$X$15-CÁLCULO.TotalAdmLocal)*CRONO!$E37,0),Z36*$R35),SUMIF(OFFSET($R37,1,0,$Q35-2),($L35+1)&amp;"$",OFFSET(Z37,1,0,$Q35-2)))</f>
        <v>0</v>
      </c>
      <c r="AA37" s="222">
        <f ca="1">IF($Q35=2,IF(AND(ACOMPANHAMENTO="PLE",ISNUMBER($E35)),SUMIF((OFFSET(CÁLCULO!$AM$15:$AW$15,$E35,0,OFFSET(ORÇAMENTO!$D$15,CRONO!$E35,0))),"="&amp;CRONO!AA$12,OFFSET(CÁLCULO!$AB$15:$AL$15,$E35,0,OFFSET(ORÇAMENTO!$D$15,CRONO!$E35,0)))+IF(AND($E37&lt;&gt;"",$E37&lt;&gt;0),SUMIF(CÁLCULO!$AM$15:$AW$32,"="&amp;CRONO!AA$12,CÁLCULO!$AB$15:$AL$32)/(ORÇAMENTO!$X$15-CÁLCULO.TotalAdmLocal)*CRONO!$E37,0),AA36*$R35),SUMIF(OFFSET($R37,1,0,$Q35-2),($L35+1)&amp;"$",OFFSET(AA37,1,0,$Q35-2)))</f>
        <v>0</v>
      </c>
      <c r="AB37" s="222">
        <f ca="1">IF($Q35=2,IF(AND(ACOMPANHAMENTO="PLE",ISNUMBER($E35)),SUMIF((OFFSET(CÁLCULO!$AM$15:$AW$15,$E35,0,OFFSET(ORÇAMENTO!$D$15,CRONO!$E35,0))),"="&amp;CRONO!AB$12,OFFSET(CÁLCULO!$AB$15:$AL$15,$E35,0,OFFSET(ORÇAMENTO!$D$15,CRONO!$E35,0)))+IF(AND($E37&lt;&gt;"",$E37&lt;&gt;0),SUMIF(CÁLCULO!$AM$15:$AW$32,"="&amp;CRONO!AB$12,CÁLCULO!$AB$15:$AL$32)/(ORÇAMENTO!$X$15-CÁLCULO.TotalAdmLocal)*CRONO!$E37,0),AB36*$R35),SUMIF(OFFSET($R37,1,0,$Q35-2),($L35+1)&amp;"$",OFFSET(AB37,1,0,$Q35-2)))</f>
        <v>0</v>
      </c>
      <c r="AC37" s="222">
        <f ca="1">IF($Q35=2,IF(AND(ACOMPANHAMENTO="PLE",ISNUMBER($E35)),SUMIF((OFFSET(CÁLCULO!$AM$15:$AW$15,$E35,0,OFFSET(ORÇAMENTO!$D$15,CRONO!$E35,0))),"="&amp;CRONO!AC$12,OFFSET(CÁLCULO!$AB$15:$AL$15,$E35,0,OFFSET(ORÇAMENTO!$D$15,CRONO!$E35,0)))+IF(AND($E37&lt;&gt;"",$E37&lt;&gt;0),SUMIF(CÁLCULO!$AM$15:$AW$32,"="&amp;CRONO!AC$12,CÁLCULO!$AB$15:$AL$32)/(ORÇAMENTO!$X$15-CÁLCULO.TotalAdmLocal)*CRONO!$E37,0),AC36*$R35),SUMIF(OFFSET($R37,1,0,$Q35-2),($L35+1)&amp;"$",OFFSET(AC37,1,0,$Q35-2)))</f>
        <v>0</v>
      </c>
      <c r="AD37" s="222">
        <f ca="1">IF($Q35=2,IF(AND(ACOMPANHAMENTO="PLE",ISNUMBER($E35)),SUMIF((OFFSET(CÁLCULO!$AM$15:$AW$15,$E35,0,OFFSET(ORÇAMENTO!$D$15,CRONO!$E35,0))),"="&amp;CRONO!AD$12,OFFSET(CÁLCULO!$AB$15:$AL$15,$E35,0,OFFSET(ORÇAMENTO!$D$15,CRONO!$E35,0)))+IF(AND($E37&lt;&gt;"",$E37&lt;&gt;0),SUMIF(CÁLCULO!$AM$15:$AW$32,"="&amp;CRONO!AD$12,CÁLCULO!$AB$15:$AL$32)/(ORÇAMENTO!$X$15-CÁLCULO.TotalAdmLocal)*CRONO!$E37,0),AD36*$R35),SUMIF(OFFSET($R37,1,0,$Q35-2),($L35+1)&amp;"$",OFFSET(AD37,1,0,$Q35-2)))</f>
        <v>0</v>
      </c>
      <c r="AE37" s="227">
        <f ca="1">IF($Q35=2,IF(AND(ACOMPANHAMENTO="PLE",ISNUMBER($E35)),SUMIF((OFFSET(CÁLCULO!$AM$15:$AW$15,$E35,0,OFFSET(ORÇAMENTO!$D$15,CRONO!$E35,0))),"="&amp;CRONO!AE$12,OFFSET(CÁLCULO!$AB$15:$AL$15,$E35,0,OFFSET(ORÇAMENTO!$D$15,CRONO!$E35,0)))+IF(AND($E37&lt;&gt;"",$E37&lt;&gt;0),SUMIF(CÁLCULO!$AM$15:$AW$32,"="&amp;CRONO!AE$12,CÁLCULO!$AB$15:$AL$32)/(ORÇAMENTO!$X$15-CÁLCULO.TotalAdmLocal)*CRONO!$E37,0),AE36*$R35),SUMIF(OFFSET($R37,1,0,$Q35-2),($L35+1)&amp;"$",OFFSET(AE37,1,0,$Q35-2)))</f>
        <v>0</v>
      </c>
    </row>
    <row r="38" spans="1:32" hidden="1" x14ac:dyDescent="0.25">
      <c r="A38" s="203">
        <f t="shared" ref="A38" ca="1" si="59">OFFSET(A38,-3,0)+1</f>
        <v>9</v>
      </c>
      <c r="B38" s="203">
        <f ca="1">IF($Q38&lt;&gt;2,0,IF($R38=0,1,IF(E39&gt;0,OFFSET(QCI!$M$13,SUBSTITUTE(E39,".",""),0),OFFSET(ORÇAMENTO!$AA$15,CRONO!$E38,0))/$R38))</f>
        <v>1</v>
      </c>
      <c r="C38" s="203">
        <f ca="1">IF($Q38&lt;&gt;2,0,IF($R38=0,1,IF(E39&gt;0,OFFSET(QCI!$N$13,SUBSTITUTE(E39,".",""),0),OFFSET(ORÇAMENTO!$AB$15,CRONO!$E38,0))/$R38))</f>
        <v>1</v>
      </c>
      <c r="D38" s="206" t="e">
        <f ca="1">IF(AND($Q38=2,ACOMPANHAMENTO="BM"),D39,D40/$R38)</f>
        <v>#DIV/0!</v>
      </c>
      <c r="E38" s="203" t="e">
        <f ca="1">IF(A38&lt;=ORÇAMENTO.MáximoListaCrono,MATCH(A38,ORÇAMENTO.ListaCrono,0),NA())</f>
        <v>#N/A</v>
      </c>
      <c r="F38" s="203" t="str">
        <f t="shared" ref="F38" ca="1" si="60">IF(AND($E39&lt;&gt;-1,$R38&gt;0),"F","")</f>
        <v/>
      </c>
      <c r="G38" s="207" t="str">
        <f ca="1">IF(OR(R38=0,R38=""),"Linha",IF(AND(OR(ACOMPANHAMENTO="PLE",$Q38&lt;&gt;2),$E39=0),"Linha",1-SUM(T38:AF38)))</f>
        <v>Linha</v>
      </c>
      <c r="H38" s="208">
        <f ca="1">IF($E39=0,OFFSET(ORÇAMENTO!O$15,$E38,0),IF($E39&lt;&gt;-1,OFFSET(QCI!$D$13,$E39,0),""))</f>
        <v>6</v>
      </c>
      <c r="I38" s="209" t="str">
        <f ca="1">IF($E39=0,OFFSET(ORÇAMENTO!R$15,$E38,0),IF($E39&lt;&gt;-1,OFFSET(QCI!$G$13,$E39,0),""))</f>
        <v/>
      </c>
      <c r="J38" s="209"/>
      <c r="K38" s="209"/>
      <c r="L38" s="210">
        <f ca="1">IF($E39=0,OFFSET(ORÇAMENTO!C$15,$E38,0),1)</f>
        <v>1</v>
      </c>
      <c r="M38" s="211">
        <f ca="1">IF($E39=-1,0,IF(M$13&lt;=$L38,IF(ISERROR(MATCH(M$13,OFFSET($L38,1,0,ROW($L$164)-ROW($L38)-1),0)),ROW($L$164)-ROW($L38)-1,MATCH(M$13,OFFSET($L38,1,0,ROW($L$164)-ROW($L38)-1),0)-1),0))</f>
        <v>2</v>
      </c>
      <c r="N38" s="211">
        <f ca="1">IF($E39=-1,0,IF(N$13&lt;=$L38,IF(ISERROR(MATCH(N$13,OFFSET($L38,1,0,ROW($L$164)-ROW($L38)-1),0)),ROW($L$164)-ROW($L38)-1,MATCH(N$13,OFFSET($L38,1,0,ROW($L$164)-ROW($L38)-1),0)-1),0))</f>
        <v>0</v>
      </c>
      <c r="O38" s="211">
        <f ca="1">IF($E39=-1,0,IF(O$13&lt;=$L38,IF(ISERROR(MATCH(O$13,OFFSET($L38,1,0,ROW($L$164)-ROW($L38)-1),0)),ROW($L$164)-ROW($L38)-1,MATCH(O$13,OFFSET($L38,1,0,ROW($L$164)-ROW($L38)-1),0)-1),0))</f>
        <v>0</v>
      </c>
      <c r="P38" s="211">
        <f ca="1">IF($E39=-1,0,IF(P$13&lt;=$L38,IF(ISERROR(MATCH(P$13,OFFSET($L38,1,0,ROW($L$164)-ROW($L38)-1),0)),ROW($L$164)-ROW($L38)-1,MATCH(P$13,OFFSET($L38,1,0,ROW($L$164)-ROW($L38)-1),0)-1),0))</f>
        <v>0</v>
      </c>
      <c r="Q38" s="211">
        <f t="shared" ref="Q38" ca="1" si="61">MIN(OFFSET(L38,0,1,,L38))</f>
        <v>2</v>
      </c>
      <c r="R38" s="212">
        <f ca="1">IF($E39=0,OFFSET(ORÇAMENTO!X$15,$E38,0),IF($E39&lt;&gt;-1,OFFSET(QCI!$O$13,$E39,0),""))</f>
        <v>0</v>
      </c>
      <c r="S38" s="213" t="s">
        <v>270</v>
      </c>
      <c r="T38" s="214" t="e">
        <f t="shared" ref="T38:AE38" ca="1" si="62">IF(AND($Q38=2,ACOMPANHAMENTO="BM"),T39,T40/$R38)</f>
        <v>#DIV/0!</v>
      </c>
      <c r="U38" s="206" t="e">
        <f t="shared" ca="1" si="62"/>
        <v>#DIV/0!</v>
      </c>
      <c r="V38" s="206" t="e">
        <f t="shared" ca="1" si="62"/>
        <v>#DIV/0!</v>
      </c>
      <c r="W38" s="206" t="e">
        <f t="shared" ca="1" si="62"/>
        <v>#DIV/0!</v>
      </c>
      <c r="X38" s="206" t="e">
        <f t="shared" ca="1" si="62"/>
        <v>#DIV/0!</v>
      </c>
      <c r="Y38" s="206" t="e">
        <f t="shared" ca="1" si="62"/>
        <v>#DIV/0!</v>
      </c>
      <c r="Z38" s="206" t="e">
        <f t="shared" ca="1" si="62"/>
        <v>#DIV/0!</v>
      </c>
      <c r="AA38" s="206" t="e">
        <f t="shared" ca="1" si="62"/>
        <v>#DIV/0!</v>
      </c>
      <c r="AB38" s="206" t="e">
        <f t="shared" ca="1" si="62"/>
        <v>#DIV/0!</v>
      </c>
      <c r="AC38" s="206" t="e">
        <f t="shared" ca="1" si="62"/>
        <v>#DIV/0!</v>
      </c>
      <c r="AD38" s="206" t="e">
        <f t="shared" ca="1" si="62"/>
        <v>#DIV/0!</v>
      </c>
      <c r="AE38" s="215" t="e">
        <f t="shared" ca="1" si="62"/>
        <v>#DIV/0!</v>
      </c>
    </row>
    <row r="39" spans="1:32" ht="12.75" hidden="1" customHeight="1" x14ac:dyDescent="0.25">
      <c r="D39" s="568"/>
      <c r="E39" s="203">
        <f ca="1">IF(ISERROR(E38),IF(1+COUNTIF($L$13:OFFSET(L38,-1,0),1)&lt;=MAX(QCI!$D$13:$D$24),1+COUNTIF($L$13:OFFSET(L38,-1,0),1),-1),0)</f>
        <v>6</v>
      </c>
      <c r="F39" s="203" t="str">
        <f t="shared" ref="F39" ca="1" si="63">IF(AND($E39&lt;&gt;-1,$R38&gt;0),"F","")</f>
        <v/>
      </c>
      <c r="G39" s="216" t="str">
        <f ca="1">IF(OR(R38=0,R38=""),"vazia",IF(AND(OR(ACOMPANHAMENTO="PLE",$Q38&lt;&gt;2),$E39=0),"calculada","--&gt;"))</f>
        <v>vazia</v>
      </c>
      <c r="H39" s="217"/>
      <c r="I39" s="218" t="str">
        <f t="shared" ref="I39" ca="1" si="64">IF(AND(G38&lt;&gt;0,ISNUMBER(G38)),"PREENCHA ESTA LINHA --&gt;","")</f>
        <v/>
      </c>
      <c r="J39" s="218"/>
      <c r="K39" s="218"/>
      <c r="L39" s="219"/>
      <c r="M39" s="219"/>
      <c r="N39" s="219"/>
      <c r="O39" s="219"/>
      <c r="P39" s="219"/>
      <c r="Q39" s="219"/>
      <c r="R39" s="220"/>
      <c r="S39" s="221"/>
      <c r="T39" s="569"/>
      <c r="U39" s="568"/>
      <c r="V39" s="568"/>
      <c r="W39" s="568"/>
      <c r="X39" s="568"/>
      <c r="Y39" s="568"/>
      <c r="Z39" s="568"/>
      <c r="AA39" s="568"/>
      <c r="AB39" s="568"/>
      <c r="AC39" s="568"/>
      <c r="AD39" s="568"/>
      <c r="AE39" s="570"/>
      <c r="AF39" s="532"/>
    </row>
    <row r="40" spans="1:32" ht="0.15" hidden="1" customHeight="1" x14ac:dyDescent="0.25">
      <c r="D40" s="222">
        <f ca="1">IF($Q38=2,IF(AND(ACOMPANHAMENTO="PLE",ISNUMBER($E38)),SUMIF((OFFSET(CÁLCULO!$AM$15:$AW$15,$E38,0,OFFSET(ORÇAMENTO!$D$15,CRONO!$E38,0))),"="&amp;CRONO!D$12,OFFSET(CÁLCULO!$AB$15:$AL$15,$E38,0,OFFSET(ORÇAMENTO!$D$15,CRONO!$E38,0)))+IF(AND($E40&lt;&gt;"",$E40&lt;&gt;0),SUMIF(CÁLCULO!$AM$15:$AW$32,"="&amp;CRONO!D$12,CÁLCULO!$AB$15:$AL$32)/(ORÇAMENTO!$X$15-CÁLCULO.TotalAdmLocal)*CRONO!$E40,0),D39*$R38),SUMIF(OFFSET($R40,1,0,$Q38-2),($L38+1)&amp;"$",OFFSET(D40,1,0,$Q38-2)))</f>
        <v>0</v>
      </c>
      <c r="E40" s="203" t="str">
        <f ca="1">IF(OR($Q38&lt;&gt;2,AUTOEVENTO&lt;&gt;"manual",$E39&gt;0),"",SUMIF(OFFSET(CÁLCULO!$M$15,CRONO!$E38,0,OFFSET(ORÇAMENTO!$D$15,CRONO!$E38,0)),1,OFFSET(ORÇAMENTO!$X$15,CRONO!$E38,0,OFFSET(ORÇAMENTO!$D$15,CRONO!$E38,0))))</f>
        <v/>
      </c>
      <c r="G40" s="223"/>
      <c r="R40" s="224" t="str">
        <f t="shared" ref="R40" ca="1" si="65">L38&amp;"$"</f>
        <v>1$</v>
      </c>
      <c r="S40" s="225"/>
      <c r="T40" s="226">
        <f ca="1">IF($Q38=2,IF(AND(ACOMPANHAMENTO="PLE",ISNUMBER($E38)),SUMIF((OFFSET(CÁLCULO!$AM$15:$AW$15,$E38,0,OFFSET(ORÇAMENTO!$D$15,CRONO!$E38,0))),"&lt;="&amp;CRONO!T$12,OFFSET(CÁLCULO!$AB$15:$AL$15,$E38,0,OFFSET(ORÇAMENTO!$D$15,CRONO!$E38,0)))+IF(AND($E40&lt;&gt;"",$E40&lt;&gt;0),SUMIF(CÁLCULO!$AM$15:$AW$32,"&lt;="&amp;CRONO!T$12,CÁLCULO!$AB$15:$AL$32)/(ORÇAMENTO!$X$15-CÁLCULO.TotalAdmLocal)*CRONO!$E40,0),T39*$R38),SUMIF(OFFSET($R40,1,0,$Q38-2),($L38+1)&amp;"$",OFFSET(T40,1,0,$Q38-2)))</f>
        <v>0</v>
      </c>
      <c r="U40" s="222">
        <f ca="1">IF($Q38=2,IF(AND(ACOMPANHAMENTO="PLE",ISNUMBER($E38)),SUMIF((OFFSET(CÁLCULO!$AM$15:$AW$15,$E38,0,OFFSET(ORÇAMENTO!$D$15,CRONO!$E38,0))),"="&amp;CRONO!U$12,OFFSET(CÁLCULO!$AB$15:$AL$15,$E38,0,OFFSET(ORÇAMENTO!$D$15,CRONO!$E38,0)))+IF(AND($E40&lt;&gt;"",$E40&lt;&gt;0),SUMIF(CÁLCULO!$AM$15:$AW$32,"="&amp;CRONO!U$12,CÁLCULO!$AB$15:$AL$32)/(ORÇAMENTO!$X$15-CÁLCULO.TotalAdmLocal)*CRONO!$E40,0),U39*$R38),SUMIF(OFFSET($R40,1,0,$Q38-2),($L38+1)&amp;"$",OFFSET(U40,1,0,$Q38-2)))</f>
        <v>0</v>
      </c>
      <c r="V40" s="222">
        <f ca="1">IF($Q38=2,IF(AND(ACOMPANHAMENTO="PLE",ISNUMBER($E38)),SUMIF((OFFSET(CÁLCULO!$AM$15:$AW$15,$E38,0,OFFSET(ORÇAMENTO!$D$15,CRONO!$E38,0))),"="&amp;CRONO!V$12,OFFSET(CÁLCULO!$AB$15:$AL$15,$E38,0,OFFSET(ORÇAMENTO!$D$15,CRONO!$E38,0)))+IF(AND($E40&lt;&gt;"",$E40&lt;&gt;0),SUMIF(CÁLCULO!$AM$15:$AW$32,"="&amp;CRONO!V$12,CÁLCULO!$AB$15:$AL$32)/(ORÇAMENTO!$X$15-CÁLCULO.TotalAdmLocal)*CRONO!$E40,0),V39*$R38),SUMIF(OFFSET($R40,1,0,$Q38-2),($L38+1)&amp;"$",OFFSET(V40,1,0,$Q38-2)))</f>
        <v>0</v>
      </c>
      <c r="W40" s="222">
        <f ca="1">IF($Q38=2,IF(AND(ACOMPANHAMENTO="PLE",ISNUMBER($E38)),SUMIF((OFFSET(CÁLCULO!$AM$15:$AW$15,$E38,0,OFFSET(ORÇAMENTO!$D$15,CRONO!$E38,0))),"="&amp;CRONO!W$12,OFFSET(CÁLCULO!$AB$15:$AL$15,$E38,0,OFFSET(ORÇAMENTO!$D$15,CRONO!$E38,0)))+IF(AND($E40&lt;&gt;"",$E40&lt;&gt;0),SUMIF(CÁLCULO!$AM$15:$AW$32,"="&amp;CRONO!W$12,CÁLCULO!$AB$15:$AL$32)/(ORÇAMENTO!$X$15-CÁLCULO.TotalAdmLocal)*CRONO!$E40,0),W39*$R38),SUMIF(OFFSET($R40,1,0,$Q38-2),($L38+1)&amp;"$",OFFSET(W40,1,0,$Q38-2)))</f>
        <v>0</v>
      </c>
      <c r="X40" s="222">
        <f ca="1">IF($Q38=2,IF(AND(ACOMPANHAMENTO="PLE",ISNUMBER($E38)),SUMIF((OFFSET(CÁLCULO!$AM$15:$AW$15,$E38,0,OFFSET(ORÇAMENTO!$D$15,CRONO!$E38,0))),"="&amp;CRONO!X$12,OFFSET(CÁLCULO!$AB$15:$AL$15,$E38,0,OFFSET(ORÇAMENTO!$D$15,CRONO!$E38,0)))+IF(AND($E40&lt;&gt;"",$E40&lt;&gt;0),SUMIF(CÁLCULO!$AM$15:$AW$32,"="&amp;CRONO!X$12,CÁLCULO!$AB$15:$AL$32)/(ORÇAMENTO!$X$15-CÁLCULO.TotalAdmLocal)*CRONO!$E40,0),X39*$R38),SUMIF(OFFSET($R40,1,0,$Q38-2),($L38+1)&amp;"$",OFFSET(X40,1,0,$Q38-2)))</f>
        <v>0</v>
      </c>
      <c r="Y40" s="222">
        <f ca="1">IF($Q38=2,IF(AND(ACOMPANHAMENTO="PLE",ISNUMBER($E38)),SUMIF((OFFSET(CÁLCULO!$AM$15:$AW$15,$E38,0,OFFSET(ORÇAMENTO!$D$15,CRONO!$E38,0))),"="&amp;CRONO!Y$12,OFFSET(CÁLCULO!$AB$15:$AL$15,$E38,0,OFFSET(ORÇAMENTO!$D$15,CRONO!$E38,0)))+IF(AND($E40&lt;&gt;"",$E40&lt;&gt;0),SUMIF(CÁLCULO!$AM$15:$AW$32,"="&amp;CRONO!Y$12,CÁLCULO!$AB$15:$AL$32)/(ORÇAMENTO!$X$15-CÁLCULO.TotalAdmLocal)*CRONO!$E40,0),Y39*$R38),SUMIF(OFFSET($R40,1,0,$Q38-2),($L38+1)&amp;"$",OFFSET(Y40,1,0,$Q38-2)))</f>
        <v>0</v>
      </c>
      <c r="Z40" s="222">
        <f ca="1">IF($Q38=2,IF(AND(ACOMPANHAMENTO="PLE",ISNUMBER($E38)),SUMIF((OFFSET(CÁLCULO!$AM$15:$AW$15,$E38,0,OFFSET(ORÇAMENTO!$D$15,CRONO!$E38,0))),"="&amp;CRONO!Z$12,OFFSET(CÁLCULO!$AB$15:$AL$15,$E38,0,OFFSET(ORÇAMENTO!$D$15,CRONO!$E38,0)))+IF(AND($E40&lt;&gt;"",$E40&lt;&gt;0),SUMIF(CÁLCULO!$AM$15:$AW$32,"="&amp;CRONO!Z$12,CÁLCULO!$AB$15:$AL$32)/(ORÇAMENTO!$X$15-CÁLCULO.TotalAdmLocal)*CRONO!$E40,0),Z39*$R38),SUMIF(OFFSET($R40,1,0,$Q38-2),($L38+1)&amp;"$",OFFSET(Z40,1,0,$Q38-2)))</f>
        <v>0</v>
      </c>
      <c r="AA40" s="222">
        <f ca="1">IF($Q38=2,IF(AND(ACOMPANHAMENTO="PLE",ISNUMBER($E38)),SUMIF((OFFSET(CÁLCULO!$AM$15:$AW$15,$E38,0,OFFSET(ORÇAMENTO!$D$15,CRONO!$E38,0))),"="&amp;CRONO!AA$12,OFFSET(CÁLCULO!$AB$15:$AL$15,$E38,0,OFFSET(ORÇAMENTO!$D$15,CRONO!$E38,0)))+IF(AND($E40&lt;&gt;"",$E40&lt;&gt;0),SUMIF(CÁLCULO!$AM$15:$AW$32,"="&amp;CRONO!AA$12,CÁLCULO!$AB$15:$AL$32)/(ORÇAMENTO!$X$15-CÁLCULO.TotalAdmLocal)*CRONO!$E40,0),AA39*$R38),SUMIF(OFFSET($R40,1,0,$Q38-2),($L38+1)&amp;"$",OFFSET(AA40,1,0,$Q38-2)))</f>
        <v>0</v>
      </c>
      <c r="AB40" s="222">
        <f ca="1">IF($Q38=2,IF(AND(ACOMPANHAMENTO="PLE",ISNUMBER($E38)),SUMIF((OFFSET(CÁLCULO!$AM$15:$AW$15,$E38,0,OFFSET(ORÇAMENTO!$D$15,CRONO!$E38,0))),"="&amp;CRONO!AB$12,OFFSET(CÁLCULO!$AB$15:$AL$15,$E38,0,OFFSET(ORÇAMENTO!$D$15,CRONO!$E38,0)))+IF(AND($E40&lt;&gt;"",$E40&lt;&gt;0),SUMIF(CÁLCULO!$AM$15:$AW$32,"="&amp;CRONO!AB$12,CÁLCULO!$AB$15:$AL$32)/(ORÇAMENTO!$X$15-CÁLCULO.TotalAdmLocal)*CRONO!$E40,0),AB39*$R38),SUMIF(OFFSET($R40,1,0,$Q38-2),($L38+1)&amp;"$",OFFSET(AB40,1,0,$Q38-2)))</f>
        <v>0</v>
      </c>
      <c r="AC40" s="222">
        <f ca="1">IF($Q38=2,IF(AND(ACOMPANHAMENTO="PLE",ISNUMBER($E38)),SUMIF((OFFSET(CÁLCULO!$AM$15:$AW$15,$E38,0,OFFSET(ORÇAMENTO!$D$15,CRONO!$E38,0))),"="&amp;CRONO!AC$12,OFFSET(CÁLCULO!$AB$15:$AL$15,$E38,0,OFFSET(ORÇAMENTO!$D$15,CRONO!$E38,0)))+IF(AND($E40&lt;&gt;"",$E40&lt;&gt;0),SUMIF(CÁLCULO!$AM$15:$AW$32,"="&amp;CRONO!AC$12,CÁLCULO!$AB$15:$AL$32)/(ORÇAMENTO!$X$15-CÁLCULO.TotalAdmLocal)*CRONO!$E40,0),AC39*$R38),SUMIF(OFFSET($R40,1,0,$Q38-2),($L38+1)&amp;"$",OFFSET(AC40,1,0,$Q38-2)))</f>
        <v>0</v>
      </c>
      <c r="AD40" s="222">
        <f ca="1">IF($Q38=2,IF(AND(ACOMPANHAMENTO="PLE",ISNUMBER($E38)),SUMIF((OFFSET(CÁLCULO!$AM$15:$AW$15,$E38,0,OFFSET(ORÇAMENTO!$D$15,CRONO!$E38,0))),"="&amp;CRONO!AD$12,OFFSET(CÁLCULO!$AB$15:$AL$15,$E38,0,OFFSET(ORÇAMENTO!$D$15,CRONO!$E38,0)))+IF(AND($E40&lt;&gt;"",$E40&lt;&gt;0),SUMIF(CÁLCULO!$AM$15:$AW$32,"="&amp;CRONO!AD$12,CÁLCULO!$AB$15:$AL$32)/(ORÇAMENTO!$X$15-CÁLCULO.TotalAdmLocal)*CRONO!$E40,0),AD39*$R38),SUMIF(OFFSET($R40,1,0,$Q38-2),($L38+1)&amp;"$",OFFSET(AD40,1,0,$Q38-2)))</f>
        <v>0</v>
      </c>
      <c r="AE40" s="227">
        <f ca="1">IF($Q38=2,IF(AND(ACOMPANHAMENTO="PLE",ISNUMBER($E38)),SUMIF((OFFSET(CÁLCULO!$AM$15:$AW$15,$E38,0,OFFSET(ORÇAMENTO!$D$15,CRONO!$E38,0))),"="&amp;CRONO!AE$12,OFFSET(CÁLCULO!$AB$15:$AL$15,$E38,0,OFFSET(ORÇAMENTO!$D$15,CRONO!$E38,0)))+IF(AND($E40&lt;&gt;"",$E40&lt;&gt;0),SUMIF(CÁLCULO!$AM$15:$AW$32,"="&amp;CRONO!AE$12,CÁLCULO!$AB$15:$AL$32)/(ORÇAMENTO!$X$15-CÁLCULO.TotalAdmLocal)*CRONO!$E40,0),AE39*$R38),SUMIF(OFFSET($R40,1,0,$Q38-2),($L38+1)&amp;"$",OFFSET(AE40,1,0,$Q38-2)))</f>
        <v>0</v>
      </c>
    </row>
    <row r="41" spans="1:32" hidden="1" x14ac:dyDescent="0.25">
      <c r="A41" s="203">
        <f t="shared" ref="A41" ca="1" si="66">OFFSET(A41,-3,0)+1</f>
        <v>10</v>
      </c>
      <c r="B41" s="203">
        <f ca="1">IF($Q41&lt;&gt;2,0,IF($R41=0,1,IF(E42&gt;0,OFFSET(QCI!$M$13,SUBSTITUTE(E42,".",""),0),OFFSET(ORÇAMENTO!$AA$15,CRONO!$E41,0))/$R41))</f>
        <v>1</v>
      </c>
      <c r="C41" s="203">
        <f ca="1">IF($Q41&lt;&gt;2,0,IF($R41=0,1,IF(E42&gt;0,OFFSET(QCI!$N$13,SUBSTITUTE(E42,".",""),0),OFFSET(ORÇAMENTO!$AB$15,CRONO!$E41,0))/$R41))</f>
        <v>1</v>
      </c>
      <c r="D41" s="206" t="e">
        <f ca="1">IF(AND($Q41=2,ACOMPANHAMENTO="BM"),D42,D43/$R41)</f>
        <v>#DIV/0!</v>
      </c>
      <c r="E41" s="203" t="e">
        <f ca="1">IF(A41&lt;=ORÇAMENTO.MáximoListaCrono,MATCH(A41,ORÇAMENTO.ListaCrono,0),NA())</f>
        <v>#N/A</v>
      </c>
      <c r="F41" s="203" t="str">
        <f t="shared" ref="F41" ca="1" si="67">IF(AND($E42&lt;&gt;-1,$R41&gt;0),"F","")</f>
        <v/>
      </c>
      <c r="G41" s="207" t="str">
        <f ca="1">IF(OR(R41=0,R41=""),"Linha",IF(AND(OR(ACOMPANHAMENTO="PLE",$Q41&lt;&gt;2),$E42=0),"Linha",1-SUM(T41:AF41)))</f>
        <v>Linha</v>
      </c>
      <c r="H41" s="208">
        <f ca="1">IF($E42=0,OFFSET(ORÇAMENTO!O$15,$E41,0),IF($E42&lt;&gt;-1,OFFSET(QCI!$D$13,$E42,0),""))</f>
        <v>7</v>
      </c>
      <c r="I41" s="209" t="str">
        <f ca="1">IF($E42=0,OFFSET(ORÇAMENTO!R$15,$E41,0),IF($E42&lt;&gt;-1,OFFSET(QCI!$G$13,$E42,0),""))</f>
        <v/>
      </c>
      <c r="J41" s="209"/>
      <c r="K41" s="209"/>
      <c r="L41" s="210">
        <f ca="1">IF($E42=0,OFFSET(ORÇAMENTO!C$15,$E41,0),1)</f>
        <v>1</v>
      </c>
      <c r="M41" s="211">
        <f ca="1">IF($E42=-1,0,IF(M$13&lt;=$L41,IF(ISERROR(MATCH(M$13,OFFSET($L41,1,0,ROW($L$164)-ROW($L41)-1),0)),ROW($L$164)-ROW($L41)-1,MATCH(M$13,OFFSET($L41,1,0,ROW($L$164)-ROW($L41)-1),0)-1),0))</f>
        <v>2</v>
      </c>
      <c r="N41" s="211">
        <f ca="1">IF($E42=-1,0,IF(N$13&lt;=$L41,IF(ISERROR(MATCH(N$13,OFFSET($L41,1,0,ROW($L$164)-ROW($L41)-1),0)),ROW($L$164)-ROW($L41)-1,MATCH(N$13,OFFSET($L41,1,0,ROW($L$164)-ROW($L41)-1),0)-1),0))</f>
        <v>0</v>
      </c>
      <c r="O41" s="211">
        <f ca="1">IF($E42=-1,0,IF(O$13&lt;=$L41,IF(ISERROR(MATCH(O$13,OFFSET($L41,1,0,ROW($L$164)-ROW($L41)-1),0)),ROW($L$164)-ROW($L41)-1,MATCH(O$13,OFFSET($L41,1,0,ROW($L$164)-ROW($L41)-1),0)-1),0))</f>
        <v>0</v>
      </c>
      <c r="P41" s="211">
        <f ca="1">IF($E42=-1,0,IF(P$13&lt;=$L41,IF(ISERROR(MATCH(P$13,OFFSET($L41,1,0,ROW($L$164)-ROW($L41)-1),0)),ROW($L$164)-ROW($L41)-1,MATCH(P$13,OFFSET($L41,1,0,ROW($L$164)-ROW($L41)-1),0)-1),0))</f>
        <v>0</v>
      </c>
      <c r="Q41" s="211">
        <f t="shared" ref="Q41" ca="1" si="68">MIN(OFFSET(L41,0,1,,L41))</f>
        <v>2</v>
      </c>
      <c r="R41" s="212">
        <f ca="1">IF($E42=0,OFFSET(ORÇAMENTO!X$15,$E41,0),IF($E42&lt;&gt;-1,OFFSET(QCI!$O$13,$E42,0),""))</f>
        <v>0</v>
      </c>
      <c r="S41" s="213" t="s">
        <v>270</v>
      </c>
      <c r="T41" s="214" t="e">
        <f t="shared" ref="T41:AE41" ca="1" si="69">IF(AND($Q41=2,ACOMPANHAMENTO="BM"),T42,T43/$R41)</f>
        <v>#DIV/0!</v>
      </c>
      <c r="U41" s="206" t="e">
        <f t="shared" ca="1" si="69"/>
        <v>#DIV/0!</v>
      </c>
      <c r="V41" s="206" t="e">
        <f t="shared" ca="1" si="69"/>
        <v>#DIV/0!</v>
      </c>
      <c r="W41" s="206" t="e">
        <f t="shared" ca="1" si="69"/>
        <v>#DIV/0!</v>
      </c>
      <c r="X41" s="206" t="e">
        <f t="shared" ca="1" si="69"/>
        <v>#DIV/0!</v>
      </c>
      <c r="Y41" s="206" t="e">
        <f t="shared" ca="1" si="69"/>
        <v>#DIV/0!</v>
      </c>
      <c r="Z41" s="206" t="e">
        <f t="shared" ca="1" si="69"/>
        <v>#DIV/0!</v>
      </c>
      <c r="AA41" s="206" t="e">
        <f t="shared" ca="1" si="69"/>
        <v>#DIV/0!</v>
      </c>
      <c r="AB41" s="206" t="e">
        <f t="shared" ca="1" si="69"/>
        <v>#DIV/0!</v>
      </c>
      <c r="AC41" s="206" t="e">
        <f t="shared" ca="1" si="69"/>
        <v>#DIV/0!</v>
      </c>
      <c r="AD41" s="206" t="e">
        <f t="shared" ca="1" si="69"/>
        <v>#DIV/0!</v>
      </c>
      <c r="AE41" s="215" t="e">
        <f t="shared" ca="1" si="69"/>
        <v>#DIV/0!</v>
      </c>
    </row>
    <row r="42" spans="1:32" ht="12.75" hidden="1" customHeight="1" x14ac:dyDescent="0.25">
      <c r="D42" s="568"/>
      <c r="E42" s="203">
        <f ca="1">IF(ISERROR(E41),IF(1+COUNTIF($L$13:OFFSET(L41,-1,0),1)&lt;=MAX(QCI!$D$13:$D$24),1+COUNTIF($L$13:OFFSET(L41,-1,0),1),-1),0)</f>
        <v>7</v>
      </c>
      <c r="F42" s="203" t="str">
        <f t="shared" ref="F42" ca="1" si="70">IF(AND($E42&lt;&gt;-1,$R41&gt;0),"F","")</f>
        <v/>
      </c>
      <c r="G42" s="216" t="str">
        <f ca="1">IF(OR(R41=0,R41=""),"vazia",IF(AND(OR(ACOMPANHAMENTO="PLE",$Q41&lt;&gt;2),$E42=0),"calculada","--&gt;"))</f>
        <v>vazia</v>
      </c>
      <c r="H42" s="217"/>
      <c r="I42" s="218" t="str">
        <f t="shared" ref="I42" ca="1" si="71">IF(AND(G41&lt;&gt;0,ISNUMBER(G41)),"PREENCHA ESTA LINHA --&gt;","")</f>
        <v/>
      </c>
      <c r="J42" s="218"/>
      <c r="K42" s="218"/>
      <c r="L42" s="219"/>
      <c r="M42" s="219"/>
      <c r="N42" s="219"/>
      <c r="O42" s="219"/>
      <c r="P42" s="219"/>
      <c r="Q42" s="219"/>
      <c r="R42" s="220"/>
      <c r="S42" s="221"/>
      <c r="T42" s="569"/>
      <c r="U42" s="568"/>
      <c r="V42" s="568"/>
      <c r="W42" s="568"/>
      <c r="X42" s="568"/>
      <c r="Y42" s="568"/>
      <c r="Z42" s="568"/>
      <c r="AA42" s="568"/>
      <c r="AB42" s="568"/>
      <c r="AC42" s="568"/>
      <c r="AD42" s="568"/>
      <c r="AE42" s="570"/>
      <c r="AF42" s="532"/>
    </row>
    <row r="43" spans="1:32" ht="0.15" hidden="1" customHeight="1" x14ac:dyDescent="0.25">
      <c r="D43" s="222">
        <f ca="1">IF($Q41=2,IF(AND(ACOMPANHAMENTO="PLE",ISNUMBER($E41)),SUMIF((OFFSET(CÁLCULO!$AM$15:$AW$15,$E41,0,OFFSET(ORÇAMENTO!$D$15,CRONO!$E41,0))),"="&amp;CRONO!D$12,OFFSET(CÁLCULO!$AB$15:$AL$15,$E41,0,OFFSET(ORÇAMENTO!$D$15,CRONO!$E41,0)))+IF(AND($E43&lt;&gt;"",$E43&lt;&gt;0),SUMIF(CÁLCULO!$AM$15:$AW$32,"="&amp;CRONO!D$12,CÁLCULO!$AB$15:$AL$32)/(ORÇAMENTO!$X$15-CÁLCULO.TotalAdmLocal)*CRONO!$E43,0),D42*$R41),SUMIF(OFFSET($R43,1,0,$Q41-2),($L41+1)&amp;"$",OFFSET(D43,1,0,$Q41-2)))</f>
        <v>0</v>
      </c>
      <c r="E43" s="203" t="str">
        <f ca="1">IF(OR($Q41&lt;&gt;2,AUTOEVENTO&lt;&gt;"manual",$E42&gt;0),"",SUMIF(OFFSET(CÁLCULO!$M$15,CRONO!$E41,0,OFFSET(ORÇAMENTO!$D$15,CRONO!$E41,0)),1,OFFSET(ORÇAMENTO!$X$15,CRONO!$E41,0,OFFSET(ORÇAMENTO!$D$15,CRONO!$E41,0))))</f>
        <v/>
      </c>
      <c r="G43" s="223"/>
      <c r="R43" s="224" t="str">
        <f t="shared" ref="R43" ca="1" si="72">L41&amp;"$"</f>
        <v>1$</v>
      </c>
      <c r="S43" s="225"/>
      <c r="T43" s="226">
        <f ca="1">IF($Q41=2,IF(AND(ACOMPANHAMENTO="PLE",ISNUMBER($E41)),SUMIF((OFFSET(CÁLCULO!$AM$15:$AW$15,$E41,0,OFFSET(ORÇAMENTO!$D$15,CRONO!$E41,0))),"&lt;="&amp;CRONO!T$12,OFFSET(CÁLCULO!$AB$15:$AL$15,$E41,0,OFFSET(ORÇAMENTO!$D$15,CRONO!$E41,0)))+IF(AND($E43&lt;&gt;"",$E43&lt;&gt;0),SUMIF(CÁLCULO!$AM$15:$AW$32,"&lt;="&amp;CRONO!T$12,CÁLCULO!$AB$15:$AL$32)/(ORÇAMENTO!$X$15-CÁLCULO.TotalAdmLocal)*CRONO!$E43,0),T42*$R41),SUMIF(OFFSET($R43,1,0,$Q41-2),($L41+1)&amp;"$",OFFSET(T43,1,0,$Q41-2)))</f>
        <v>0</v>
      </c>
      <c r="U43" s="222">
        <f ca="1">IF($Q41=2,IF(AND(ACOMPANHAMENTO="PLE",ISNUMBER($E41)),SUMIF((OFFSET(CÁLCULO!$AM$15:$AW$15,$E41,0,OFFSET(ORÇAMENTO!$D$15,CRONO!$E41,0))),"="&amp;CRONO!U$12,OFFSET(CÁLCULO!$AB$15:$AL$15,$E41,0,OFFSET(ORÇAMENTO!$D$15,CRONO!$E41,0)))+IF(AND($E43&lt;&gt;"",$E43&lt;&gt;0),SUMIF(CÁLCULO!$AM$15:$AW$32,"="&amp;CRONO!U$12,CÁLCULO!$AB$15:$AL$32)/(ORÇAMENTO!$X$15-CÁLCULO.TotalAdmLocal)*CRONO!$E43,0),U42*$R41),SUMIF(OFFSET($R43,1,0,$Q41-2),($L41+1)&amp;"$",OFFSET(U43,1,0,$Q41-2)))</f>
        <v>0</v>
      </c>
      <c r="V43" s="222">
        <f ca="1">IF($Q41=2,IF(AND(ACOMPANHAMENTO="PLE",ISNUMBER($E41)),SUMIF((OFFSET(CÁLCULO!$AM$15:$AW$15,$E41,0,OFFSET(ORÇAMENTO!$D$15,CRONO!$E41,0))),"="&amp;CRONO!V$12,OFFSET(CÁLCULO!$AB$15:$AL$15,$E41,0,OFFSET(ORÇAMENTO!$D$15,CRONO!$E41,0)))+IF(AND($E43&lt;&gt;"",$E43&lt;&gt;0),SUMIF(CÁLCULO!$AM$15:$AW$32,"="&amp;CRONO!V$12,CÁLCULO!$AB$15:$AL$32)/(ORÇAMENTO!$X$15-CÁLCULO.TotalAdmLocal)*CRONO!$E43,0),V42*$R41),SUMIF(OFFSET($R43,1,0,$Q41-2),($L41+1)&amp;"$",OFFSET(V43,1,0,$Q41-2)))</f>
        <v>0</v>
      </c>
      <c r="W43" s="222">
        <f ca="1">IF($Q41=2,IF(AND(ACOMPANHAMENTO="PLE",ISNUMBER($E41)),SUMIF((OFFSET(CÁLCULO!$AM$15:$AW$15,$E41,0,OFFSET(ORÇAMENTO!$D$15,CRONO!$E41,0))),"="&amp;CRONO!W$12,OFFSET(CÁLCULO!$AB$15:$AL$15,$E41,0,OFFSET(ORÇAMENTO!$D$15,CRONO!$E41,0)))+IF(AND($E43&lt;&gt;"",$E43&lt;&gt;0),SUMIF(CÁLCULO!$AM$15:$AW$32,"="&amp;CRONO!W$12,CÁLCULO!$AB$15:$AL$32)/(ORÇAMENTO!$X$15-CÁLCULO.TotalAdmLocal)*CRONO!$E43,0),W42*$R41),SUMIF(OFFSET($R43,1,0,$Q41-2),($L41+1)&amp;"$",OFFSET(W43,1,0,$Q41-2)))</f>
        <v>0</v>
      </c>
      <c r="X43" s="222">
        <f ca="1">IF($Q41=2,IF(AND(ACOMPANHAMENTO="PLE",ISNUMBER($E41)),SUMIF((OFFSET(CÁLCULO!$AM$15:$AW$15,$E41,0,OFFSET(ORÇAMENTO!$D$15,CRONO!$E41,0))),"="&amp;CRONO!X$12,OFFSET(CÁLCULO!$AB$15:$AL$15,$E41,0,OFFSET(ORÇAMENTO!$D$15,CRONO!$E41,0)))+IF(AND($E43&lt;&gt;"",$E43&lt;&gt;0),SUMIF(CÁLCULO!$AM$15:$AW$32,"="&amp;CRONO!X$12,CÁLCULO!$AB$15:$AL$32)/(ORÇAMENTO!$X$15-CÁLCULO.TotalAdmLocal)*CRONO!$E43,0),X42*$R41),SUMIF(OFFSET($R43,1,0,$Q41-2),($L41+1)&amp;"$",OFFSET(X43,1,0,$Q41-2)))</f>
        <v>0</v>
      </c>
      <c r="Y43" s="222">
        <f ca="1">IF($Q41=2,IF(AND(ACOMPANHAMENTO="PLE",ISNUMBER($E41)),SUMIF((OFFSET(CÁLCULO!$AM$15:$AW$15,$E41,0,OFFSET(ORÇAMENTO!$D$15,CRONO!$E41,0))),"="&amp;CRONO!Y$12,OFFSET(CÁLCULO!$AB$15:$AL$15,$E41,0,OFFSET(ORÇAMENTO!$D$15,CRONO!$E41,0)))+IF(AND($E43&lt;&gt;"",$E43&lt;&gt;0),SUMIF(CÁLCULO!$AM$15:$AW$32,"="&amp;CRONO!Y$12,CÁLCULO!$AB$15:$AL$32)/(ORÇAMENTO!$X$15-CÁLCULO.TotalAdmLocal)*CRONO!$E43,0),Y42*$R41),SUMIF(OFFSET($R43,1,0,$Q41-2),($L41+1)&amp;"$",OFFSET(Y43,1,0,$Q41-2)))</f>
        <v>0</v>
      </c>
      <c r="Z43" s="222">
        <f ca="1">IF($Q41=2,IF(AND(ACOMPANHAMENTO="PLE",ISNUMBER($E41)),SUMIF((OFFSET(CÁLCULO!$AM$15:$AW$15,$E41,0,OFFSET(ORÇAMENTO!$D$15,CRONO!$E41,0))),"="&amp;CRONO!Z$12,OFFSET(CÁLCULO!$AB$15:$AL$15,$E41,0,OFFSET(ORÇAMENTO!$D$15,CRONO!$E41,0)))+IF(AND($E43&lt;&gt;"",$E43&lt;&gt;0),SUMIF(CÁLCULO!$AM$15:$AW$32,"="&amp;CRONO!Z$12,CÁLCULO!$AB$15:$AL$32)/(ORÇAMENTO!$X$15-CÁLCULO.TotalAdmLocal)*CRONO!$E43,0),Z42*$R41),SUMIF(OFFSET($R43,1,0,$Q41-2),($L41+1)&amp;"$",OFFSET(Z43,1,0,$Q41-2)))</f>
        <v>0</v>
      </c>
      <c r="AA43" s="222">
        <f ca="1">IF($Q41=2,IF(AND(ACOMPANHAMENTO="PLE",ISNUMBER($E41)),SUMIF((OFFSET(CÁLCULO!$AM$15:$AW$15,$E41,0,OFFSET(ORÇAMENTO!$D$15,CRONO!$E41,0))),"="&amp;CRONO!AA$12,OFFSET(CÁLCULO!$AB$15:$AL$15,$E41,0,OFFSET(ORÇAMENTO!$D$15,CRONO!$E41,0)))+IF(AND($E43&lt;&gt;"",$E43&lt;&gt;0),SUMIF(CÁLCULO!$AM$15:$AW$32,"="&amp;CRONO!AA$12,CÁLCULO!$AB$15:$AL$32)/(ORÇAMENTO!$X$15-CÁLCULO.TotalAdmLocal)*CRONO!$E43,0),AA42*$R41),SUMIF(OFFSET($R43,1,0,$Q41-2),($L41+1)&amp;"$",OFFSET(AA43,1,0,$Q41-2)))</f>
        <v>0</v>
      </c>
      <c r="AB43" s="222">
        <f ca="1">IF($Q41=2,IF(AND(ACOMPANHAMENTO="PLE",ISNUMBER($E41)),SUMIF((OFFSET(CÁLCULO!$AM$15:$AW$15,$E41,0,OFFSET(ORÇAMENTO!$D$15,CRONO!$E41,0))),"="&amp;CRONO!AB$12,OFFSET(CÁLCULO!$AB$15:$AL$15,$E41,0,OFFSET(ORÇAMENTO!$D$15,CRONO!$E41,0)))+IF(AND($E43&lt;&gt;"",$E43&lt;&gt;0),SUMIF(CÁLCULO!$AM$15:$AW$32,"="&amp;CRONO!AB$12,CÁLCULO!$AB$15:$AL$32)/(ORÇAMENTO!$X$15-CÁLCULO.TotalAdmLocal)*CRONO!$E43,0),AB42*$R41),SUMIF(OFFSET($R43,1,0,$Q41-2),($L41+1)&amp;"$",OFFSET(AB43,1,0,$Q41-2)))</f>
        <v>0</v>
      </c>
      <c r="AC43" s="222">
        <f ca="1">IF($Q41=2,IF(AND(ACOMPANHAMENTO="PLE",ISNUMBER($E41)),SUMIF((OFFSET(CÁLCULO!$AM$15:$AW$15,$E41,0,OFFSET(ORÇAMENTO!$D$15,CRONO!$E41,0))),"="&amp;CRONO!AC$12,OFFSET(CÁLCULO!$AB$15:$AL$15,$E41,0,OFFSET(ORÇAMENTO!$D$15,CRONO!$E41,0)))+IF(AND($E43&lt;&gt;"",$E43&lt;&gt;0),SUMIF(CÁLCULO!$AM$15:$AW$32,"="&amp;CRONO!AC$12,CÁLCULO!$AB$15:$AL$32)/(ORÇAMENTO!$X$15-CÁLCULO.TotalAdmLocal)*CRONO!$E43,0),AC42*$R41),SUMIF(OFFSET($R43,1,0,$Q41-2),($L41+1)&amp;"$",OFFSET(AC43,1,0,$Q41-2)))</f>
        <v>0</v>
      </c>
      <c r="AD43" s="222">
        <f ca="1">IF($Q41=2,IF(AND(ACOMPANHAMENTO="PLE",ISNUMBER($E41)),SUMIF((OFFSET(CÁLCULO!$AM$15:$AW$15,$E41,0,OFFSET(ORÇAMENTO!$D$15,CRONO!$E41,0))),"="&amp;CRONO!AD$12,OFFSET(CÁLCULO!$AB$15:$AL$15,$E41,0,OFFSET(ORÇAMENTO!$D$15,CRONO!$E41,0)))+IF(AND($E43&lt;&gt;"",$E43&lt;&gt;0),SUMIF(CÁLCULO!$AM$15:$AW$32,"="&amp;CRONO!AD$12,CÁLCULO!$AB$15:$AL$32)/(ORÇAMENTO!$X$15-CÁLCULO.TotalAdmLocal)*CRONO!$E43,0),AD42*$R41),SUMIF(OFFSET($R43,1,0,$Q41-2),($L41+1)&amp;"$",OFFSET(AD43,1,0,$Q41-2)))</f>
        <v>0</v>
      </c>
      <c r="AE43" s="227">
        <f ca="1">IF($Q41=2,IF(AND(ACOMPANHAMENTO="PLE",ISNUMBER($E41)),SUMIF((OFFSET(CÁLCULO!$AM$15:$AW$15,$E41,0,OFFSET(ORÇAMENTO!$D$15,CRONO!$E41,0))),"="&amp;CRONO!AE$12,OFFSET(CÁLCULO!$AB$15:$AL$15,$E41,0,OFFSET(ORÇAMENTO!$D$15,CRONO!$E41,0)))+IF(AND($E43&lt;&gt;"",$E43&lt;&gt;0),SUMIF(CÁLCULO!$AM$15:$AW$32,"="&amp;CRONO!AE$12,CÁLCULO!$AB$15:$AL$32)/(ORÇAMENTO!$X$15-CÁLCULO.TotalAdmLocal)*CRONO!$E43,0),AE42*$R41),SUMIF(OFFSET($R43,1,0,$Q41-2),($L41+1)&amp;"$",OFFSET(AE43,1,0,$Q41-2)))</f>
        <v>0</v>
      </c>
    </row>
    <row r="44" spans="1:32" hidden="1" x14ac:dyDescent="0.25">
      <c r="A44" s="203">
        <f t="shared" ref="A44" ca="1" si="73">OFFSET(A44,-3,0)+1</f>
        <v>11</v>
      </c>
      <c r="B44" s="203">
        <f ca="1">IF($Q44&lt;&gt;2,0,IF($R44=0,1,IF(E45&gt;0,OFFSET(QCI!$M$13,SUBSTITUTE(E45,".",""),0),OFFSET(ORÇAMENTO!$AA$15,CRONO!$E44,0))/$R44))</f>
        <v>1</v>
      </c>
      <c r="C44" s="203">
        <f ca="1">IF($Q44&lt;&gt;2,0,IF($R44=0,1,IF(E45&gt;0,OFFSET(QCI!$N$13,SUBSTITUTE(E45,".",""),0),OFFSET(ORÇAMENTO!$AB$15,CRONO!$E44,0))/$R44))</f>
        <v>1</v>
      </c>
      <c r="D44" s="206" t="e">
        <f ca="1">IF(AND($Q44=2,ACOMPANHAMENTO="BM"),D45,D46/$R44)</f>
        <v>#DIV/0!</v>
      </c>
      <c r="E44" s="203" t="e">
        <f ca="1">IF(A44&lt;=ORÇAMENTO.MáximoListaCrono,MATCH(A44,ORÇAMENTO.ListaCrono,0),NA())</f>
        <v>#N/A</v>
      </c>
      <c r="F44" s="203" t="str">
        <f t="shared" ref="F44" ca="1" si="74">IF(AND($E45&lt;&gt;-1,$R44&gt;0),"F","")</f>
        <v/>
      </c>
      <c r="G44" s="207" t="str">
        <f ca="1">IF(OR(R44=0,R44=""),"Linha",IF(AND(OR(ACOMPANHAMENTO="PLE",$Q44&lt;&gt;2),$E45=0),"Linha",1-SUM(T44:AF44)))</f>
        <v>Linha</v>
      </c>
      <c r="H44" s="208">
        <f ca="1">IF($E45=0,OFFSET(ORÇAMENTO!O$15,$E44,0),IF($E45&lt;&gt;-1,OFFSET(QCI!$D$13,$E45,0),""))</f>
        <v>8</v>
      </c>
      <c r="I44" s="209" t="str">
        <f ca="1">IF($E45=0,OFFSET(ORÇAMENTO!R$15,$E44,0),IF($E45&lt;&gt;-1,OFFSET(QCI!$G$13,$E45,0),""))</f>
        <v/>
      </c>
      <c r="J44" s="209"/>
      <c r="K44" s="209"/>
      <c r="L44" s="210">
        <f ca="1">IF($E45=0,OFFSET(ORÇAMENTO!C$15,$E44,0),1)</f>
        <v>1</v>
      </c>
      <c r="M44" s="211">
        <f ca="1">IF($E45=-1,0,IF(M$13&lt;=$L44,IF(ISERROR(MATCH(M$13,OFFSET($L44,1,0,ROW($L$164)-ROW($L44)-1),0)),ROW($L$164)-ROW($L44)-1,MATCH(M$13,OFFSET($L44,1,0,ROW($L$164)-ROW($L44)-1),0)-1),0))</f>
        <v>2</v>
      </c>
      <c r="N44" s="211">
        <f ca="1">IF($E45=-1,0,IF(N$13&lt;=$L44,IF(ISERROR(MATCH(N$13,OFFSET($L44,1,0,ROW($L$164)-ROW($L44)-1),0)),ROW($L$164)-ROW($L44)-1,MATCH(N$13,OFFSET($L44,1,0,ROW($L$164)-ROW($L44)-1),0)-1),0))</f>
        <v>0</v>
      </c>
      <c r="O44" s="211">
        <f ca="1">IF($E45=-1,0,IF(O$13&lt;=$L44,IF(ISERROR(MATCH(O$13,OFFSET($L44,1,0,ROW($L$164)-ROW($L44)-1),0)),ROW($L$164)-ROW($L44)-1,MATCH(O$13,OFFSET($L44,1,0,ROW($L$164)-ROW($L44)-1),0)-1),0))</f>
        <v>0</v>
      </c>
      <c r="P44" s="211">
        <f ca="1">IF($E45=-1,0,IF(P$13&lt;=$L44,IF(ISERROR(MATCH(P$13,OFFSET($L44,1,0,ROW($L$164)-ROW($L44)-1),0)),ROW($L$164)-ROW($L44)-1,MATCH(P$13,OFFSET($L44,1,0,ROW($L$164)-ROW($L44)-1),0)-1),0))</f>
        <v>0</v>
      </c>
      <c r="Q44" s="211">
        <f t="shared" ref="Q44" ca="1" si="75">MIN(OFFSET(L44,0,1,,L44))</f>
        <v>2</v>
      </c>
      <c r="R44" s="212">
        <f ca="1">IF($E45=0,OFFSET(ORÇAMENTO!X$15,$E44,0),IF($E45&lt;&gt;-1,OFFSET(QCI!$O$13,$E45,0),""))</f>
        <v>0</v>
      </c>
      <c r="S44" s="213" t="s">
        <v>270</v>
      </c>
      <c r="T44" s="214" t="e">
        <f t="shared" ref="T44:AE44" ca="1" si="76">IF(AND($Q44=2,ACOMPANHAMENTO="BM"),T45,T46/$R44)</f>
        <v>#DIV/0!</v>
      </c>
      <c r="U44" s="206" t="e">
        <f t="shared" ca="1" si="76"/>
        <v>#DIV/0!</v>
      </c>
      <c r="V44" s="206" t="e">
        <f t="shared" ca="1" si="76"/>
        <v>#DIV/0!</v>
      </c>
      <c r="W44" s="206" t="e">
        <f t="shared" ca="1" si="76"/>
        <v>#DIV/0!</v>
      </c>
      <c r="X44" s="206" t="e">
        <f t="shared" ca="1" si="76"/>
        <v>#DIV/0!</v>
      </c>
      <c r="Y44" s="206" t="e">
        <f t="shared" ca="1" si="76"/>
        <v>#DIV/0!</v>
      </c>
      <c r="Z44" s="206" t="e">
        <f t="shared" ca="1" si="76"/>
        <v>#DIV/0!</v>
      </c>
      <c r="AA44" s="206" t="e">
        <f t="shared" ca="1" si="76"/>
        <v>#DIV/0!</v>
      </c>
      <c r="AB44" s="206" t="e">
        <f t="shared" ca="1" si="76"/>
        <v>#DIV/0!</v>
      </c>
      <c r="AC44" s="206" t="e">
        <f t="shared" ca="1" si="76"/>
        <v>#DIV/0!</v>
      </c>
      <c r="AD44" s="206" t="e">
        <f t="shared" ca="1" si="76"/>
        <v>#DIV/0!</v>
      </c>
      <c r="AE44" s="215" t="e">
        <f t="shared" ca="1" si="76"/>
        <v>#DIV/0!</v>
      </c>
    </row>
    <row r="45" spans="1:32" ht="12.75" hidden="1" customHeight="1" x14ac:dyDescent="0.25">
      <c r="D45" s="568"/>
      <c r="E45" s="203">
        <f ca="1">IF(ISERROR(E44),IF(1+COUNTIF($L$13:OFFSET(L44,-1,0),1)&lt;=MAX(QCI!$D$13:$D$24),1+COUNTIF($L$13:OFFSET(L44,-1,0),1),-1),0)</f>
        <v>8</v>
      </c>
      <c r="F45" s="203" t="str">
        <f t="shared" ref="F45" ca="1" si="77">IF(AND($E45&lt;&gt;-1,$R44&gt;0),"F","")</f>
        <v/>
      </c>
      <c r="G45" s="216" t="str">
        <f ca="1">IF(OR(R44=0,R44=""),"vazia",IF(AND(OR(ACOMPANHAMENTO="PLE",$Q44&lt;&gt;2),$E45=0),"calculada","--&gt;"))</f>
        <v>vazia</v>
      </c>
      <c r="H45" s="217"/>
      <c r="I45" s="218" t="str">
        <f t="shared" ref="I45" ca="1" si="78">IF(AND(G44&lt;&gt;0,ISNUMBER(G44)),"PREENCHA ESTA LINHA --&gt;","")</f>
        <v/>
      </c>
      <c r="J45" s="218"/>
      <c r="K45" s="218"/>
      <c r="L45" s="219"/>
      <c r="M45" s="219"/>
      <c r="N45" s="219"/>
      <c r="O45" s="219"/>
      <c r="P45" s="219"/>
      <c r="Q45" s="219"/>
      <c r="R45" s="220"/>
      <c r="S45" s="221"/>
      <c r="T45" s="569"/>
      <c r="U45" s="568"/>
      <c r="V45" s="568"/>
      <c r="W45" s="568"/>
      <c r="X45" s="568"/>
      <c r="Y45" s="568"/>
      <c r="Z45" s="568"/>
      <c r="AA45" s="568"/>
      <c r="AB45" s="568"/>
      <c r="AC45" s="568"/>
      <c r="AD45" s="568"/>
      <c r="AE45" s="570"/>
      <c r="AF45" s="532"/>
    </row>
    <row r="46" spans="1:32" ht="0.15" hidden="1" customHeight="1" x14ac:dyDescent="0.25">
      <c r="D46" s="222">
        <f ca="1">IF($Q44=2,IF(AND(ACOMPANHAMENTO="PLE",ISNUMBER($E44)),SUMIF((OFFSET(CÁLCULO!$AM$15:$AW$15,$E44,0,OFFSET(ORÇAMENTO!$D$15,CRONO!$E44,0))),"="&amp;CRONO!D$12,OFFSET(CÁLCULO!$AB$15:$AL$15,$E44,0,OFFSET(ORÇAMENTO!$D$15,CRONO!$E44,0)))+IF(AND($E46&lt;&gt;"",$E46&lt;&gt;0),SUMIF(CÁLCULO!$AM$15:$AW$32,"="&amp;CRONO!D$12,CÁLCULO!$AB$15:$AL$32)/(ORÇAMENTO!$X$15-CÁLCULO.TotalAdmLocal)*CRONO!$E46,0),D45*$R44),SUMIF(OFFSET($R46,1,0,$Q44-2),($L44+1)&amp;"$",OFFSET(D46,1,0,$Q44-2)))</f>
        <v>0</v>
      </c>
      <c r="E46" s="203" t="str">
        <f ca="1">IF(OR($Q44&lt;&gt;2,AUTOEVENTO&lt;&gt;"manual",$E45&gt;0),"",SUMIF(OFFSET(CÁLCULO!$M$15,CRONO!$E44,0,OFFSET(ORÇAMENTO!$D$15,CRONO!$E44,0)),1,OFFSET(ORÇAMENTO!$X$15,CRONO!$E44,0,OFFSET(ORÇAMENTO!$D$15,CRONO!$E44,0))))</f>
        <v/>
      </c>
      <c r="G46" s="223"/>
      <c r="R46" s="224" t="str">
        <f t="shared" ref="R46" ca="1" si="79">L44&amp;"$"</f>
        <v>1$</v>
      </c>
      <c r="S46" s="225"/>
      <c r="T46" s="226">
        <f ca="1">IF($Q44=2,IF(AND(ACOMPANHAMENTO="PLE",ISNUMBER($E44)),SUMIF((OFFSET(CÁLCULO!$AM$15:$AW$15,$E44,0,OFFSET(ORÇAMENTO!$D$15,CRONO!$E44,0))),"&lt;="&amp;CRONO!T$12,OFFSET(CÁLCULO!$AB$15:$AL$15,$E44,0,OFFSET(ORÇAMENTO!$D$15,CRONO!$E44,0)))+IF(AND($E46&lt;&gt;"",$E46&lt;&gt;0),SUMIF(CÁLCULO!$AM$15:$AW$32,"&lt;="&amp;CRONO!T$12,CÁLCULO!$AB$15:$AL$32)/(ORÇAMENTO!$X$15-CÁLCULO.TotalAdmLocal)*CRONO!$E46,0),T45*$R44),SUMIF(OFFSET($R46,1,0,$Q44-2),($L44+1)&amp;"$",OFFSET(T46,1,0,$Q44-2)))</f>
        <v>0</v>
      </c>
      <c r="U46" s="222">
        <f ca="1">IF($Q44=2,IF(AND(ACOMPANHAMENTO="PLE",ISNUMBER($E44)),SUMIF((OFFSET(CÁLCULO!$AM$15:$AW$15,$E44,0,OFFSET(ORÇAMENTO!$D$15,CRONO!$E44,0))),"="&amp;CRONO!U$12,OFFSET(CÁLCULO!$AB$15:$AL$15,$E44,0,OFFSET(ORÇAMENTO!$D$15,CRONO!$E44,0)))+IF(AND($E46&lt;&gt;"",$E46&lt;&gt;0),SUMIF(CÁLCULO!$AM$15:$AW$32,"="&amp;CRONO!U$12,CÁLCULO!$AB$15:$AL$32)/(ORÇAMENTO!$X$15-CÁLCULO.TotalAdmLocal)*CRONO!$E46,0),U45*$R44),SUMIF(OFFSET($R46,1,0,$Q44-2),($L44+1)&amp;"$",OFFSET(U46,1,0,$Q44-2)))</f>
        <v>0</v>
      </c>
      <c r="V46" s="222">
        <f ca="1">IF($Q44=2,IF(AND(ACOMPANHAMENTO="PLE",ISNUMBER($E44)),SUMIF((OFFSET(CÁLCULO!$AM$15:$AW$15,$E44,0,OFFSET(ORÇAMENTO!$D$15,CRONO!$E44,0))),"="&amp;CRONO!V$12,OFFSET(CÁLCULO!$AB$15:$AL$15,$E44,0,OFFSET(ORÇAMENTO!$D$15,CRONO!$E44,0)))+IF(AND($E46&lt;&gt;"",$E46&lt;&gt;0),SUMIF(CÁLCULO!$AM$15:$AW$32,"="&amp;CRONO!V$12,CÁLCULO!$AB$15:$AL$32)/(ORÇAMENTO!$X$15-CÁLCULO.TotalAdmLocal)*CRONO!$E46,0),V45*$R44),SUMIF(OFFSET($R46,1,0,$Q44-2),($L44+1)&amp;"$",OFFSET(V46,1,0,$Q44-2)))</f>
        <v>0</v>
      </c>
      <c r="W46" s="222">
        <f ca="1">IF($Q44=2,IF(AND(ACOMPANHAMENTO="PLE",ISNUMBER($E44)),SUMIF((OFFSET(CÁLCULO!$AM$15:$AW$15,$E44,0,OFFSET(ORÇAMENTO!$D$15,CRONO!$E44,0))),"="&amp;CRONO!W$12,OFFSET(CÁLCULO!$AB$15:$AL$15,$E44,0,OFFSET(ORÇAMENTO!$D$15,CRONO!$E44,0)))+IF(AND($E46&lt;&gt;"",$E46&lt;&gt;0),SUMIF(CÁLCULO!$AM$15:$AW$32,"="&amp;CRONO!W$12,CÁLCULO!$AB$15:$AL$32)/(ORÇAMENTO!$X$15-CÁLCULO.TotalAdmLocal)*CRONO!$E46,0),W45*$R44),SUMIF(OFFSET($R46,1,0,$Q44-2),($L44+1)&amp;"$",OFFSET(W46,1,0,$Q44-2)))</f>
        <v>0</v>
      </c>
      <c r="X46" s="222">
        <f ca="1">IF($Q44=2,IF(AND(ACOMPANHAMENTO="PLE",ISNUMBER($E44)),SUMIF((OFFSET(CÁLCULO!$AM$15:$AW$15,$E44,0,OFFSET(ORÇAMENTO!$D$15,CRONO!$E44,0))),"="&amp;CRONO!X$12,OFFSET(CÁLCULO!$AB$15:$AL$15,$E44,0,OFFSET(ORÇAMENTO!$D$15,CRONO!$E44,0)))+IF(AND($E46&lt;&gt;"",$E46&lt;&gt;0),SUMIF(CÁLCULO!$AM$15:$AW$32,"="&amp;CRONO!X$12,CÁLCULO!$AB$15:$AL$32)/(ORÇAMENTO!$X$15-CÁLCULO.TotalAdmLocal)*CRONO!$E46,0),X45*$R44),SUMIF(OFFSET($R46,1,0,$Q44-2),($L44+1)&amp;"$",OFFSET(X46,1,0,$Q44-2)))</f>
        <v>0</v>
      </c>
      <c r="Y46" s="222">
        <f ca="1">IF($Q44=2,IF(AND(ACOMPANHAMENTO="PLE",ISNUMBER($E44)),SUMIF((OFFSET(CÁLCULO!$AM$15:$AW$15,$E44,0,OFFSET(ORÇAMENTO!$D$15,CRONO!$E44,0))),"="&amp;CRONO!Y$12,OFFSET(CÁLCULO!$AB$15:$AL$15,$E44,0,OFFSET(ORÇAMENTO!$D$15,CRONO!$E44,0)))+IF(AND($E46&lt;&gt;"",$E46&lt;&gt;0),SUMIF(CÁLCULO!$AM$15:$AW$32,"="&amp;CRONO!Y$12,CÁLCULO!$AB$15:$AL$32)/(ORÇAMENTO!$X$15-CÁLCULO.TotalAdmLocal)*CRONO!$E46,0),Y45*$R44),SUMIF(OFFSET($R46,1,0,$Q44-2),($L44+1)&amp;"$",OFFSET(Y46,1,0,$Q44-2)))</f>
        <v>0</v>
      </c>
      <c r="Z46" s="222">
        <f ca="1">IF($Q44=2,IF(AND(ACOMPANHAMENTO="PLE",ISNUMBER($E44)),SUMIF((OFFSET(CÁLCULO!$AM$15:$AW$15,$E44,0,OFFSET(ORÇAMENTO!$D$15,CRONO!$E44,0))),"="&amp;CRONO!Z$12,OFFSET(CÁLCULO!$AB$15:$AL$15,$E44,0,OFFSET(ORÇAMENTO!$D$15,CRONO!$E44,0)))+IF(AND($E46&lt;&gt;"",$E46&lt;&gt;0),SUMIF(CÁLCULO!$AM$15:$AW$32,"="&amp;CRONO!Z$12,CÁLCULO!$AB$15:$AL$32)/(ORÇAMENTO!$X$15-CÁLCULO.TotalAdmLocal)*CRONO!$E46,0),Z45*$R44),SUMIF(OFFSET($R46,1,0,$Q44-2),($L44+1)&amp;"$",OFFSET(Z46,1,0,$Q44-2)))</f>
        <v>0</v>
      </c>
      <c r="AA46" s="222">
        <f ca="1">IF($Q44=2,IF(AND(ACOMPANHAMENTO="PLE",ISNUMBER($E44)),SUMIF((OFFSET(CÁLCULO!$AM$15:$AW$15,$E44,0,OFFSET(ORÇAMENTO!$D$15,CRONO!$E44,0))),"="&amp;CRONO!AA$12,OFFSET(CÁLCULO!$AB$15:$AL$15,$E44,0,OFFSET(ORÇAMENTO!$D$15,CRONO!$E44,0)))+IF(AND($E46&lt;&gt;"",$E46&lt;&gt;0),SUMIF(CÁLCULO!$AM$15:$AW$32,"="&amp;CRONO!AA$12,CÁLCULO!$AB$15:$AL$32)/(ORÇAMENTO!$X$15-CÁLCULO.TotalAdmLocal)*CRONO!$E46,0),AA45*$R44),SUMIF(OFFSET($R46,1,0,$Q44-2),($L44+1)&amp;"$",OFFSET(AA46,1,0,$Q44-2)))</f>
        <v>0</v>
      </c>
      <c r="AB46" s="222">
        <f ca="1">IF($Q44=2,IF(AND(ACOMPANHAMENTO="PLE",ISNUMBER($E44)),SUMIF((OFFSET(CÁLCULO!$AM$15:$AW$15,$E44,0,OFFSET(ORÇAMENTO!$D$15,CRONO!$E44,0))),"="&amp;CRONO!AB$12,OFFSET(CÁLCULO!$AB$15:$AL$15,$E44,0,OFFSET(ORÇAMENTO!$D$15,CRONO!$E44,0)))+IF(AND($E46&lt;&gt;"",$E46&lt;&gt;0),SUMIF(CÁLCULO!$AM$15:$AW$32,"="&amp;CRONO!AB$12,CÁLCULO!$AB$15:$AL$32)/(ORÇAMENTO!$X$15-CÁLCULO.TotalAdmLocal)*CRONO!$E46,0),AB45*$R44),SUMIF(OFFSET($R46,1,0,$Q44-2),($L44+1)&amp;"$",OFFSET(AB46,1,0,$Q44-2)))</f>
        <v>0</v>
      </c>
      <c r="AC46" s="222">
        <f ca="1">IF($Q44=2,IF(AND(ACOMPANHAMENTO="PLE",ISNUMBER($E44)),SUMIF((OFFSET(CÁLCULO!$AM$15:$AW$15,$E44,0,OFFSET(ORÇAMENTO!$D$15,CRONO!$E44,0))),"="&amp;CRONO!AC$12,OFFSET(CÁLCULO!$AB$15:$AL$15,$E44,0,OFFSET(ORÇAMENTO!$D$15,CRONO!$E44,0)))+IF(AND($E46&lt;&gt;"",$E46&lt;&gt;0),SUMIF(CÁLCULO!$AM$15:$AW$32,"="&amp;CRONO!AC$12,CÁLCULO!$AB$15:$AL$32)/(ORÇAMENTO!$X$15-CÁLCULO.TotalAdmLocal)*CRONO!$E46,0),AC45*$R44),SUMIF(OFFSET($R46,1,0,$Q44-2),($L44+1)&amp;"$",OFFSET(AC46,1,0,$Q44-2)))</f>
        <v>0</v>
      </c>
      <c r="AD46" s="222">
        <f ca="1">IF($Q44=2,IF(AND(ACOMPANHAMENTO="PLE",ISNUMBER($E44)),SUMIF((OFFSET(CÁLCULO!$AM$15:$AW$15,$E44,0,OFFSET(ORÇAMENTO!$D$15,CRONO!$E44,0))),"="&amp;CRONO!AD$12,OFFSET(CÁLCULO!$AB$15:$AL$15,$E44,0,OFFSET(ORÇAMENTO!$D$15,CRONO!$E44,0)))+IF(AND($E46&lt;&gt;"",$E46&lt;&gt;0),SUMIF(CÁLCULO!$AM$15:$AW$32,"="&amp;CRONO!AD$12,CÁLCULO!$AB$15:$AL$32)/(ORÇAMENTO!$X$15-CÁLCULO.TotalAdmLocal)*CRONO!$E46,0),AD45*$R44),SUMIF(OFFSET($R46,1,0,$Q44-2),($L44+1)&amp;"$",OFFSET(AD46,1,0,$Q44-2)))</f>
        <v>0</v>
      </c>
      <c r="AE46" s="227">
        <f ca="1">IF($Q44=2,IF(AND(ACOMPANHAMENTO="PLE",ISNUMBER($E44)),SUMIF((OFFSET(CÁLCULO!$AM$15:$AW$15,$E44,0,OFFSET(ORÇAMENTO!$D$15,CRONO!$E44,0))),"="&amp;CRONO!AE$12,OFFSET(CÁLCULO!$AB$15:$AL$15,$E44,0,OFFSET(ORÇAMENTO!$D$15,CRONO!$E44,0)))+IF(AND($E46&lt;&gt;"",$E46&lt;&gt;0),SUMIF(CÁLCULO!$AM$15:$AW$32,"="&amp;CRONO!AE$12,CÁLCULO!$AB$15:$AL$32)/(ORÇAMENTO!$X$15-CÁLCULO.TotalAdmLocal)*CRONO!$E46,0),AE45*$R44),SUMIF(OFFSET($R46,1,0,$Q44-2),($L44+1)&amp;"$",OFFSET(AE46,1,0,$Q44-2)))</f>
        <v>0</v>
      </c>
    </row>
    <row r="47" spans="1:32" hidden="1" x14ac:dyDescent="0.25">
      <c r="A47" s="203">
        <f t="shared" ref="A47" ca="1" si="80">OFFSET(A47,-3,0)+1</f>
        <v>12</v>
      </c>
      <c r="B47" s="203">
        <f ca="1">IF($Q47&lt;&gt;2,0,IF($R47=0,1,IF(E48&gt;0,OFFSET(QCI!$M$13,SUBSTITUTE(E48,".",""),0),OFFSET(ORÇAMENTO!$AA$15,CRONO!$E47,0))/$R47))</f>
        <v>1</v>
      </c>
      <c r="C47" s="203">
        <f ca="1">IF($Q47&lt;&gt;2,0,IF($R47=0,1,IF(E48&gt;0,OFFSET(QCI!$N$13,SUBSTITUTE(E48,".",""),0),OFFSET(ORÇAMENTO!$AB$15,CRONO!$E47,0))/$R47))</f>
        <v>1</v>
      </c>
      <c r="D47" s="206" t="e">
        <f ca="1">IF(AND($Q47=2,ACOMPANHAMENTO="BM"),D48,D49/$R47)</f>
        <v>#DIV/0!</v>
      </c>
      <c r="E47" s="203" t="e">
        <f ca="1">IF(A47&lt;=ORÇAMENTO.MáximoListaCrono,MATCH(A47,ORÇAMENTO.ListaCrono,0),NA())</f>
        <v>#N/A</v>
      </c>
      <c r="F47" s="203" t="str">
        <f t="shared" ref="F47" ca="1" si="81">IF(AND($E48&lt;&gt;-1,$R47&gt;0),"F","")</f>
        <v/>
      </c>
      <c r="G47" s="207" t="str">
        <f ca="1">IF(OR(R47=0,R47=""),"Linha",IF(AND(OR(ACOMPANHAMENTO="PLE",$Q47&lt;&gt;2),$E48=0),"Linha",1-SUM(T47:AF47)))</f>
        <v>Linha</v>
      </c>
      <c r="H47" s="208">
        <f ca="1">IF($E48=0,OFFSET(ORÇAMENTO!O$15,$E47,0),IF($E48&lt;&gt;-1,OFFSET(QCI!$D$13,$E48,0),""))</f>
        <v>9</v>
      </c>
      <c r="I47" s="209" t="str">
        <f ca="1">IF($E48=0,OFFSET(ORÇAMENTO!R$15,$E47,0),IF($E48&lt;&gt;-1,OFFSET(QCI!$G$13,$E48,0),""))</f>
        <v/>
      </c>
      <c r="J47" s="209"/>
      <c r="K47" s="209"/>
      <c r="L47" s="210">
        <f ca="1">IF($E48=0,OFFSET(ORÇAMENTO!C$15,$E47,0),1)</f>
        <v>1</v>
      </c>
      <c r="M47" s="211">
        <f ca="1">IF($E48=-1,0,IF(M$13&lt;=$L47,IF(ISERROR(MATCH(M$13,OFFSET($L47,1,0,ROW($L$164)-ROW($L47)-1),0)),ROW($L$164)-ROW($L47)-1,MATCH(M$13,OFFSET($L47,1,0,ROW($L$164)-ROW($L47)-1),0)-1),0))</f>
        <v>2</v>
      </c>
      <c r="N47" s="211">
        <f ca="1">IF($E48=-1,0,IF(N$13&lt;=$L47,IF(ISERROR(MATCH(N$13,OFFSET($L47,1,0,ROW($L$164)-ROW($L47)-1),0)),ROW($L$164)-ROW($L47)-1,MATCH(N$13,OFFSET($L47,1,0,ROW($L$164)-ROW($L47)-1),0)-1),0))</f>
        <v>0</v>
      </c>
      <c r="O47" s="211">
        <f ca="1">IF($E48=-1,0,IF(O$13&lt;=$L47,IF(ISERROR(MATCH(O$13,OFFSET($L47,1,0,ROW($L$164)-ROW($L47)-1),0)),ROW($L$164)-ROW($L47)-1,MATCH(O$13,OFFSET($L47,1,0,ROW($L$164)-ROW($L47)-1),0)-1),0))</f>
        <v>0</v>
      </c>
      <c r="P47" s="211">
        <f ca="1">IF($E48=-1,0,IF(P$13&lt;=$L47,IF(ISERROR(MATCH(P$13,OFFSET($L47,1,0,ROW($L$164)-ROW($L47)-1),0)),ROW($L$164)-ROW($L47)-1,MATCH(P$13,OFFSET($L47,1,0,ROW($L$164)-ROW($L47)-1),0)-1),0))</f>
        <v>0</v>
      </c>
      <c r="Q47" s="211">
        <f t="shared" ref="Q47" ca="1" si="82">MIN(OFFSET(L47,0,1,,L47))</f>
        <v>2</v>
      </c>
      <c r="R47" s="212">
        <f ca="1">IF($E48=0,OFFSET(ORÇAMENTO!X$15,$E47,0),IF($E48&lt;&gt;-1,OFFSET(QCI!$O$13,$E48,0),""))</f>
        <v>0</v>
      </c>
      <c r="S47" s="213" t="s">
        <v>270</v>
      </c>
      <c r="T47" s="214" t="e">
        <f t="shared" ref="T47:AE47" ca="1" si="83">IF(AND($Q47=2,ACOMPANHAMENTO="BM"),T48,T49/$R47)</f>
        <v>#DIV/0!</v>
      </c>
      <c r="U47" s="206" t="e">
        <f t="shared" ca="1" si="83"/>
        <v>#DIV/0!</v>
      </c>
      <c r="V47" s="206" t="e">
        <f t="shared" ca="1" si="83"/>
        <v>#DIV/0!</v>
      </c>
      <c r="W47" s="206" t="e">
        <f t="shared" ca="1" si="83"/>
        <v>#DIV/0!</v>
      </c>
      <c r="X47" s="206" t="e">
        <f t="shared" ca="1" si="83"/>
        <v>#DIV/0!</v>
      </c>
      <c r="Y47" s="206" t="e">
        <f t="shared" ca="1" si="83"/>
        <v>#DIV/0!</v>
      </c>
      <c r="Z47" s="206" t="e">
        <f t="shared" ca="1" si="83"/>
        <v>#DIV/0!</v>
      </c>
      <c r="AA47" s="206" t="e">
        <f t="shared" ca="1" si="83"/>
        <v>#DIV/0!</v>
      </c>
      <c r="AB47" s="206" t="e">
        <f t="shared" ca="1" si="83"/>
        <v>#DIV/0!</v>
      </c>
      <c r="AC47" s="206" t="e">
        <f t="shared" ca="1" si="83"/>
        <v>#DIV/0!</v>
      </c>
      <c r="AD47" s="206" t="e">
        <f t="shared" ca="1" si="83"/>
        <v>#DIV/0!</v>
      </c>
      <c r="AE47" s="215" t="e">
        <f t="shared" ca="1" si="83"/>
        <v>#DIV/0!</v>
      </c>
    </row>
    <row r="48" spans="1:32" ht="12.75" hidden="1" customHeight="1" x14ac:dyDescent="0.25">
      <c r="D48" s="568"/>
      <c r="E48" s="203">
        <f ca="1">IF(ISERROR(E47),IF(1+COUNTIF($L$13:OFFSET(L47,-1,0),1)&lt;=MAX(QCI!$D$13:$D$24),1+COUNTIF($L$13:OFFSET(L47,-1,0),1),-1),0)</f>
        <v>9</v>
      </c>
      <c r="F48" s="203" t="str">
        <f t="shared" ref="F48" ca="1" si="84">IF(AND($E48&lt;&gt;-1,$R47&gt;0),"F","")</f>
        <v/>
      </c>
      <c r="G48" s="216" t="str">
        <f ca="1">IF(OR(R47=0,R47=""),"vazia",IF(AND(OR(ACOMPANHAMENTO="PLE",$Q47&lt;&gt;2),$E48=0),"calculada","--&gt;"))</f>
        <v>vazia</v>
      </c>
      <c r="H48" s="217"/>
      <c r="I48" s="218" t="str">
        <f t="shared" ref="I48" ca="1" si="85">IF(AND(G47&lt;&gt;0,ISNUMBER(G47)),"PREENCHA ESTA LINHA --&gt;","")</f>
        <v/>
      </c>
      <c r="J48" s="218"/>
      <c r="K48" s="218"/>
      <c r="L48" s="219"/>
      <c r="M48" s="219"/>
      <c r="N48" s="219"/>
      <c r="O48" s="219"/>
      <c r="P48" s="219"/>
      <c r="Q48" s="219"/>
      <c r="R48" s="220"/>
      <c r="S48" s="221"/>
      <c r="T48" s="569"/>
      <c r="U48" s="568"/>
      <c r="V48" s="568"/>
      <c r="W48" s="568"/>
      <c r="X48" s="568"/>
      <c r="Y48" s="568"/>
      <c r="Z48" s="568"/>
      <c r="AA48" s="568"/>
      <c r="AB48" s="568"/>
      <c r="AC48" s="568"/>
      <c r="AD48" s="568"/>
      <c r="AE48" s="570"/>
      <c r="AF48" s="532"/>
    </row>
    <row r="49" spans="1:32" ht="0.15" hidden="1" customHeight="1" x14ac:dyDescent="0.25">
      <c r="D49" s="222">
        <f ca="1">IF($Q47=2,IF(AND(ACOMPANHAMENTO="PLE",ISNUMBER($E47)),SUMIF((OFFSET(CÁLCULO!$AM$15:$AW$15,$E47,0,OFFSET(ORÇAMENTO!$D$15,CRONO!$E47,0))),"="&amp;CRONO!D$12,OFFSET(CÁLCULO!$AB$15:$AL$15,$E47,0,OFFSET(ORÇAMENTO!$D$15,CRONO!$E47,0)))+IF(AND($E49&lt;&gt;"",$E49&lt;&gt;0),SUMIF(CÁLCULO!$AM$15:$AW$32,"="&amp;CRONO!D$12,CÁLCULO!$AB$15:$AL$32)/(ORÇAMENTO!$X$15-CÁLCULO.TotalAdmLocal)*CRONO!$E49,0),D48*$R47),SUMIF(OFFSET($R49,1,0,$Q47-2),($L47+1)&amp;"$",OFFSET(D49,1,0,$Q47-2)))</f>
        <v>0</v>
      </c>
      <c r="E49" s="203" t="str">
        <f ca="1">IF(OR($Q47&lt;&gt;2,AUTOEVENTO&lt;&gt;"manual",$E48&gt;0),"",SUMIF(OFFSET(CÁLCULO!$M$15,CRONO!$E47,0,OFFSET(ORÇAMENTO!$D$15,CRONO!$E47,0)),1,OFFSET(ORÇAMENTO!$X$15,CRONO!$E47,0,OFFSET(ORÇAMENTO!$D$15,CRONO!$E47,0))))</f>
        <v/>
      </c>
      <c r="G49" s="223"/>
      <c r="R49" s="224" t="str">
        <f t="shared" ref="R49" ca="1" si="86">L47&amp;"$"</f>
        <v>1$</v>
      </c>
      <c r="S49" s="225"/>
      <c r="T49" s="226">
        <f ca="1">IF($Q47=2,IF(AND(ACOMPANHAMENTO="PLE",ISNUMBER($E47)),SUMIF((OFFSET(CÁLCULO!$AM$15:$AW$15,$E47,0,OFFSET(ORÇAMENTO!$D$15,CRONO!$E47,0))),"&lt;="&amp;CRONO!T$12,OFFSET(CÁLCULO!$AB$15:$AL$15,$E47,0,OFFSET(ORÇAMENTO!$D$15,CRONO!$E47,0)))+IF(AND($E49&lt;&gt;"",$E49&lt;&gt;0),SUMIF(CÁLCULO!$AM$15:$AW$32,"&lt;="&amp;CRONO!T$12,CÁLCULO!$AB$15:$AL$32)/(ORÇAMENTO!$X$15-CÁLCULO.TotalAdmLocal)*CRONO!$E49,0),T48*$R47),SUMIF(OFFSET($R49,1,0,$Q47-2),($L47+1)&amp;"$",OFFSET(T49,1,0,$Q47-2)))</f>
        <v>0</v>
      </c>
      <c r="U49" s="222">
        <f ca="1">IF($Q47=2,IF(AND(ACOMPANHAMENTO="PLE",ISNUMBER($E47)),SUMIF((OFFSET(CÁLCULO!$AM$15:$AW$15,$E47,0,OFFSET(ORÇAMENTO!$D$15,CRONO!$E47,0))),"="&amp;CRONO!U$12,OFFSET(CÁLCULO!$AB$15:$AL$15,$E47,0,OFFSET(ORÇAMENTO!$D$15,CRONO!$E47,0)))+IF(AND($E49&lt;&gt;"",$E49&lt;&gt;0),SUMIF(CÁLCULO!$AM$15:$AW$32,"="&amp;CRONO!U$12,CÁLCULO!$AB$15:$AL$32)/(ORÇAMENTO!$X$15-CÁLCULO.TotalAdmLocal)*CRONO!$E49,0),U48*$R47),SUMIF(OFFSET($R49,1,0,$Q47-2),($L47+1)&amp;"$",OFFSET(U49,1,0,$Q47-2)))</f>
        <v>0</v>
      </c>
      <c r="V49" s="222">
        <f ca="1">IF($Q47=2,IF(AND(ACOMPANHAMENTO="PLE",ISNUMBER($E47)),SUMIF((OFFSET(CÁLCULO!$AM$15:$AW$15,$E47,0,OFFSET(ORÇAMENTO!$D$15,CRONO!$E47,0))),"="&amp;CRONO!V$12,OFFSET(CÁLCULO!$AB$15:$AL$15,$E47,0,OFFSET(ORÇAMENTO!$D$15,CRONO!$E47,0)))+IF(AND($E49&lt;&gt;"",$E49&lt;&gt;0),SUMIF(CÁLCULO!$AM$15:$AW$32,"="&amp;CRONO!V$12,CÁLCULO!$AB$15:$AL$32)/(ORÇAMENTO!$X$15-CÁLCULO.TotalAdmLocal)*CRONO!$E49,0),V48*$R47),SUMIF(OFFSET($R49,1,0,$Q47-2),($L47+1)&amp;"$",OFFSET(V49,1,0,$Q47-2)))</f>
        <v>0</v>
      </c>
      <c r="W49" s="222">
        <f ca="1">IF($Q47=2,IF(AND(ACOMPANHAMENTO="PLE",ISNUMBER($E47)),SUMIF((OFFSET(CÁLCULO!$AM$15:$AW$15,$E47,0,OFFSET(ORÇAMENTO!$D$15,CRONO!$E47,0))),"="&amp;CRONO!W$12,OFFSET(CÁLCULO!$AB$15:$AL$15,$E47,0,OFFSET(ORÇAMENTO!$D$15,CRONO!$E47,0)))+IF(AND($E49&lt;&gt;"",$E49&lt;&gt;0),SUMIF(CÁLCULO!$AM$15:$AW$32,"="&amp;CRONO!W$12,CÁLCULO!$AB$15:$AL$32)/(ORÇAMENTO!$X$15-CÁLCULO.TotalAdmLocal)*CRONO!$E49,0),W48*$R47),SUMIF(OFFSET($R49,1,0,$Q47-2),($L47+1)&amp;"$",OFFSET(W49,1,0,$Q47-2)))</f>
        <v>0</v>
      </c>
      <c r="X49" s="222">
        <f ca="1">IF($Q47=2,IF(AND(ACOMPANHAMENTO="PLE",ISNUMBER($E47)),SUMIF((OFFSET(CÁLCULO!$AM$15:$AW$15,$E47,0,OFFSET(ORÇAMENTO!$D$15,CRONO!$E47,0))),"="&amp;CRONO!X$12,OFFSET(CÁLCULO!$AB$15:$AL$15,$E47,0,OFFSET(ORÇAMENTO!$D$15,CRONO!$E47,0)))+IF(AND($E49&lt;&gt;"",$E49&lt;&gt;0),SUMIF(CÁLCULO!$AM$15:$AW$32,"="&amp;CRONO!X$12,CÁLCULO!$AB$15:$AL$32)/(ORÇAMENTO!$X$15-CÁLCULO.TotalAdmLocal)*CRONO!$E49,0),X48*$R47),SUMIF(OFFSET($R49,1,0,$Q47-2),($L47+1)&amp;"$",OFFSET(X49,1,0,$Q47-2)))</f>
        <v>0</v>
      </c>
      <c r="Y49" s="222">
        <f ca="1">IF($Q47=2,IF(AND(ACOMPANHAMENTO="PLE",ISNUMBER($E47)),SUMIF((OFFSET(CÁLCULO!$AM$15:$AW$15,$E47,0,OFFSET(ORÇAMENTO!$D$15,CRONO!$E47,0))),"="&amp;CRONO!Y$12,OFFSET(CÁLCULO!$AB$15:$AL$15,$E47,0,OFFSET(ORÇAMENTO!$D$15,CRONO!$E47,0)))+IF(AND($E49&lt;&gt;"",$E49&lt;&gt;0),SUMIF(CÁLCULO!$AM$15:$AW$32,"="&amp;CRONO!Y$12,CÁLCULO!$AB$15:$AL$32)/(ORÇAMENTO!$X$15-CÁLCULO.TotalAdmLocal)*CRONO!$E49,0),Y48*$R47),SUMIF(OFFSET($R49,1,0,$Q47-2),($L47+1)&amp;"$",OFFSET(Y49,1,0,$Q47-2)))</f>
        <v>0</v>
      </c>
      <c r="Z49" s="222">
        <f ca="1">IF($Q47=2,IF(AND(ACOMPANHAMENTO="PLE",ISNUMBER($E47)),SUMIF((OFFSET(CÁLCULO!$AM$15:$AW$15,$E47,0,OFFSET(ORÇAMENTO!$D$15,CRONO!$E47,0))),"="&amp;CRONO!Z$12,OFFSET(CÁLCULO!$AB$15:$AL$15,$E47,0,OFFSET(ORÇAMENTO!$D$15,CRONO!$E47,0)))+IF(AND($E49&lt;&gt;"",$E49&lt;&gt;0),SUMIF(CÁLCULO!$AM$15:$AW$32,"="&amp;CRONO!Z$12,CÁLCULO!$AB$15:$AL$32)/(ORÇAMENTO!$X$15-CÁLCULO.TotalAdmLocal)*CRONO!$E49,0),Z48*$R47),SUMIF(OFFSET($R49,1,0,$Q47-2),($L47+1)&amp;"$",OFFSET(Z49,1,0,$Q47-2)))</f>
        <v>0</v>
      </c>
      <c r="AA49" s="222">
        <f ca="1">IF($Q47=2,IF(AND(ACOMPANHAMENTO="PLE",ISNUMBER($E47)),SUMIF((OFFSET(CÁLCULO!$AM$15:$AW$15,$E47,0,OFFSET(ORÇAMENTO!$D$15,CRONO!$E47,0))),"="&amp;CRONO!AA$12,OFFSET(CÁLCULO!$AB$15:$AL$15,$E47,0,OFFSET(ORÇAMENTO!$D$15,CRONO!$E47,0)))+IF(AND($E49&lt;&gt;"",$E49&lt;&gt;0),SUMIF(CÁLCULO!$AM$15:$AW$32,"="&amp;CRONO!AA$12,CÁLCULO!$AB$15:$AL$32)/(ORÇAMENTO!$X$15-CÁLCULO.TotalAdmLocal)*CRONO!$E49,0),AA48*$R47),SUMIF(OFFSET($R49,1,0,$Q47-2),($L47+1)&amp;"$",OFFSET(AA49,1,0,$Q47-2)))</f>
        <v>0</v>
      </c>
      <c r="AB49" s="222">
        <f ca="1">IF($Q47=2,IF(AND(ACOMPANHAMENTO="PLE",ISNUMBER($E47)),SUMIF((OFFSET(CÁLCULO!$AM$15:$AW$15,$E47,0,OFFSET(ORÇAMENTO!$D$15,CRONO!$E47,0))),"="&amp;CRONO!AB$12,OFFSET(CÁLCULO!$AB$15:$AL$15,$E47,0,OFFSET(ORÇAMENTO!$D$15,CRONO!$E47,0)))+IF(AND($E49&lt;&gt;"",$E49&lt;&gt;0),SUMIF(CÁLCULO!$AM$15:$AW$32,"="&amp;CRONO!AB$12,CÁLCULO!$AB$15:$AL$32)/(ORÇAMENTO!$X$15-CÁLCULO.TotalAdmLocal)*CRONO!$E49,0),AB48*$R47),SUMIF(OFFSET($R49,1,0,$Q47-2),($L47+1)&amp;"$",OFFSET(AB49,1,0,$Q47-2)))</f>
        <v>0</v>
      </c>
      <c r="AC49" s="222">
        <f ca="1">IF($Q47=2,IF(AND(ACOMPANHAMENTO="PLE",ISNUMBER($E47)),SUMIF((OFFSET(CÁLCULO!$AM$15:$AW$15,$E47,0,OFFSET(ORÇAMENTO!$D$15,CRONO!$E47,0))),"="&amp;CRONO!AC$12,OFFSET(CÁLCULO!$AB$15:$AL$15,$E47,0,OFFSET(ORÇAMENTO!$D$15,CRONO!$E47,0)))+IF(AND($E49&lt;&gt;"",$E49&lt;&gt;0),SUMIF(CÁLCULO!$AM$15:$AW$32,"="&amp;CRONO!AC$12,CÁLCULO!$AB$15:$AL$32)/(ORÇAMENTO!$X$15-CÁLCULO.TotalAdmLocal)*CRONO!$E49,0),AC48*$R47),SUMIF(OFFSET($R49,1,0,$Q47-2),($L47+1)&amp;"$",OFFSET(AC49,1,0,$Q47-2)))</f>
        <v>0</v>
      </c>
      <c r="AD49" s="222">
        <f ca="1">IF($Q47=2,IF(AND(ACOMPANHAMENTO="PLE",ISNUMBER($E47)),SUMIF((OFFSET(CÁLCULO!$AM$15:$AW$15,$E47,0,OFFSET(ORÇAMENTO!$D$15,CRONO!$E47,0))),"="&amp;CRONO!AD$12,OFFSET(CÁLCULO!$AB$15:$AL$15,$E47,0,OFFSET(ORÇAMENTO!$D$15,CRONO!$E47,0)))+IF(AND($E49&lt;&gt;"",$E49&lt;&gt;0),SUMIF(CÁLCULO!$AM$15:$AW$32,"="&amp;CRONO!AD$12,CÁLCULO!$AB$15:$AL$32)/(ORÇAMENTO!$X$15-CÁLCULO.TotalAdmLocal)*CRONO!$E49,0),AD48*$R47),SUMIF(OFFSET($R49,1,0,$Q47-2),($L47+1)&amp;"$",OFFSET(AD49,1,0,$Q47-2)))</f>
        <v>0</v>
      </c>
      <c r="AE49" s="227">
        <f ca="1">IF($Q47=2,IF(AND(ACOMPANHAMENTO="PLE",ISNUMBER($E47)),SUMIF((OFFSET(CÁLCULO!$AM$15:$AW$15,$E47,0,OFFSET(ORÇAMENTO!$D$15,CRONO!$E47,0))),"="&amp;CRONO!AE$12,OFFSET(CÁLCULO!$AB$15:$AL$15,$E47,0,OFFSET(ORÇAMENTO!$D$15,CRONO!$E47,0)))+IF(AND($E49&lt;&gt;"",$E49&lt;&gt;0),SUMIF(CÁLCULO!$AM$15:$AW$32,"="&amp;CRONO!AE$12,CÁLCULO!$AB$15:$AL$32)/(ORÇAMENTO!$X$15-CÁLCULO.TotalAdmLocal)*CRONO!$E49,0),AE48*$R47),SUMIF(OFFSET($R49,1,0,$Q47-2),($L47+1)&amp;"$",OFFSET(AE49,1,0,$Q47-2)))</f>
        <v>0</v>
      </c>
    </row>
    <row r="50" spans="1:32" hidden="1" x14ac:dyDescent="0.25">
      <c r="A50" s="203">
        <f t="shared" ref="A50" ca="1" si="87">OFFSET(A50,-3,0)+1</f>
        <v>13</v>
      </c>
      <c r="B50" s="203">
        <f ca="1">IF($Q50&lt;&gt;2,0,IF($R50=0,1,IF(E51&gt;0,OFFSET(QCI!$M$13,SUBSTITUTE(E51,".",""),0),OFFSET(ORÇAMENTO!$AA$15,CRONO!$E50,0))/$R50))</f>
        <v>1</v>
      </c>
      <c r="C50" s="203">
        <f ca="1">IF($Q50&lt;&gt;2,0,IF($R50=0,1,IF(E51&gt;0,OFFSET(QCI!$N$13,SUBSTITUTE(E51,".",""),0),OFFSET(ORÇAMENTO!$AB$15,CRONO!$E50,0))/$R50))</f>
        <v>1</v>
      </c>
      <c r="D50" s="206" t="e">
        <f ca="1">IF(AND($Q50=2,ACOMPANHAMENTO="BM"),D51,D52/$R50)</f>
        <v>#DIV/0!</v>
      </c>
      <c r="E50" s="203" t="e">
        <f ca="1">IF(A50&lt;=ORÇAMENTO.MáximoListaCrono,MATCH(A50,ORÇAMENTO.ListaCrono,0),NA())</f>
        <v>#N/A</v>
      </c>
      <c r="F50" s="203" t="str">
        <f t="shared" ref="F50" ca="1" si="88">IF(AND($E51&lt;&gt;-1,$R50&gt;0),"F","")</f>
        <v/>
      </c>
      <c r="G50" s="207" t="str">
        <f ca="1">IF(OR(R50=0,R50=""),"Linha",IF(AND(OR(ACOMPANHAMENTO="PLE",$Q50&lt;&gt;2),$E51=0),"Linha",1-SUM(T50:AF50)))</f>
        <v>Linha</v>
      </c>
      <c r="H50" s="208">
        <f ca="1">IF($E51=0,OFFSET(ORÇAMENTO!O$15,$E50,0),IF($E51&lt;&gt;-1,OFFSET(QCI!$D$13,$E51,0),""))</f>
        <v>10</v>
      </c>
      <c r="I50" s="209" t="str">
        <f ca="1">IF($E51=0,OFFSET(ORÇAMENTO!R$15,$E50,0),IF($E51&lt;&gt;-1,OFFSET(QCI!$G$13,$E51,0),""))</f>
        <v/>
      </c>
      <c r="J50" s="209"/>
      <c r="K50" s="209"/>
      <c r="L50" s="210">
        <f ca="1">IF($E51=0,OFFSET(ORÇAMENTO!C$15,$E50,0),1)</f>
        <v>1</v>
      </c>
      <c r="M50" s="211">
        <f ca="1">IF($E51=-1,0,IF(M$13&lt;=$L50,IF(ISERROR(MATCH(M$13,OFFSET($L50,1,0,ROW($L$164)-ROW($L50)-1),0)),ROW($L$164)-ROW($L50)-1,MATCH(M$13,OFFSET($L50,1,0,ROW($L$164)-ROW($L50)-1),0)-1),0))</f>
        <v>2</v>
      </c>
      <c r="N50" s="211">
        <f ca="1">IF($E51=-1,0,IF(N$13&lt;=$L50,IF(ISERROR(MATCH(N$13,OFFSET($L50,1,0,ROW($L$164)-ROW($L50)-1),0)),ROW($L$164)-ROW($L50)-1,MATCH(N$13,OFFSET($L50,1,0,ROW($L$164)-ROW($L50)-1),0)-1),0))</f>
        <v>0</v>
      </c>
      <c r="O50" s="211">
        <f ca="1">IF($E51=-1,0,IF(O$13&lt;=$L50,IF(ISERROR(MATCH(O$13,OFFSET($L50,1,0,ROW($L$164)-ROW($L50)-1),0)),ROW($L$164)-ROW($L50)-1,MATCH(O$13,OFFSET($L50,1,0,ROW($L$164)-ROW($L50)-1),0)-1),0))</f>
        <v>0</v>
      </c>
      <c r="P50" s="211">
        <f ca="1">IF($E51=-1,0,IF(P$13&lt;=$L50,IF(ISERROR(MATCH(P$13,OFFSET($L50,1,0,ROW($L$164)-ROW($L50)-1),0)),ROW($L$164)-ROW($L50)-1,MATCH(P$13,OFFSET($L50,1,0,ROW($L$164)-ROW($L50)-1),0)-1),0))</f>
        <v>0</v>
      </c>
      <c r="Q50" s="211">
        <f t="shared" ref="Q50" ca="1" si="89">MIN(OFFSET(L50,0,1,,L50))</f>
        <v>2</v>
      </c>
      <c r="R50" s="212">
        <f ca="1">IF($E51=0,OFFSET(ORÇAMENTO!X$15,$E50,0),IF($E51&lt;&gt;-1,OFFSET(QCI!$O$13,$E51,0),""))</f>
        <v>0</v>
      </c>
      <c r="S50" s="213" t="s">
        <v>270</v>
      </c>
      <c r="T50" s="214" t="e">
        <f t="shared" ref="T50:AE50" ca="1" si="90">IF(AND($Q50=2,ACOMPANHAMENTO="BM"),T51,T52/$R50)</f>
        <v>#DIV/0!</v>
      </c>
      <c r="U50" s="206" t="e">
        <f t="shared" ca="1" si="90"/>
        <v>#DIV/0!</v>
      </c>
      <c r="V50" s="206" t="e">
        <f t="shared" ca="1" si="90"/>
        <v>#DIV/0!</v>
      </c>
      <c r="W50" s="206" t="e">
        <f t="shared" ca="1" si="90"/>
        <v>#DIV/0!</v>
      </c>
      <c r="X50" s="206" t="e">
        <f t="shared" ca="1" si="90"/>
        <v>#DIV/0!</v>
      </c>
      <c r="Y50" s="206" t="e">
        <f t="shared" ca="1" si="90"/>
        <v>#DIV/0!</v>
      </c>
      <c r="Z50" s="206" t="e">
        <f t="shared" ca="1" si="90"/>
        <v>#DIV/0!</v>
      </c>
      <c r="AA50" s="206" t="e">
        <f t="shared" ca="1" si="90"/>
        <v>#DIV/0!</v>
      </c>
      <c r="AB50" s="206" t="e">
        <f t="shared" ca="1" si="90"/>
        <v>#DIV/0!</v>
      </c>
      <c r="AC50" s="206" t="e">
        <f t="shared" ca="1" si="90"/>
        <v>#DIV/0!</v>
      </c>
      <c r="AD50" s="206" t="e">
        <f t="shared" ca="1" si="90"/>
        <v>#DIV/0!</v>
      </c>
      <c r="AE50" s="215" t="e">
        <f t="shared" ca="1" si="90"/>
        <v>#DIV/0!</v>
      </c>
    </row>
    <row r="51" spans="1:32" ht="12.75" hidden="1" customHeight="1" x14ac:dyDescent="0.25">
      <c r="D51" s="568"/>
      <c r="E51" s="203">
        <f ca="1">IF(ISERROR(E50),IF(1+COUNTIF($L$13:OFFSET(L50,-1,0),1)&lt;=MAX(QCI!$D$13:$D$24),1+COUNTIF($L$13:OFFSET(L50,-1,0),1),-1),0)</f>
        <v>10</v>
      </c>
      <c r="F51" s="203" t="str">
        <f t="shared" ref="F51" ca="1" si="91">IF(AND($E51&lt;&gt;-1,$R50&gt;0),"F","")</f>
        <v/>
      </c>
      <c r="G51" s="216" t="str">
        <f ca="1">IF(OR(R50=0,R50=""),"vazia",IF(AND(OR(ACOMPANHAMENTO="PLE",$Q50&lt;&gt;2),$E51=0),"calculada","--&gt;"))</f>
        <v>vazia</v>
      </c>
      <c r="H51" s="217"/>
      <c r="I51" s="218" t="str">
        <f t="shared" ref="I51" ca="1" si="92">IF(AND(G50&lt;&gt;0,ISNUMBER(G50)),"PREENCHA ESTA LINHA --&gt;","")</f>
        <v/>
      </c>
      <c r="J51" s="218"/>
      <c r="K51" s="218"/>
      <c r="L51" s="219"/>
      <c r="M51" s="219"/>
      <c r="N51" s="219"/>
      <c r="O51" s="219"/>
      <c r="P51" s="219"/>
      <c r="Q51" s="219"/>
      <c r="R51" s="220"/>
      <c r="S51" s="221"/>
      <c r="T51" s="569"/>
      <c r="U51" s="568"/>
      <c r="V51" s="568"/>
      <c r="W51" s="568"/>
      <c r="X51" s="568"/>
      <c r="Y51" s="568"/>
      <c r="Z51" s="568"/>
      <c r="AA51" s="568"/>
      <c r="AB51" s="568"/>
      <c r="AC51" s="568"/>
      <c r="AD51" s="568"/>
      <c r="AE51" s="570"/>
      <c r="AF51" s="532"/>
    </row>
    <row r="52" spans="1:32" ht="0.15" hidden="1" customHeight="1" x14ac:dyDescent="0.25">
      <c r="D52" s="222">
        <f ca="1">IF($Q50=2,IF(AND(ACOMPANHAMENTO="PLE",ISNUMBER($E50)),SUMIF((OFFSET(CÁLCULO!$AM$15:$AW$15,$E50,0,OFFSET(ORÇAMENTO!$D$15,CRONO!$E50,0))),"="&amp;CRONO!D$12,OFFSET(CÁLCULO!$AB$15:$AL$15,$E50,0,OFFSET(ORÇAMENTO!$D$15,CRONO!$E50,0)))+IF(AND($E52&lt;&gt;"",$E52&lt;&gt;0),SUMIF(CÁLCULO!$AM$15:$AW$32,"="&amp;CRONO!D$12,CÁLCULO!$AB$15:$AL$32)/(ORÇAMENTO!$X$15-CÁLCULO.TotalAdmLocal)*CRONO!$E52,0),D51*$R50),SUMIF(OFFSET($R52,1,0,$Q50-2),($L50+1)&amp;"$",OFFSET(D52,1,0,$Q50-2)))</f>
        <v>0</v>
      </c>
      <c r="E52" s="203" t="str">
        <f ca="1">IF(OR($Q50&lt;&gt;2,AUTOEVENTO&lt;&gt;"manual",$E51&gt;0),"",SUMIF(OFFSET(CÁLCULO!$M$15,CRONO!$E50,0,OFFSET(ORÇAMENTO!$D$15,CRONO!$E50,0)),1,OFFSET(ORÇAMENTO!$X$15,CRONO!$E50,0,OFFSET(ORÇAMENTO!$D$15,CRONO!$E50,0))))</f>
        <v/>
      </c>
      <c r="G52" s="223"/>
      <c r="R52" s="224" t="str">
        <f t="shared" ref="R52" ca="1" si="93">L50&amp;"$"</f>
        <v>1$</v>
      </c>
      <c r="S52" s="225"/>
      <c r="T52" s="226">
        <f ca="1">IF($Q50=2,IF(AND(ACOMPANHAMENTO="PLE",ISNUMBER($E50)),SUMIF((OFFSET(CÁLCULO!$AM$15:$AW$15,$E50,0,OFFSET(ORÇAMENTO!$D$15,CRONO!$E50,0))),"&lt;="&amp;CRONO!T$12,OFFSET(CÁLCULO!$AB$15:$AL$15,$E50,0,OFFSET(ORÇAMENTO!$D$15,CRONO!$E50,0)))+IF(AND($E52&lt;&gt;"",$E52&lt;&gt;0),SUMIF(CÁLCULO!$AM$15:$AW$32,"&lt;="&amp;CRONO!T$12,CÁLCULO!$AB$15:$AL$32)/(ORÇAMENTO!$X$15-CÁLCULO.TotalAdmLocal)*CRONO!$E52,0),T51*$R50),SUMIF(OFFSET($R52,1,0,$Q50-2),($L50+1)&amp;"$",OFFSET(T52,1,0,$Q50-2)))</f>
        <v>0</v>
      </c>
      <c r="U52" s="222">
        <f ca="1">IF($Q50=2,IF(AND(ACOMPANHAMENTO="PLE",ISNUMBER($E50)),SUMIF((OFFSET(CÁLCULO!$AM$15:$AW$15,$E50,0,OFFSET(ORÇAMENTO!$D$15,CRONO!$E50,0))),"="&amp;CRONO!U$12,OFFSET(CÁLCULO!$AB$15:$AL$15,$E50,0,OFFSET(ORÇAMENTO!$D$15,CRONO!$E50,0)))+IF(AND($E52&lt;&gt;"",$E52&lt;&gt;0),SUMIF(CÁLCULO!$AM$15:$AW$32,"="&amp;CRONO!U$12,CÁLCULO!$AB$15:$AL$32)/(ORÇAMENTO!$X$15-CÁLCULO.TotalAdmLocal)*CRONO!$E52,0),U51*$R50),SUMIF(OFFSET($R52,1,0,$Q50-2),($L50+1)&amp;"$",OFFSET(U52,1,0,$Q50-2)))</f>
        <v>0</v>
      </c>
      <c r="V52" s="222">
        <f ca="1">IF($Q50=2,IF(AND(ACOMPANHAMENTO="PLE",ISNUMBER($E50)),SUMIF((OFFSET(CÁLCULO!$AM$15:$AW$15,$E50,0,OFFSET(ORÇAMENTO!$D$15,CRONO!$E50,0))),"="&amp;CRONO!V$12,OFFSET(CÁLCULO!$AB$15:$AL$15,$E50,0,OFFSET(ORÇAMENTO!$D$15,CRONO!$E50,0)))+IF(AND($E52&lt;&gt;"",$E52&lt;&gt;0),SUMIF(CÁLCULO!$AM$15:$AW$32,"="&amp;CRONO!V$12,CÁLCULO!$AB$15:$AL$32)/(ORÇAMENTO!$X$15-CÁLCULO.TotalAdmLocal)*CRONO!$E52,0),V51*$R50),SUMIF(OFFSET($R52,1,0,$Q50-2),($L50+1)&amp;"$",OFFSET(V52,1,0,$Q50-2)))</f>
        <v>0</v>
      </c>
      <c r="W52" s="222">
        <f ca="1">IF($Q50=2,IF(AND(ACOMPANHAMENTO="PLE",ISNUMBER($E50)),SUMIF((OFFSET(CÁLCULO!$AM$15:$AW$15,$E50,0,OFFSET(ORÇAMENTO!$D$15,CRONO!$E50,0))),"="&amp;CRONO!W$12,OFFSET(CÁLCULO!$AB$15:$AL$15,$E50,0,OFFSET(ORÇAMENTO!$D$15,CRONO!$E50,0)))+IF(AND($E52&lt;&gt;"",$E52&lt;&gt;0),SUMIF(CÁLCULO!$AM$15:$AW$32,"="&amp;CRONO!W$12,CÁLCULO!$AB$15:$AL$32)/(ORÇAMENTO!$X$15-CÁLCULO.TotalAdmLocal)*CRONO!$E52,0),W51*$R50),SUMIF(OFFSET($R52,1,0,$Q50-2),($L50+1)&amp;"$",OFFSET(W52,1,0,$Q50-2)))</f>
        <v>0</v>
      </c>
      <c r="X52" s="222">
        <f ca="1">IF($Q50=2,IF(AND(ACOMPANHAMENTO="PLE",ISNUMBER($E50)),SUMIF((OFFSET(CÁLCULO!$AM$15:$AW$15,$E50,0,OFFSET(ORÇAMENTO!$D$15,CRONO!$E50,0))),"="&amp;CRONO!X$12,OFFSET(CÁLCULO!$AB$15:$AL$15,$E50,0,OFFSET(ORÇAMENTO!$D$15,CRONO!$E50,0)))+IF(AND($E52&lt;&gt;"",$E52&lt;&gt;0),SUMIF(CÁLCULO!$AM$15:$AW$32,"="&amp;CRONO!X$12,CÁLCULO!$AB$15:$AL$32)/(ORÇAMENTO!$X$15-CÁLCULO.TotalAdmLocal)*CRONO!$E52,0),X51*$R50),SUMIF(OFFSET($R52,1,0,$Q50-2),($L50+1)&amp;"$",OFFSET(X52,1,0,$Q50-2)))</f>
        <v>0</v>
      </c>
      <c r="Y52" s="222">
        <f ca="1">IF($Q50=2,IF(AND(ACOMPANHAMENTO="PLE",ISNUMBER($E50)),SUMIF((OFFSET(CÁLCULO!$AM$15:$AW$15,$E50,0,OFFSET(ORÇAMENTO!$D$15,CRONO!$E50,0))),"="&amp;CRONO!Y$12,OFFSET(CÁLCULO!$AB$15:$AL$15,$E50,0,OFFSET(ORÇAMENTO!$D$15,CRONO!$E50,0)))+IF(AND($E52&lt;&gt;"",$E52&lt;&gt;0),SUMIF(CÁLCULO!$AM$15:$AW$32,"="&amp;CRONO!Y$12,CÁLCULO!$AB$15:$AL$32)/(ORÇAMENTO!$X$15-CÁLCULO.TotalAdmLocal)*CRONO!$E52,0),Y51*$R50),SUMIF(OFFSET($R52,1,0,$Q50-2),($L50+1)&amp;"$",OFFSET(Y52,1,0,$Q50-2)))</f>
        <v>0</v>
      </c>
      <c r="Z52" s="222">
        <f ca="1">IF($Q50=2,IF(AND(ACOMPANHAMENTO="PLE",ISNUMBER($E50)),SUMIF((OFFSET(CÁLCULO!$AM$15:$AW$15,$E50,0,OFFSET(ORÇAMENTO!$D$15,CRONO!$E50,0))),"="&amp;CRONO!Z$12,OFFSET(CÁLCULO!$AB$15:$AL$15,$E50,0,OFFSET(ORÇAMENTO!$D$15,CRONO!$E50,0)))+IF(AND($E52&lt;&gt;"",$E52&lt;&gt;0),SUMIF(CÁLCULO!$AM$15:$AW$32,"="&amp;CRONO!Z$12,CÁLCULO!$AB$15:$AL$32)/(ORÇAMENTO!$X$15-CÁLCULO.TotalAdmLocal)*CRONO!$E52,0),Z51*$R50),SUMIF(OFFSET($R52,1,0,$Q50-2),($L50+1)&amp;"$",OFFSET(Z52,1,0,$Q50-2)))</f>
        <v>0</v>
      </c>
      <c r="AA52" s="222">
        <f ca="1">IF($Q50=2,IF(AND(ACOMPANHAMENTO="PLE",ISNUMBER($E50)),SUMIF((OFFSET(CÁLCULO!$AM$15:$AW$15,$E50,0,OFFSET(ORÇAMENTO!$D$15,CRONO!$E50,0))),"="&amp;CRONO!AA$12,OFFSET(CÁLCULO!$AB$15:$AL$15,$E50,0,OFFSET(ORÇAMENTO!$D$15,CRONO!$E50,0)))+IF(AND($E52&lt;&gt;"",$E52&lt;&gt;0),SUMIF(CÁLCULO!$AM$15:$AW$32,"="&amp;CRONO!AA$12,CÁLCULO!$AB$15:$AL$32)/(ORÇAMENTO!$X$15-CÁLCULO.TotalAdmLocal)*CRONO!$E52,0),AA51*$R50),SUMIF(OFFSET($R52,1,0,$Q50-2),($L50+1)&amp;"$",OFFSET(AA52,1,0,$Q50-2)))</f>
        <v>0</v>
      </c>
      <c r="AB52" s="222">
        <f ca="1">IF($Q50=2,IF(AND(ACOMPANHAMENTO="PLE",ISNUMBER($E50)),SUMIF((OFFSET(CÁLCULO!$AM$15:$AW$15,$E50,0,OFFSET(ORÇAMENTO!$D$15,CRONO!$E50,0))),"="&amp;CRONO!AB$12,OFFSET(CÁLCULO!$AB$15:$AL$15,$E50,0,OFFSET(ORÇAMENTO!$D$15,CRONO!$E50,0)))+IF(AND($E52&lt;&gt;"",$E52&lt;&gt;0),SUMIF(CÁLCULO!$AM$15:$AW$32,"="&amp;CRONO!AB$12,CÁLCULO!$AB$15:$AL$32)/(ORÇAMENTO!$X$15-CÁLCULO.TotalAdmLocal)*CRONO!$E52,0),AB51*$R50),SUMIF(OFFSET($R52,1,0,$Q50-2),($L50+1)&amp;"$",OFFSET(AB52,1,0,$Q50-2)))</f>
        <v>0</v>
      </c>
      <c r="AC52" s="222">
        <f ca="1">IF($Q50=2,IF(AND(ACOMPANHAMENTO="PLE",ISNUMBER($E50)),SUMIF((OFFSET(CÁLCULO!$AM$15:$AW$15,$E50,0,OFFSET(ORÇAMENTO!$D$15,CRONO!$E50,0))),"="&amp;CRONO!AC$12,OFFSET(CÁLCULO!$AB$15:$AL$15,$E50,0,OFFSET(ORÇAMENTO!$D$15,CRONO!$E50,0)))+IF(AND($E52&lt;&gt;"",$E52&lt;&gt;0),SUMIF(CÁLCULO!$AM$15:$AW$32,"="&amp;CRONO!AC$12,CÁLCULO!$AB$15:$AL$32)/(ORÇAMENTO!$X$15-CÁLCULO.TotalAdmLocal)*CRONO!$E52,0),AC51*$R50),SUMIF(OFFSET($R52,1,0,$Q50-2),($L50+1)&amp;"$",OFFSET(AC52,1,0,$Q50-2)))</f>
        <v>0</v>
      </c>
      <c r="AD52" s="222">
        <f ca="1">IF($Q50=2,IF(AND(ACOMPANHAMENTO="PLE",ISNUMBER($E50)),SUMIF((OFFSET(CÁLCULO!$AM$15:$AW$15,$E50,0,OFFSET(ORÇAMENTO!$D$15,CRONO!$E50,0))),"="&amp;CRONO!AD$12,OFFSET(CÁLCULO!$AB$15:$AL$15,$E50,0,OFFSET(ORÇAMENTO!$D$15,CRONO!$E50,0)))+IF(AND($E52&lt;&gt;"",$E52&lt;&gt;0),SUMIF(CÁLCULO!$AM$15:$AW$32,"="&amp;CRONO!AD$12,CÁLCULO!$AB$15:$AL$32)/(ORÇAMENTO!$X$15-CÁLCULO.TotalAdmLocal)*CRONO!$E52,0),AD51*$R50),SUMIF(OFFSET($R52,1,0,$Q50-2),($L50+1)&amp;"$",OFFSET(AD52,1,0,$Q50-2)))</f>
        <v>0</v>
      </c>
      <c r="AE52" s="227">
        <f ca="1">IF($Q50=2,IF(AND(ACOMPANHAMENTO="PLE",ISNUMBER($E50)),SUMIF((OFFSET(CÁLCULO!$AM$15:$AW$15,$E50,0,OFFSET(ORÇAMENTO!$D$15,CRONO!$E50,0))),"="&amp;CRONO!AE$12,OFFSET(CÁLCULO!$AB$15:$AL$15,$E50,0,OFFSET(ORÇAMENTO!$D$15,CRONO!$E50,0)))+IF(AND($E52&lt;&gt;"",$E52&lt;&gt;0),SUMIF(CÁLCULO!$AM$15:$AW$32,"="&amp;CRONO!AE$12,CÁLCULO!$AB$15:$AL$32)/(ORÇAMENTO!$X$15-CÁLCULO.TotalAdmLocal)*CRONO!$E52,0),AE51*$R50),SUMIF(OFFSET($R52,1,0,$Q50-2),($L50+1)&amp;"$",OFFSET(AE52,1,0,$Q50-2)))</f>
        <v>0</v>
      </c>
    </row>
    <row r="53" spans="1:32" hidden="1" x14ac:dyDescent="0.25">
      <c r="A53" s="203">
        <f t="shared" ref="A53" ca="1" si="94">OFFSET(A53,-3,0)+1</f>
        <v>14</v>
      </c>
      <c r="B53" s="203">
        <f ca="1">IF($Q53&lt;&gt;2,0,IF($R53=0,1,IF(E54&gt;0,OFFSET(QCI!$M$13,SUBSTITUTE(E54,".",""),0),OFFSET(ORÇAMENTO!$AA$15,CRONO!$E53,0))/$R53))</f>
        <v>0</v>
      </c>
      <c r="C53" s="203">
        <f ca="1">IF($Q53&lt;&gt;2,0,IF($R53=0,1,IF(E54&gt;0,OFFSET(QCI!$N$13,SUBSTITUTE(E54,".",""),0),OFFSET(ORÇAMENTO!$AB$15,CRONO!$E53,0))/$R53))</f>
        <v>0</v>
      </c>
      <c r="D53" s="206" t="e">
        <f ca="1">IF(AND($Q53=2,ACOMPANHAMENTO="BM"),D54,D55/$R53)</f>
        <v>#VALUE!</v>
      </c>
      <c r="E53" s="203" t="e">
        <f ca="1">IF(A53&lt;=ORÇAMENTO.MáximoListaCrono,MATCH(A53,ORÇAMENTO.ListaCrono,0),NA())</f>
        <v>#N/A</v>
      </c>
      <c r="F53" s="203" t="str">
        <f t="shared" ref="F53" ca="1" si="95">IF(AND($E54&lt;&gt;-1,$R53&gt;0),"F","")</f>
        <v/>
      </c>
      <c r="G53" s="207" t="str">
        <f ca="1">IF(OR(R53=0,R53=""),"Linha",IF(AND(OR(ACOMPANHAMENTO="PLE",$Q53&lt;&gt;2),$E54=0),"Linha",1-SUM(T53:AF53)))</f>
        <v>Linha</v>
      </c>
      <c r="H53" s="208" t="str">
        <f ca="1">IF($E54=0,OFFSET(ORÇAMENTO!O$15,$E53,0),IF($E54&lt;&gt;-1,OFFSET(QCI!$D$13,$E54,0),""))</f>
        <v/>
      </c>
      <c r="I53" s="209" t="str">
        <f ca="1">IF($E54=0,OFFSET(ORÇAMENTO!R$15,$E53,0),IF($E54&lt;&gt;-1,OFFSET(QCI!$G$13,$E54,0),""))</f>
        <v/>
      </c>
      <c r="J53" s="209"/>
      <c r="K53" s="209"/>
      <c r="L53" s="210">
        <f ca="1">IF($E54=0,OFFSET(ORÇAMENTO!C$15,$E53,0),1)</f>
        <v>1</v>
      </c>
      <c r="M53" s="211">
        <f ca="1">IF($E54=-1,0,IF(M$13&lt;=$L53,IF(ISERROR(MATCH(M$13,OFFSET($L53,1,0,ROW($L$164)-ROW($L53)-1),0)),ROW($L$164)-ROW($L53)-1,MATCH(M$13,OFFSET($L53,1,0,ROW($L$164)-ROW($L53)-1),0)-1),0))</f>
        <v>0</v>
      </c>
      <c r="N53" s="211">
        <f ca="1">IF($E54=-1,0,IF(N$13&lt;=$L53,IF(ISERROR(MATCH(N$13,OFFSET($L53,1,0,ROW($L$164)-ROW($L53)-1),0)),ROW($L$164)-ROW($L53)-1,MATCH(N$13,OFFSET($L53,1,0,ROW($L$164)-ROW($L53)-1),0)-1),0))</f>
        <v>0</v>
      </c>
      <c r="O53" s="211">
        <f ca="1">IF($E54=-1,0,IF(O$13&lt;=$L53,IF(ISERROR(MATCH(O$13,OFFSET($L53,1,0,ROW($L$164)-ROW($L53)-1),0)),ROW($L$164)-ROW($L53)-1,MATCH(O$13,OFFSET($L53,1,0,ROW($L$164)-ROW($L53)-1),0)-1),0))</f>
        <v>0</v>
      </c>
      <c r="P53" s="211">
        <f ca="1">IF($E54=-1,0,IF(P$13&lt;=$L53,IF(ISERROR(MATCH(P$13,OFFSET($L53,1,0,ROW($L$164)-ROW($L53)-1),0)),ROW($L$164)-ROW($L53)-1,MATCH(P$13,OFFSET($L53,1,0,ROW($L$164)-ROW($L53)-1),0)-1),0))</f>
        <v>0</v>
      </c>
      <c r="Q53" s="211">
        <f t="shared" ref="Q53" ca="1" si="96">MIN(OFFSET(L53,0,1,,L53))</f>
        <v>0</v>
      </c>
      <c r="R53" s="212" t="str">
        <f ca="1">IF($E54=0,OFFSET(ORÇAMENTO!X$15,$E53,0),IF($E54&lt;&gt;-1,OFFSET(QCI!$O$13,$E54,0),""))</f>
        <v/>
      </c>
      <c r="S53" s="213" t="s">
        <v>270</v>
      </c>
      <c r="T53" s="214" t="e">
        <f t="shared" ref="T53:AE53" ca="1" si="97">IF(AND($Q53=2,ACOMPANHAMENTO="BM"),T54,T55/$R53)</f>
        <v>#VALUE!</v>
      </c>
      <c r="U53" s="206" t="e">
        <f t="shared" ca="1" si="97"/>
        <v>#VALUE!</v>
      </c>
      <c r="V53" s="206" t="e">
        <f t="shared" ca="1" si="97"/>
        <v>#VALUE!</v>
      </c>
      <c r="W53" s="206" t="e">
        <f t="shared" ca="1" si="97"/>
        <v>#VALUE!</v>
      </c>
      <c r="X53" s="206" t="e">
        <f t="shared" ca="1" si="97"/>
        <v>#VALUE!</v>
      </c>
      <c r="Y53" s="206" t="e">
        <f t="shared" ca="1" si="97"/>
        <v>#VALUE!</v>
      </c>
      <c r="Z53" s="206" t="e">
        <f t="shared" ca="1" si="97"/>
        <v>#VALUE!</v>
      </c>
      <c r="AA53" s="206" t="e">
        <f t="shared" ca="1" si="97"/>
        <v>#VALUE!</v>
      </c>
      <c r="AB53" s="206" t="e">
        <f t="shared" ca="1" si="97"/>
        <v>#VALUE!</v>
      </c>
      <c r="AC53" s="206" t="e">
        <f t="shared" ca="1" si="97"/>
        <v>#VALUE!</v>
      </c>
      <c r="AD53" s="206" t="e">
        <f t="shared" ca="1" si="97"/>
        <v>#VALUE!</v>
      </c>
      <c r="AE53" s="215" t="e">
        <f t="shared" ca="1" si="97"/>
        <v>#VALUE!</v>
      </c>
    </row>
    <row r="54" spans="1:32" ht="12.75" hidden="1" customHeight="1" x14ac:dyDescent="0.25">
      <c r="D54" s="568"/>
      <c r="E54" s="203">
        <f ca="1">IF(ISERROR(E53),IF(1+COUNTIF($L$13:OFFSET(L53,-1,0),1)&lt;=MAX(QCI!$D$13:$D$24),1+COUNTIF($L$13:OFFSET(L53,-1,0),1),-1),0)</f>
        <v>-1</v>
      </c>
      <c r="F54" s="203" t="str">
        <f t="shared" ref="F54" ca="1" si="98">IF(AND($E54&lt;&gt;-1,$R53&gt;0),"F","")</f>
        <v/>
      </c>
      <c r="G54" s="216" t="str">
        <f ca="1">IF(OR(R53=0,R53=""),"vazia",IF(AND(OR(ACOMPANHAMENTO="PLE",$Q53&lt;&gt;2),$E54=0),"calculada","--&gt;"))</f>
        <v>vazia</v>
      </c>
      <c r="H54" s="217"/>
      <c r="I54" s="218" t="str">
        <f t="shared" ref="I54" ca="1" si="99">IF(AND(G53&lt;&gt;0,ISNUMBER(G53)),"PREENCHA ESTA LINHA --&gt;","")</f>
        <v/>
      </c>
      <c r="J54" s="218"/>
      <c r="K54" s="218"/>
      <c r="L54" s="219"/>
      <c r="M54" s="219"/>
      <c r="N54" s="219"/>
      <c r="O54" s="219"/>
      <c r="P54" s="219"/>
      <c r="Q54" s="219"/>
      <c r="R54" s="220"/>
      <c r="S54" s="221"/>
      <c r="T54" s="569"/>
      <c r="U54" s="568"/>
      <c r="V54" s="568"/>
      <c r="W54" s="568"/>
      <c r="X54" s="568"/>
      <c r="Y54" s="568"/>
      <c r="Z54" s="568"/>
      <c r="AA54" s="568"/>
      <c r="AB54" s="568"/>
      <c r="AC54" s="568"/>
      <c r="AD54" s="568"/>
      <c r="AE54" s="570"/>
      <c r="AF54" s="532"/>
    </row>
    <row r="55" spans="1:32" ht="0.15" hidden="1" customHeight="1" x14ac:dyDescent="0.25">
      <c r="D55" s="222">
        <f ca="1">IF($Q53=2,IF(AND(ACOMPANHAMENTO="PLE",ISNUMBER($E53)),SUMIF((OFFSET(CÁLCULO!$AM$15:$AW$15,$E53,0,OFFSET(ORÇAMENTO!$D$15,CRONO!$E53,0))),"="&amp;CRONO!D$12,OFFSET(CÁLCULO!$AB$15:$AL$15,$E53,0,OFFSET(ORÇAMENTO!$D$15,CRONO!$E53,0)))+IF(AND($E55&lt;&gt;"",$E55&lt;&gt;0),SUMIF(CÁLCULO!$AM$15:$AW$32,"="&amp;CRONO!D$12,CÁLCULO!$AB$15:$AL$32)/(ORÇAMENTO!$X$15-CÁLCULO.TotalAdmLocal)*CRONO!$E55,0),D54*$R53),SUMIF(OFFSET($R55,1,0,$Q53-2),($L53+1)&amp;"$",OFFSET(D55,1,0,$Q53-2)))</f>
        <v>0</v>
      </c>
      <c r="E55" s="203" t="str">
        <f ca="1">IF(OR($Q53&lt;&gt;2,AUTOEVENTO&lt;&gt;"manual",$E54&gt;0),"",SUMIF(OFFSET(CÁLCULO!$M$15,CRONO!$E53,0,OFFSET(ORÇAMENTO!$D$15,CRONO!$E53,0)),1,OFFSET(ORÇAMENTO!$X$15,CRONO!$E53,0,OFFSET(ORÇAMENTO!$D$15,CRONO!$E53,0))))</f>
        <v/>
      </c>
      <c r="G55" s="223"/>
      <c r="R55" s="224" t="str">
        <f t="shared" ref="R55" ca="1" si="100">L53&amp;"$"</f>
        <v>1$</v>
      </c>
      <c r="S55" s="225"/>
      <c r="T55" s="226">
        <f ca="1">IF($Q53=2,IF(AND(ACOMPANHAMENTO="PLE",ISNUMBER($E53)),SUMIF((OFFSET(CÁLCULO!$AM$15:$AW$15,$E53,0,OFFSET(ORÇAMENTO!$D$15,CRONO!$E53,0))),"&lt;="&amp;CRONO!T$12,OFFSET(CÁLCULO!$AB$15:$AL$15,$E53,0,OFFSET(ORÇAMENTO!$D$15,CRONO!$E53,0)))+IF(AND($E55&lt;&gt;"",$E55&lt;&gt;0),SUMIF(CÁLCULO!$AM$15:$AW$32,"&lt;="&amp;CRONO!T$12,CÁLCULO!$AB$15:$AL$32)/(ORÇAMENTO!$X$15-CÁLCULO.TotalAdmLocal)*CRONO!$E55,0),T54*$R53),SUMIF(OFFSET($R55,1,0,$Q53-2),($L53+1)&amp;"$",OFFSET(T55,1,0,$Q53-2)))</f>
        <v>0</v>
      </c>
      <c r="U55" s="222">
        <f ca="1">IF($Q53=2,IF(AND(ACOMPANHAMENTO="PLE",ISNUMBER($E53)),SUMIF((OFFSET(CÁLCULO!$AM$15:$AW$15,$E53,0,OFFSET(ORÇAMENTO!$D$15,CRONO!$E53,0))),"="&amp;CRONO!U$12,OFFSET(CÁLCULO!$AB$15:$AL$15,$E53,0,OFFSET(ORÇAMENTO!$D$15,CRONO!$E53,0)))+IF(AND($E55&lt;&gt;"",$E55&lt;&gt;0),SUMIF(CÁLCULO!$AM$15:$AW$32,"="&amp;CRONO!U$12,CÁLCULO!$AB$15:$AL$32)/(ORÇAMENTO!$X$15-CÁLCULO.TotalAdmLocal)*CRONO!$E55,0),U54*$R53),SUMIF(OFFSET($R55,1,0,$Q53-2),($L53+1)&amp;"$",OFFSET(U55,1,0,$Q53-2)))</f>
        <v>0</v>
      </c>
      <c r="V55" s="222">
        <f ca="1">IF($Q53=2,IF(AND(ACOMPANHAMENTO="PLE",ISNUMBER($E53)),SUMIF((OFFSET(CÁLCULO!$AM$15:$AW$15,$E53,0,OFFSET(ORÇAMENTO!$D$15,CRONO!$E53,0))),"="&amp;CRONO!V$12,OFFSET(CÁLCULO!$AB$15:$AL$15,$E53,0,OFFSET(ORÇAMENTO!$D$15,CRONO!$E53,0)))+IF(AND($E55&lt;&gt;"",$E55&lt;&gt;0),SUMIF(CÁLCULO!$AM$15:$AW$32,"="&amp;CRONO!V$12,CÁLCULO!$AB$15:$AL$32)/(ORÇAMENTO!$X$15-CÁLCULO.TotalAdmLocal)*CRONO!$E55,0),V54*$R53),SUMIF(OFFSET($R55,1,0,$Q53-2),($L53+1)&amp;"$",OFFSET(V55,1,0,$Q53-2)))</f>
        <v>0</v>
      </c>
      <c r="W55" s="222">
        <f ca="1">IF($Q53=2,IF(AND(ACOMPANHAMENTO="PLE",ISNUMBER($E53)),SUMIF((OFFSET(CÁLCULO!$AM$15:$AW$15,$E53,0,OFFSET(ORÇAMENTO!$D$15,CRONO!$E53,0))),"="&amp;CRONO!W$12,OFFSET(CÁLCULO!$AB$15:$AL$15,$E53,0,OFFSET(ORÇAMENTO!$D$15,CRONO!$E53,0)))+IF(AND($E55&lt;&gt;"",$E55&lt;&gt;0),SUMIF(CÁLCULO!$AM$15:$AW$32,"="&amp;CRONO!W$12,CÁLCULO!$AB$15:$AL$32)/(ORÇAMENTO!$X$15-CÁLCULO.TotalAdmLocal)*CRONO!$E55,0),W54*$R53),SUMIF(OFFSET($R55,1,0,$Q53-2),($L53+1)&amp;"$",OFFSET(W55,1,0,$Q53-2)))</f>
        <v>0</v>
      </c>
      <c r="X55" s="222">
        <f ca="1">IF($Q53=2,IF(AND(ACOMPANHAMENTO="PLE",ISNUMBER($E53)),SUMIF((OFFSET(CÁLCULO!$AM$15:$AW$15,$E53,0,OFFSET(ORÇAMENTO!$D$15,CRONO!$E53,0))),"="&amp;CRONO!X$12,OFFSET(CÁLCULO!$AB$15:$AL$15,$E53,0,OFFSET(ORÇAMENTO!$D$15,CRONO!$E53,0)))+IF(AND($E55&lt;&gt;"",$E55&lt;&gt;0),SUMIF(CÁLCULO!$AM$15:$AW$32,"="&amp;CRONO!X$12,CÁLCULO!$AB$15:$AL$32)/(ORÇAMENTO!$X$15-CÁLCULO.TotalAdmLocal)*CRONO!$E55,0),X54*$R53),SUMIF(OFFSET($R55,1,0,$Q53-2),($L53+1)&amp;"$",OFFSET(X55,1,0,$Q53-2)))</f>
        <v>0</v>
      </c>
      <c r="Y55" s="222">
        <f ca="1">IF($Q53=2,IF(AND(ACOMPANHAMENTO="PLE",ISNUMBER($E53)),SUMIF((OFFSET(CÁLCULO!$AM$15:$AW$15,$E53,0,OFFSET(ORÇAMENTO!$D$15,CRONO!$E53,0))),"="&amp;CRONO!Y$12,OFFSET(CÁLCULO!$AB$15:$AL$15,$E53,0,OFFSET(ORÇAMENTO!$D$15,CRONO!$E53,0)))+IF(AND($E55&lt;&gt;"",$E55&lt;&gt;0),SUMIF(CÁLCULO!$AM$15:$AW$32,"="&amp;CRONO!Y$12,CÁLCULO!$AB$15:$AL$32)/(ORÇAMENTO!$X$15-CÁLCULO.TotalAdmLocal)*CRONO!$E55,0),Y54*$R53),SUMIF(OFFSET($R55,1,0,$Q53-2),($L53+1)&amp;"$",OFFSET(Y55,1,0,$Q53-2)))</f>
        <v>0</v>
      </c>
      <c r="Z55" s="222">
        <f ca="1">IF($Q53=2,IF(AND(ACOMPANHAMENTO="PLE",ISNUMBER($E53)),SUMIF((OFFSET(CÁLCULO!$AM$15:$AW$15,$E53,0,OFFSET(ORÇAMENTO!$D$15,CRONO!$E53,0))),"="&amp;CRONO!Z$12,OFFSET(CÁLCULO!$AB$15:$AL$15,$E53,0,OFFSET(ORÇAMENTO!$D$15,CRONO!$E53,0)))+IF(AND($E55&lt;&gt;"",$E55&lt;&gt;0),SUMIF(CÁLCULO!$AM$15:$AW$32,"="&amp;CRONO!Z$12,CÁLCULO!$AB$15:$AL$32)/(ORÇAMENTO!$X$15-CÁLCULO.TotalAdmLocal)*CRONO!$E55,0),Z54*$R53),SUMIF(OFFSET($R55,1,0,$Q53-2),($L53+1)&amp;"$",OFFSET(Z55,1,0,$Q53-2)))</f>
        <v>0</v>
      </c>
      <c r="AA55" s="222">
        <f ca="1">IF($Q53=2,IF(AND(ACOMPANHAMENTO="PLE",ISNUMBER($E53)),SUMIF((OFFSET(CÁLCULO!$AM$15:$AW$15,$E53,0,OFFSET(ORÇAMENTO!$D$15,CRONO!$E53,0))),"="&amp;CRONO!AA$12,OFFSET(CÁLCULO!$AB$15:$AL$15,$E53,0,OFFSET(ORÇAMENTO!$D$15,CRONO!$E53,0)))+IF(AND($E55&lt;&gt;"",$E55&lt;&gt;0),SUMIF(CÁLCULO!$AM$15:$AW$32,"="&amp;CRONO!AA$12,CÁLCULO!$AB$15:$AL$32)/(ORÇAMENTO!$X$15-CÁLCULO.TotalAdmLocal)*CRONO!$E55,0),AA54*$R53),SUMIF(OFFSET($R55,1,0,$Q53-2),($L53+1)&amp;"$",OFFSET(AA55,1,0,$Q53-2)))</f>
        <v>0</v>
      </c>
      <c r="AB55" s="222">
        <f ca="1">IF($Q53=2,IF(AND(ACOMPANHAMENTO="PLE",ISNUMBER($E53)),SUMIF((OFFSET(CÁLCULO!$AM$15:$AW$15,$E53,0,OFFSET(ORÇAMENTO!$D$15,CRONO!$E53,0))),"="&amp;CRONO!AB$12,OFFSET(CÁLCULO!$AB$15:$AL$15,$E53,0,OFFSET(ORÇAMENTO!$D$15,CRONO!$E53,0)))+IF(AND($E55&lt;&gt;"",$E55&lt;&gt;0),SUMIF(CÁLCULO!$AM$15:$AW$32,"="&amp;CRONO!AB$12,CÁLCULO!$AB$15:$AL$32)/(ORÇAMENTO!$X$15-CÁLCULO.TotalAdmLocal)*CRONO!$E55,0),AB54*$R53),SUMIF(OFFSET($R55,1,0,$Q53-2),($L53+1)&amp;"$",OFFSET(AB55,1,0,$Q53-2)))</f>
        <v>0</v>
      </c>
      <c r="AC55" s="222">
        <f ca="1">IF($Q53=2,IF(AND(ACOMPANHAMENTO="PLE",ISNUMBER($E53)),SUMIF((OFFSET(CÁLCULO!$AM$15:$AW$15,$E53,0,OFFSET(ORÇAMENTO!$D$15,CRONO!$E53,0))),"="&amp;CRONO!AC$12,OFFSET(CÁLCULO!$AB$15:$AL$15,$E53,0,OFFSET(ORÇAMENTO!$D$15,CRONO!$E53,0)))+IF(AND($E55&lt;&gt;"",$E55&lt;&gt;0),SUMIF(CÁLCULO!$AM$15:$AW$32,"="&amp;CRONO!AC$12,CÁLCULO!$AB$15:$AL$32)/(ORÇAMENTO!$X$15-CÁLCULO.TotalAdmLocal)*CRONO!$E55,0),AC54*$R53),SUMIF(OFFSET($R55,1,0,$Q53-2),($L53+1)&amp;"$",OFFSET(AC55,1,0,$Q53-2)))</f>
        <v>0</v>
      </c>
      <c r="AD55" s="222">
        <f ca="1">IF($Q53=2,IF(AND(ACOMPANHAMENTO="PLE",ISNUMBER($E53)),SUMIF((OFFSET(CÁLCULO!$AM$15:$AW$15,$E53,0,OFFSET(ORÇAMENTO!$D$15,CRONO!$E53,0))),"="&amp;CRONO!AD$12,OFFSET(CÁLCULO!$AB$15:$AL$15,$E53,0,OFFSET(ORÇAMENTO!$D$15,CRONO!$E53,0)))+IF(AND($E55&lt;&gt;"",$E55&lt;&gt;0),SUMIF(CÁLCULO!$AM$15:$AW$32,"="&amp;CRONO!AD$12,CÁLCULO!$AB$15:$AL$32)/(ORÇAMENTO!$X$15-CÁLCULO.TotalAdmLocal)*CRONO!$E55,0),AD54*$R53),SUMIF(OFFSET($R55,1,0,$Q53-2),($L53+1)&amp;"$",OFFSET(AD55,1,0,$Q53-2)))</f>
        <v>0</v>
      </c>
      <c r="AE55" s="227">
        <f ca="1">IF($Q53=2,IF(AND(ACOMPANHAMENTO="PLE",ISNUMBER($E53)),SUMIF((OFFSET(CÁLCULO!$AM$15:$AW$15,$E53,0,OFFSET(ORÇAMENTO!$D$15,CRONO!$E53,0))),"="&amp;CRONO!AE$12,OFFSET(CÁLCULO!$AB$15:$AL$15,$E53,0,OFFSET(ORÇAMENTO!$D$15,CRONO!$E53,0)))+IF(AND($E55&lt;&gt;"",$E55&lt;&gt;0),SUMIF(CÁLCULO!$AM$15:$AW$32,"="&amp;CRONO!AE$12,CÁLCULO!$AB$15:$AL$32)/(ORÇAMENTO!$X$15-CÁLCULO.TotalAdmLocal)*CRONO!$E55,0),AE54*$R53),SUMIF(OFFSET($R55,1,0,$Q53-2),($L53+1)&amp;"$",OFFSET(AE55,1,0,$Q53-2)))</f>
        <v>0</v>
      </c>
    </row>
    <row r="56" spans="1:32" hidden="1" x14ac:dyDescent="0.25">
      <c r="A56" s="203">
        <f t="shared" ref="A56" ca="1" si="101">OFFSET(A56,-3,0)+1</f>
        <v>15</v>
      </c>
      <c r="B56" s="203">
        <f ca="1">IF($Q56&lt;&gt;2,0,IF($R56=0,1,IF(E57&gt;0,OFFSET(QCI!$M$13,SUBSTITUTE(E57,".",""),0),OFFSET(ORÇAMENTO!$AA$15,CRONO!$E56,0))/$R56))</f>
        <v>0</v>
      </c>
      <c r="C56" s="203">
        <f ca="1">IF($Q56&lt;&gt;2,0,IF($R56=0,1,IF(E57&gt;0,OFFSET(QCI!$N$13,SUBSTITUTE(E57,".",""),0),OFFSET(ORÇAMENTO!$AB$15,CRONO!$E56,0))/$R56))</f>
        <v>0</v>
      </c>
      <c r="D56" s="206" t="e">
        <f ca="1">IF(AND($Q56=2,ACOMPANHAMENTO="BM"),D57,D58/$R56)</f>
        <v>#VALUE!</v>
      </c>
      <c r="E56" s="203" t="e">
        <f ca="1">IF(A56&lt;=ORÇAMENTO.MáximoListaCrono,MATCH(A56,ORÇAMENTO.ListaCrono,0),NA())</f>
        <v>#N/A</v>
      </c>
      <c r="F56" s="203" t="str">
        <f t="shared" ref="F56" ca="1" si="102">IF(AND($E57&lt;&gt;-1,$R56&gt;0),"F","")</f>
        <v/>
      </c>
      <c r="G56" s="207" t="str">
        <f ca="1">IF(OR(R56=0,R56=""),"Linha",IF(AND(OR(ACOMPANHAMENTO="PLE",$Q56&lt;&gt;2),$E57=0),"Linha",1-SUM(T56:AF56)))</f>
        <v>Linha</v>
      </c>
      <c r="H56" s="208" t="str">
        <f ca="1">IF($E57=0,OFFSET(ORÇAMENTO!O$15,$E56,0),IF($E57&lt;&gt;-1,OFFSET(QCI!$D$13,$E57,0),""))</f>
        <v/>
      </c>
      <c r="I56" s="209" t="str">
        <f ca="1">IF($E57=0,OFFSET(ORÇAMENTO!R$15,$E56,0),IF($E57&lt;&gt;-1,OFFSET(QCI!$G$13,$E57,0),""))</f>
        <v/>
      </c>
      <c r="J56" s="209"/>
      <c r="K56" s="209"/>
      <c r="L56" s="210">
        <f ca="1">IF($E57=0,OFFSET(ORÇAMENTO!C$15,$E56,0),1)</f>
        <v>1</v>
      </c>
      <c r="M56" s="211">
        <f ca="1">IF($E57=-1,0,IF(M$13&lt;=$L56,IF(ISERROR(MATCH(M$13,OFFSET($L56,1,0,ROW($L$164)-ROW($L56)-1),0)),ROW($L$164)-ROW($L56)-1,MATCH(M$13,OFFSET($L56,1,0,ROW($L$164)-ROW($L56)-1),0)-1),0))</f>
        <v>0</v>
      </c>
      <c r="N56" s="211">
        <f ca="1">IF($E57=-1,0,IF(N$13&lt;=$L56,IF(ISERROR(MATCH(N$13,OFFSET($L56,1,0,ROW($L$164)-ROW($L56)-1),0)),ROW($L$164)-ROW($L56)-1,MATCH(N$13,OFFSET($L56,1,0,ROW($L$164)-ROW($L56)-1),0)-1),0))</f>
        <v>0</v>
      </c>
      <c r="O56" s="211">
        <f ca="1">IF($E57=-1,0,IF(O$13&lt;=$L56,IF(ISERROR(MATCH(O$13,OFFSET($L56,1,0,ROW($L$164)-ROW($L56)-1),0)),ROW($L$164)-ROW($L56)-1,MATCH(O$13,OFFSET($L56,1,0,ROW($L$164)-ROW($L56)-1),0)-1),0))</f>
        <v>0</v>
      </c>
      <c r="P56" s="211">
        <f ca="1">IF($E57=-1,0,IF(P$13&lt;=$L56,IF(ISERROR(MATCH(P$13,OFFSET($L56,1,0,ROW($L$164)-ROW($L56)-1),0)),ROW($L$164)-ROW($L56)-1,MATCH(P$13,OFFSET($L56,1,0,ROW($L$164)-ROW($L56)-1),0)-1),0))</f>
        <v>0</v>
      </c>
      <c r="Q56" s="211">
        <f t="shared" ref="Q56" ca="1" si="103">MIN(OFFSET(L56,0,1,,L56))</f>
        <v>0</v>
      </c>
      <c r="R56" s="212" t="str">
        <f ca="1">IF($E57=0,OFFSET(ORÇAMENTO!X$15,$E56,0),IF($E57&lt;&gt;-1,OFFSET(QCI!$O$13,$E57,0),""))</f>
        <v/>
      </c>
      <c r="S56" s="213" t="s">
        <v>270</v>
      </c>
      <c r="T56" s="214" t="e">
        <f t="shared" ref="T56:AE56" ca="1" si="104">IF(AND($Q56=2,ACOMPANHAMENTO="BM"),T57,T58/$R56)</f>
        <v>#VALUE!</v>
      </c>
      <c r="U56" s="206" t="e">
        <f t="shared" ca="1" si="104"/>
        <v>#VALUE!</v>
      </c>
      <c r="V56" s="206" t="e">
        <f t="shared" ca="1" si="104"/>
        <v>#VALUE!</v>
      </c>
      <c r="W56" s="206" t="e">
        <f t="shared" ca="1" si="104"/>
        <v>#VALUE!</v>
      </c>
      <c r="X56" s="206" t="e">
        <f t="shared" ca="1" si="104"/>
        <v>#VALUE!</v>
      </c>
      <c r="Y56" s="206" t="e">
        <f t="shared" ca="1" si="104"/>
        <v>#VALUE!</v>
      </c>
      <c r="Z56" s="206" t="e">
        <f t="shared" ca="1" si="104"/>
        <v>#VALUE!</v>
      </c>
      <c r="AA56" s="206" t="e">
        <f t="shared" ca="1" si="104"/>
        <v>#VALUE!</v>
      </c>
      <c r="AB56" s="206" t="e">
        <f t="shared" ca="1" si="104"/>
        <v>#VALUE!</v>
      </c>
      <c r="AC56" s="206" t="e">
        <f t="shared" ca="1" si="104"/>
        <v>#VALUE!</v>
      </c>
      <c r="AD56" s="206" t="e">
        <f t="shared" ca="1" si="104"/>
        <v>#VALUE!</v>
      </c>
      <c r="AE56" s="215" t="e">
        <f t="shared" ca="1" si="104"/>
        <v>#VALUE!</v>
      </c>
    </row>
    <row r="57" spans="1:32" ht="12.75" hidden="1" customHeight="1" x14ac:dyDescent="0.25">
      <c r="D57" s="568"/>
      <c r="E57" s="203">
        <f ca="1">IF(ISERROR(E56),IF(1+COUNTIF($L$13:OFFSET(L56,-1,0),1)&lt;=MAX(QCI!$D$13:$D$24),1+COUNTIF($L$13:OFFSET(L56,-1,0),1),-1),0)</f>
        <v>-1</v>
      </c>
      <c r="F57" s="203" t="str">
        <f t="shared" ref="F57" ca="1" si="105">IF(AND($E57&lt;&gt;-1,$R56&gt;0),"F","")</f>
        <v/>
      </c>
      <c r="G57" s="216" t="str">
        <f ca="1">IF(OR(R56=0,R56=""),"vazia",IF(AND(OR(ACOMPANHAMENTO="PLE",$Q56&lt;&gt;2),$E57=0),"calculada","--&gt;"))</f>
        <v>vazia</v>
      </c>
      <c r="H57" s="217"/>
      <c r="I57" s="218" t="str">
        <f t="shared" ref="I57" ca="1" si="106">IF(AND(G56&lt;&gt;0,ISNUMBER(G56)),"PREENCHA ESTA LINHA --&gt;","")</f>
        <v/>
      </c>
      <c r="J57" s="218"/>
      <c r="K57" s="218"/>
      <c r="L57" s="219"/>
      <c r="M57" s="219"/>
      <c r="N57" s="219"/>
      <c r="O57" s="219"/>
      <c r="P57" s="219"/>
      <c r="Q57" s="219"/>
      <c r="R57" s="220"/>
      <c r="S57" s="221"/>
      <c r="T57" s="569"/>
      <c r="U57" s="568"/>
      <c r="V57" s="568"/>
      <c r="W57" s="568"/>
      <c r="X57" s="568"/>
      <c r="Y57" s="568"/>
      <c r="Z57" s="568"/>
      <c r="AA57" s="568"/>
      <c r="AB57" s="568"/>
      <c r="AC57" s="568"/>
      <c r="AD57" s="568"/>
      <c r="AE57" s="570"/>
      <c r="AF57" s="532"/>
    </row>
    <row r="58" spans="1:32" ht="0.15" hidden="1" customHeight="1" x14ac:dyDescent="0.25">
      <c r="D58" s="222">
        <f ca="1">IF($Q56=2,IF(AND(ACOMPANHAMENTO="PLE",ISNUMBER($E56)),SUMIF((OFFSET(CÁLCULO!$AM$15:$AW$15,$E56,0,OFFSET(ORÇAMENTO!$D$15,CRONO!$E56,0))),"="&amp;CRONO!D$12,OFFSET(CÁLCULO!$AB$15:$AL$15,$E56,0,OFFSET(ORÇAMENTO!$D$15,CRONO!$E56,0)))+IF(AND($E58&lt;&gt;"",$E58&lt;&gt;0),SUMIF(CÁLCULO!$AM$15:$AW$32,"="&amp;CRONO!D$12,CÁLCULO!$AB$15:$AL$32)/(ORÇAMENTO!$X$15-CÁLCULO.TotalAdmLocal)*CRONO!$E58,0),D57*$R56),SUMIF(OFFSET($R58,1,0,$Q56-2),($L56+1)&amp;"$",OFFSET(D58,1,0,$Q56-2)))</f>
        <v>0</v>
      </c>
      <c r="E58" s="203" t="str">
        <f ca="1">IF(OR($Q56&lt;&gt;2,AUTOEVENTO&lt;&gt;"manual",$E57&gt;0),"",SUMIF(OFFSET(CÁLCULO!$M$15,CRONO!$E56,0,OFFSET(ORÇAMENTO!$D$15,CRONO!$E56,0)),1,OFFSET(ORÇAMENTO!$X$15,CRONO!$E56,0,OFFSET(ORÇAMENTO!$D$15,CRONO!$E56,0))))</f>
        <v/>
      </c>
      <c r="G58" s="223"/>
      <c r="R58" s="224" t="str">
        <f t="shared" ref="R58" ca="1" si="107">L56&amp;"$"</f>
        <v>1$</v>
      </c>
      <c r="S58" s="225"/>
      <c r="T58" s="226">
        <f ca="1">IF($Q56=2,IF(AND(ACOMPANHAMENTO="PLE",ISNUMBER($E56)),SUMIF((OFFSET(CÁLCULO!$AM$15:$AW$15,$E56,0,OFFSET(ORÇAMENTO!$D$15,CRONO!$E56,0))),"&lt;="&amp;CRONO!T$12,OFFSET(CÁLCULO!$AB$15:$AL$15,$E56,0,OFFSET(ORÇAMENTO!$D$15,CRONO!$E56,0)))+IF(AND($E58&lt;&gt;"",$E58&lt;&gt;0),SUMIF(CÁLCULO!$AM$15:$AW$32,"&lt;="&amp;CRONO!T$12,CÁLCULO!$AB$15:$AL$32)/(ORÇAMENTO!$X$15-CÁLCULO.TotalAdmLocal)*CRONO!$E58,0),T57*$R56),SUMIF(OFFSET($R58,1,0,$Q56-2),($L56+1)&amp;"$",OFFSET(T58,1,0,$Q56-2)))</f>
        <v>0</v>
      </c>
      <c r="U58" s="222">
        <f ca="1">IF($Q56=2,IF(AND(ACOMPANHAMENTO="PLE",ISNUMBER($E56)),SUMIF((OFFSET(CÁLCULO!$AM$15:$AW$15,$E56,0,OFFSET(ORÇAMENTO!$D$15,CRONO!$E56,0))),"="&amp;CRONO!U$12,OFFSET(CÁLCULO!$AB$15:$AL$15,$E56,0,OFFSET(ORÇAMENTO!$D$15,CRONO!$E56,0)))+IF(AND($E58&lt;&gt;"",$E58&lt;&gt;0),SUMIF(CÁLCULO!$AM$15:$AW$32,"="&amp;CRONO!U$12,CÁLCULO!$AB$15:$AL$32)/(ORÇAMENTO!$X$15-CÁLCULO.TotalAdmLocal)*CRONO!$E58,0),U57*$R56),SUMIF(OFFSET($R58,1,0,$Q56-2),($L56+1)&amp;"$",OFFSET(U58,1,0,$Q56-2)))</f>
        <v>0</v>
      </c>
      <c r="V58" s="222">
        <f ca="1">IF($Q56=2,IF(AND(ACOMPANHAMENTO="PLE",ISNUMBER($E56)),SUMIF((OFFSET(CÁLCULO!$AM$15:$AW$15,$E56,0,OFFSET(ORÇAMENTO!$D$15,CRONO!$E56,0))),"="&amp;CRONO!V$12,OFFSET(CÁLCULO!$AB$15:$AL$15,$E56,0,OFFSET(ORÇAMENTO!$D$15,CRONO!$E56,0)))+IF(AND($E58&lt;&gt;"",$E58&lt;&gt;0),SUMIF(CÁLCULO!$AM$15:$AW$32,"="&amp;CRONO!V$12,CÁLCULO!$AB$15:$AL$32)/(ORÇAMENTO!$X$15-CÁLCULO.TotalAdmLocal)*CRONO!$E58,0),V57*$R56),SUMIF(OFFSET($R58,1,0,$Q56-2),($L56+1)&amp;"$",OFFSET(V58,1,0,$Q56-2)))</f>
        <v>0</v>
      </c>
      <c r="W58" s="222">
        <f ca="1">IF($Q56=2,IF(AND(ACOMPANHAMENTO="PLE",ISNUMBER($E56)),SUMIF((OFFSET(CÁLCULO!$AM$15:$AW$15,$E56,0,OFFSET(ORÇAMENTO!$D$15,CRONO!$E56,0))),"="&amp;CRONO!W$12,OFFSET(CÁLCULO!$AB$15:$AL$15,$E56,0,OFFSET(ORÇAMENTO!$D$15,CRONO!$E56,0)))+IF(AND($E58&lt;&gt;"",$E58&lt;&gt;0),SUMIF(CÁLCULO!$AM$15:$AW$32,"="&amp;CRONO!W$12,CÁLCULO!$AB$15:$AL$32)/(ORÇAMENTO!$X$15-CÁLCULO.TotalAdmLocal)*CRONO!$E58,0),W57*$R56),SUMIF(OFFSET($R58,1,0,$Q56-2),($L56+1)&amp;"$",OFFSET(W58,1,0,$Q56-2)))</f>
        <v>0</v>
      </c>
      <c r="X58" s="222">
        <f ca="1">IF($Q56=2,IF(AND(ACOMPANHAMENTO="PLE",ISNUMBER($E56)),SUMIF((OFFSET(CÁLCULO!$AM$15:$AW$15,$E56,0,OFFSET(ORÇAMENTO!$D$15,CRONO!$E56,0))),"="&amp;CRONO!X$12,OFFSET(CÁLCULO!$AB$15:$AL$15,$E56,0,OFFSET(ORÇAMENTO!$D$15,CRONO!$E56,0)))+IF(AND($E58&lt;&gt;"",$E58&lt;&gt;0),SUMIF(CÁLCULO!$AM$15:$AW$32,"="&amp;CRONO!X$12,CÁLCULO!$AB$15:$AL$32)/(ORÇAMENTO!$X$15-CÁLCULO.TotalAdmLocal)*CRONO!$E58,0),X57*$R56),SUMIF(OFFSET($R58,1,0,$Q56-2),($L56+1)&amp;"$",OFFSET(X58,1,0,$Q56-2)))</f>
        <v>0</v>
      </c>
      <c r="Y58" s="222">
        <f ca="1">IF($Q56=2,IF(AND(ACOMPANHAMENTO="PLE",ISNUMBER($E56)),SUMIF((OFFSET(CÁLCULO!$AM$15:$AW$15,$E56,0,OFFSET(ORÇAMENTO!$D$15,CRONO!$E56,0))),"="&amp;CRONO!Y$12,OFFSET(CÁLCULO!$AB$15:$AL$15,$E56,0,OFFSET(ORÇAMENTO!$D$15,CRONO!$E56,0)))+IF(AND($E58&lt;&gt;"",$E58&lt;&gt;0),SUMIF(CÁLCULO!$AM$15:$AW$32,"="&amp;CRONO!Y$12,CÁLCULO!$AB$15:$AL$32)/(ORÇAMENTO!$X$15-CÁLCULO.TotalAdmLocal)*CRONO!$E58,0),Y57*$R56),SUMIF(OFFSET($R58,1,0,$Q56-2),($L56+1)&amp;"$",OFFSET(Y58,1,0,$Q56-2)))</f>
        <v>0</v>
      </c>
      <c r="Z58" s="222">
        <f ca="1">IF($Q56=2,IF(AND(ACOMPANHAMENTO="PLE",ISNUMBER($E56)),SUMIF((OFFSET(CÁLCULO!$AM$15:$AW$15,$E56,0,OFFSET(ORÇAMENTO!$D$15,CRONO!$E56,0))),"="&amp;CRONO!Z$12,OFFSET(CÁLCULO!$AB$15:$AL$15,$E56,0,OFFSET(ORÇAMENTO!$D$15,CRONO!$E56,0)))+IF(AND($E58&lt;&gt;"",$E58&lt;&gt;0),SUMIF(CÁLCULO!$AM$15:$AW$32,"="&amp;CRONO!Z$12,CÁLCULO!$AB$15:$AL$32)/(ORÇAMENTO!$X$15-CÁLCULO.TotalAdmLocal)*CRONO!$E58,0),Z57*$R56),SUMIF(OFFSET($R58,1,0,$Q56-2),($L56+1)&amp;"$",OFFSET(Z58,1,0,$Q56-2)))</f>
        <v>0</v>
      </c>
      <c r="AA58" s="222">
        <f ca="1">IF($Q56=2,IF(AND(ACOMPANHAMENTO="PLE",ISNUMBER($E56)),SUMIF((OFFSET(CÁLCULO!$AM$15:$AW$15,$E56,0,OFFSET(ORÇAMENTO!$D$15,CRONO!$E56,0))),"="&amp;CRONO!AA$12,OFFSET(CÁLCULO!$AB$15:$AL$15,$E56,0,OFFSET(ORÇAMENTO!$D$15,CRONO!$E56,0)))+IF(AND($E58&lt;&gt;"",$E58&lt;&gt;0),SUMIF(CÁLCULO!$AM$15:$AW$32,"="&amp;CRONO!AA$12,CÁLCULO!$AB$15:$AL$32)/(ORÇAMENTO!$X$15-CÁLCULO.TotalAdmLocal)*CRONO!$E58,0),AA57*$R56),SUMIF(OFFSET($R58,1,0,$Q56-2),($L56+1)&amp;"$",OFFSET(AA58,1,0,$Q56-2)))</f>
        <v>0</v>
      </c>
      <c r="AB58" s="222">
        <f ca="1">IF($Q56=2,IF(AND(ACOMPANHAMENTO="PLE",ISNUMBER($E56)),SUMIF((OFFSET(CÁLCULO!$AM$15:$AW$15,$E56,0,OFFSET(ORÇAMENTO!$D$15,CRONO!$E56,0))),"="&amp;CRONO!AB$12,OFFSET(CÁLCULO!$AB$15:$AL$15,$E56,0,OFFSET(ORÇAMENTO!$D$15,CRONO!$E56,0)))+IF(AND($E58&lt;&gt;"",$E58&lt;&gt;0),SUMIF(CÁLCULO!$AM$15:$AW$32,"="&amp;CRONO!AB$12,CÁLCULO!$AB$15:$AL$32)/(ORÇAMENTO!$X$15-CÁLCULO.TotalAdmLocal)*CRONO!$E58,0),AB57*$R56),SUMIF(OFFSET($R58,1,0,$Q56-2),($L56+1)&amp;"$",OFFSET(AB58,1,0,$Q56-2)))</f>
        <v>0</v>
      </c>
      <c r="AC58" s="222">
        <f ca="1">IF($Q56=2,IF(AND(ACOMPANHAMENTO="PLE",ISNUMBER($E56)),SUMIF((OFFSET(CÁLCULO!$AM$15:$AW$15,$E56,0,OFFSET(ORÇAMENTO!$D$15,CRONO!$E56,0))),"="&amp;CRONO!AC$12,OFFSET(CÁLCULO!$AB$15:$AL$15,$E56,0,OFFSET(ORÇAMENTO!$D$15,CRONO!$E56,0)))+IF(AND($E58&lt;&gt;"",$E58&lt;&gt;0),SUMIF(CÁLCULO!$AM$15:$AW$32,"="&amp;CRONO!AC$12,CÁLCULO!$AB$15:$AL$32)/(ORÇAMENTO!$X$15-CÁLCULO.TotalAdmLocal)*CRONO!$E58,0),AC57*$R56),SUMIF(OFFSET($R58,1,0,$Q56-2),($L56+1)&amp;"$",OFFSET(AC58,1,0,$Q56-2)))</f>
        <v>0</v>
      </c>
      <c r="AD58" s="222">
        <f ca="1">IF($Q56=2,IF(AND(ACOMPANHAMENTO="PLE",ISNUMBER($E56)),SUMIF((OFFSET(CÁLCULO!$AM$15:$AW$15,$E56,0,OFFSET(ORÇAMENTO!$D$15,CRONO!$E56,0))),"="&amp;CRONO!AD$12,OFFSET(CÁLCULO!$AB$15:$AL$15,$E56,0,OFFSET(ORÇAMENTO!$D$15,CRONO!$E56,0)))+IF(AND($E58&lt;&gt;"",$E58&lt;&gt;0),SUMIF(CÁLCULO!$AM$15:$AW$32,"="&amp;CRONO!AD$12,CÁLCULO!$AB$15:$AL$32)/(ORÇAMENTO!$X$15-CÁLCULO.TotalAdmLocal)*CRONO!$E58,0),AD57*$R56),SUMIF(OFFSET($R58,1,0,$Q56-2),($L56+1)&amp;"$",OFFSET(AD58,1,0,$Q56-2)))</f>
        <v>0</v>
      </c>
      <c r="AE58" s="227">
        <f ca="1">IF($Q56=2,IF(AND(ACOMPANHAMENTO="PLE",ISNUMBER($E56)),SUMIF((OFFSET(CÁLCULO!$AM$15:$AW$15,$E56,0,OFFSET(ORÇAMENTO!$D$15,CRONO!$E56,0))),"="&amp;CRONO!AE$12,OFFSET(CÁLCULO!$AB$15:$AL$15,$E56,0,OFFSET(ORÇAMENTO!$D$15,CRONO!$E56,0)))+IF(AND($E58&lt;&gt;"",$E58&lt;&gt;0),SUMIF(CÁLCULO!$AM$15:$AW$32,"="&amp;CRONO!AE$12,CÁLCULO!$AB$15:$AL$32)/(ORÇAMENTO!$X$15-CÁLCULO.TotalAdmLocal)*CRONO!$E58,0),AE57*$R56),SUMIF(OFFSET($R58,1,0,$Q56-2),($L56+1)&amp;"$",OFFSET(AE58,1,0,$Q56-2)))</f>
        <v>0</v>
      </c>
    </row>
    <row r="59" spans="1:32" hidden="1" x14ac:dyDescent="0.25">
      <c r="A59" s="203">
        <f t="shared" ref="A59" ca="1" si="108">OFFSET(A59,-3,0)+1</f>
        <v>16</v>
      </c>
      <c r="B59" s="203">
        <f ca="1">IF($Q59&lt;&gt;2,0,IF($R59=0,1,IF(E60&gt;0,OFFSET(QCI!$M$13,SUBSTITUTE(E60,".",""),0),OFFSET(ORÇAMENTO!$AA$15,CRONO!$E59,0))/$R59))</f>
        <v>0</v>
      </c>
      <c r="C59" s="203">
        <f ca="1">IF($Q59&lt;&gt;2,0,IF($R59=0,1,IF(E60&gt;0,OFFSET(QCI!$N$13,SUBSTITUTE(E60,".",""),0),OFFSET(ORÇAMENTO!$AB$15,CRONO!$E59,0))/$R59))</f>
        <v>0</v>
      </c>
      <c r="D59" s="206" t="e">
        <f ca="1">IF(AND($Q59=2,ACOMPANHAMENTO="BM"),D60,D61/$R59)</f>
        <v>#VALUE!</v>
      </c>
      <c r="E59" s="203" t="e">
        <f ca="1">IF(A59&lt;=ORÇAMENTO.MáximoListaCrono,MATCH(A59,ORÇAMENTO.ListaCrono,0),NA())</f>
        <v>#N/A</v>
      </c>
      <c r="F59" s="203" t="str">
        <f t="shared" ref="F59" ca="1" si="109">IF(AND($E60&lt;&gt;-1,$R59&gt;0),"F","")</f>
        <v/>
      </c>
      <c r="G59" s="207" t="str">
        <f ca="1">IF(OR(R59=0,R59=""),"Linha",IF(AND(OR(ACOMPANHAMENTO="PLE",$Q59&lt;&gt;2),$E60=0),"Linha",1-SUM(T59:AF59)))</f>
        <v>Linha</v>
      </c>
      <c r="H59" s="208" t="str">
        <f ca="1">IF($E60=0,OFFSET(ORÇAMENTO!O$15,$E59,0),IF($E60&lt;&gt;-1,OFFSET(QCI!$D$13,$E60,0),""))</f>
        <v/>
      </c>
      <c r="I59" s="209" t="str">
        <f ca="1">IF($E60=0,OFFSET(ORÇAMENTO!R$15,$E59,0),IF($E60&lt;&gt;-1,OFFSET(QCI!$G$13,$E60,0),""))</f>
        <v/>
      </c>
      <c r="J59" s="209"/>
      <c r="K59" s="209"/>
      <c r="L59" s="210">
        <f ca="1">IF($E60=0,OFFSET(ORÇAMENTO!C$15,$E59,0),1)</f>
        <v>1</v>
      </c>
      <c r="M59" s="211">
        <f ca="1">IF($E60=-1,0,IF(M$13&lt;=$L59,IF(ISERROR(MATCH(M$13,OFFSET($L59,1,0,ROW($L$164)-ROW($L59)-1),0)),ROW($L$164)-ROW($L59)-1,MATCH(M$13,OFFSET($L59,1,0,ROW($L$164)-ROW($L59)-1),0)-1),0))</f>
        <v>0</v>
      </c>
      <c r="N59" s="211">
        <f ca="1">IF($E60=-1,0,IF(N$13&lt;=$L59,IF(ISERROR(MATCH(N$13,OFFSET($L59,1,0,ROW($L$164)-ROW($L59)-1),0)),ROW($L$164)-ROW($L59)-1,MATCH(N$13,OFFSET($L59,1,0,ROW($L$164)-ROW($L59)-1),0)-1),0))</f>
        <v>0</v>
      </c>
      <c r="O59" s="211">
        <f ca="1">IF($E60=-1,0,IF(O$13&lt;=$L59,IF(ISERROR(MATCH(O$13,OFFSET($L59,1,0,ROW($L$164)-ROW($L59)-1),0)),ROW($L$164)-ROW($L59)-1,MATCH(O$13,OFFSET($L59,1,0,ROW($L$164)-ROW($L59)-1),0)-1),0))</f>
        <v>0</v>
      </c>
      <c r="P59" s="211">
        <f ca="1">IF($E60=-1,0,IF(P$13&lt;=$L59,IF(ISERROR(MATCH(P$13,OFFSET($L59,1,0,ROW($L$164)-ROW($L59)-1),0)),ROW($L$164)-ROW($L59)-1,MATCH(P$13,OFFSET($L59,1,0,ROW($L$164)-ROW($L59)-1),0)-1),0))</f>
        <v>0</v>
      </c>
      <c r="Q59" s="211">
        <f t="shared" ref="Q59" ca="1" si="110">MIN(OFFSET(L59,0,1,,L59))</f>
        <v>0</v>
      </c>
      <c r="R59" s="212" t="str">
        <f ca="1">IF($E60=0,OFFSET(ORÇAMENTO!X$15,$E59,0),IF($E60&lt;&gt;-1,OFFSET(QCI!$O$13,$E60,0),""))</f>
        <v/>
      </c>
      <c r="S59" s="213" t="s">
        <v>270</v>
      </c>
      <c r="T59" s="214" t="e">
        <f t="shared" ref="T59:AE59" ca="1" si="111">IF(AND($Q59=2,ACOMPANHAMENTO="BM"),T60,T61/$R59)</f>
        <v>#VALUE!</v>
      </c>
      <c r="U59" s="206" t="e">
        <f t="shared" ca="1" si="111"/>
        <v>#VALUE!</v>
      </c>
      <c r="V59" s="206" t="e">
        <f t="shared" ca="1" si="111"/>
        <v>#VALUE!</v>
      </c>
      <c r="W59" s="206" t="e">
        <f t="shared" ca="1" si="111"/>
        <v>#VALUE!</v>
      </c>
      <c r="X59" s="206" t="e">
        <f t="shared" ca="1" si="111"/>
        <v>#VALUE!</v>
      </c>
      <c r="Y59" s="206" t="e">
        <f t="shared" ca="1" si="111"/>
        <v>#VALUE!</v>
      </c>
      <c r="Z59" s="206" t="e">
        <f t="shared" ca="1" si="111"/>
        <v>#VALUE!</v>
      </c>
      <c r="AA59" s="206" t="e">
        <f t="shared" ca="1" si="111"/>
        <v>#VALUE!</v>
      </c>
      <c r="AB59" s="206" t="e">
        <f t="shared" ca="1" si="111"/>
        <v>#VALUE!</v>
      </c>
      <c r="AC59" s="206" t="e">
        <f t="shared" ca="1" si="111"/>
        <v>#VALUE!</v>
      </c>
      <c r="AD59" s="206" t="e">
        <f t="shared" ca="1" si="111"/>
        <v>#VALUE!</v>
      </c>
      <c r="AE59" s="215" t="e">
        <f t="shared" ca="1" si="111"/>
        <v>#VALUE!</v>
      </c>
    </row>
    <row r="60" spans="1:32" ht="12.75" hidden="1" customHeight="1" x14ac:dyDescent="0.25">
      <c r="D60" s="568"/>
      <c r="E60" s="203">
        <f ca="1">IF(ISERROR(E59),IF(1+COUNTIF($L$13:OFFSET(L59,-1,0),1)&lt;=MAX(QCI!$D$13:$D$24),1+COUNTIF($L$13:OFFSET(L59,-1,0),1),-1),0)</f>
        <v>-1</v>
      </c>
      <c r="F60" s="203" t="str">
        <f t="shared" ref="F60" ca="1" si="112">IF(AND($E60&lt;&gt;-1,$R59&gt;0),"F","")</f>
        <v/>
      </c>
      <c r="G60" s="216" t="str">
        <f ca="1">IF(OR(R59=0,R59=""),"vazia",IF(AND(OR(ACOMPANHAMENTO="PLE",$Q59&lt;&gt;2),$E60=0),"calculada","--&gt;"))</f>
        <v>vazia</v>
      </c>
      <c r="H60" s="217"/>
      <c r="I60" s="218" t="str">
        <f t="shared" ref="I60" ca="1" si="113">IF(AND(G59&lt;&gt;0,ISNUMBER(G59)),"PREENCHA ESTA LINHA --&gt;","")</f>
        <v/>
      </c>
      <c r="J60" s="218"/>
      <c r="K60" s="218"/>
      <c r="L60" s="219"/>
      <c r="M60" s="219"/>
      <c r="N60" s="219"/>
      <c r="O60" s="219"/>
      <c r="P60" s="219"/>
      <c r="Q60" s="219"/>
      <c r="R60" s="220"/>
      <c r="S60" s="221"/>
      <c r="T60" s="569"/>
      <c r="U60" s="568"/>
      <c r="V60" s="568"/>
      <c r="W60" s="568"/>
      <c r="X60" s="568"/>
      <c r="Y60" s="568"/>
      <c r="Z60" s="568"/>
      <c r="AA60" s="568"/>
      <c r="AB60" s="568"/>
      <c r="AC60" s="568"/>
      <c r="AD60" s="568"/>
      <c r="AE60" s="570"/>
      <c r="AF60" s="532"/>
    </row>
    <row r="61" spans="1:32" ht="0.15" hidden="1" customHeight="1" x14ac:dyDescent="0.25">
      <c r="D61" s="222">
        <f ca="1">IF($Q59=2,IF(AND(ACOMPANHAMENTO="PLE",ISNUMBER($E59)),SUMIF((OFFSET(CÁLCULO!$AM$15:$AW$15,$E59,0,OFFSET(ORÇAMENTO!$D$15,CRONO!$E59,0))),"="&amp;CRONO!D$12,OFFSET(CÁLCULO!$AB$15:$AL$15,$E59,0,OFFSET(ORÇAMENTO!$D$15,CRONO!$E59,0)))+IF(AND($E61&lt;&gt;"",$E61&lt;&gt;0),SUMIF(CÁLCULO!$AM$15:$AW$32,"="&amp;CRONO!D$12,CÁLCULO!$AB$15:$AL$32)/(ORÇAMENTO!$X$15-CÁLCULO.TotalAdmLocal)*CRONO!$E61,0),D60*$R59),SUMIF(OFFSET($R61,1,0,$Q59-2),($L59+1)&amp;"$",OFFSET(D61,1,0,$Q59-2)))</f>
        <v>0</v>
      </c>
      <c r="E61" s="203" t="str">
        <f ca="1">IF(OR($Q59&lt;&gt;2,AUTOEVENTO&lt;&gt;"manual",$E60&gt;0),"",SUMIF(OFFSET(CÁLCULO!$M$15,CRONO!$E59,0,OFFSET(ORÇAMENTO!$D$15,CRONO!$E59,0)),1,OFFSET(ORÇAMENTO!$X$15,CRONO!$E59,0,OFFSET(ORÇAMENTO!$D$15,CRONO!$E59,0))))</f>
        <v/>
      </c>
      <c r="G61" s="223"/>
      <c r="R61" s="224" t="str">
        <f t="shared" ref="R61" ca="1" si="114">L59&amp;"$"</f>
        <v>1$</v>
      </c>
      <c r="S61" s="225"/>
      <c r="T61" s="226">
        <f ca="1">IF($Q59=2,IF(AND(ACOMPANHAMENTO="PLE",ISNUMBER($E59)),SUMIF((OFFSET(CÁLCULO!$AM$15:$AW$15,$E59,0,OFFSET(ORÇAMENTO!$D$15,CRONO!$E59,0))),"&lt;="&amp;CRONO!T$12,OFFSET(CÁLCULO!$AB$15:$AL$15,$E59,0,OFFSET(ORÇAMENTO!$D$15,CRONO!$E59,0)))+IF(AND($E61&lt;&gt;"",$E61&lt;&gt;0),SUMIF(CÁLCULO!$AM$15:$AW$32,"&lt;="&amp;CRONO!T$12,CÁLCULO!$AB$15:$AL$32)/(ORÇAMENTO!$X$15-CÁLCULO.TotalAdmLocal)*CRONO!$E61,0),T60*$R59),SUMIF(OFFSET($R61,1,0,$Q59-2),($L59+1)&amp;"$",OFFSET(T61,1,0,$Q59-2)))</f>
        <v>0</v>
      </c>
      <c r="U61" s="222">
        <f ca="1">IF($Q59=2,IF(AND(ACOMPANHAMENTO="PLE",ISNUMBER($E59)),SUMIF((OFFSET(CÁLCULO!$AM$15:$AW$15,$E59,0,OFFSET(ORÇAMENTO!$D$15,CRONO!$E59,0))),"="&amp;CRONO!U$12,OFFSET(CÁLCULO!$AB$15:$AL$15,$E59,0,OFFSET(ORÇAMENTO!$D$15,CRONO!$E59,0)))+IF(AND($E61&lt;&gt;"",$E61&lt;&gt;0),SUMIF(CÁLCULO!$AM$15:$AW$32,"="&amp;CRONO!U$12,CÁLCULO!$AB$15:$AL$32)/(ORÇAMENTO!$X$15-CÁLCULO.TotalAdmLocal)*CRONO!$E61,0),U60*$R59),SUMIF(OFFSET($R61,1,0,$Q59-2),($L59+1)&amp;"$",OFFSET(U61,1,0,$Q59-2)))</f>
        <v>0</v>
      </c>
      <c r="V61" s="222">
        <f ca="1">IF($Q59=2,IF(AND(ACOMPANHAMENTO="PLE",ISNUMBER($E59)),SUMIF((OFFSET(CÁLCULO!$AM$15:$AW$15,$E59,0,OFFSET(ORÇAMENTO!$D$15,CRONO!$E59,0))),"="&amp;CRONO!V$12,OFFSET(CÁLCULO!$AB$15:$AL$15,$E59,0,OFFSET(ORÇAMENTO!$D$15,CRONO!$E59,0)))+IF(AND($E61&lt;&gt;"",$E61&lt;&gt;0),SUMIF(CÁLCULO!$AM$15:$AW$32,"="&amp;CRONO!V$12,CÁLCULO!$AB$15:$AL$32)/(ORÇAMENTO!$X$15-CÁLCULO.TotalAdmLocal)*CRONO!$E61,0),V60*$R59),SUMIF(OFFSET($R61,1,0,$Q59-2),($L59+1)&amp;"$",OFFSET(V61,1,0,$Q59-2)))</f>
        <v>0</v>
      </c>
      <c r="W61" s="222">
        <f ca="1">IF($Q59=2,IF(AND(ACOMPANHAMENTO="PLE",ISNUMBER($E59)),SUMIF((OFFSET(CÁLCULO!$AM$15:$AW$15,$E59,0,OFFSET(ORÇAMENTO!$D$15,CRONO!$E59,0))),"="&amp;CRONO!W$12,OFFSET(CÁLCULO!$AB$15:$AL$15,$E59,0,OFFSET(ORÇAMENTO!$D$15,CRONO!$E59,0)))+IF(AND($E61&lt;&gt;"",$E61&lt;&gt;0),SUMIF(CÁLCULO!$AM$15:$AW$32,"="&amp;CRONO!W$12,CÁLCULO!$AB$15:$AL$32)/(ORÇAMENTO!$X$15-CÁLCULO.TotalAdmLocal)*CRONO!$E61,0),W60*$R59),SUMIF(OFFSET($R61,1,0,$Q59-2),($L59+1)&amp;"$",OFFSET(W61,1,0,$Q59-2)))</f>
        <v>0</v>
      </c>
      <c r="X61" s="222">
        <f ca="1">IF($Q59=2,IF(AND(ACOMPANHAMENTO="PLE",ISNUMBER($E59)),SUMIF((OFFSET(CÁLCULO!$AM$15:$AW$15,$E59,0,OFFSET(ORÇAMENTO!$D$15,CRONO!$E59,0))),"="&amp;CRONO!X$12,OFFSET(CÁLCULO!$AB$15:$AL$15,$E59,0,OFFSET(ORÇAMENTO!$D$15,CRONO!$E59,0)))+IF(AND($E61&lt;&gt;"",$E61&lt;&gt;0),SUMIF(CÁLCULO!$AM$15:$AW$32,"="&amp;CRONO!X$12,CÁLCULO!$AB$15:$AL$32)/(ORÇAMENTO!$X$15-CÁLCULO.TotalAdmLocal)*CRONO!$E61,0),X60*$R59),SUMIF(OFFSET($R61,1,0,$Q59-2),($L59+1)&amp;"$",OFFSET(X61,1,0,$Q59-2)))</f>
        <v>0</v>
      </c>
      <c r="Y61" s="222">
        <f ca="1">IF($Q59=2,IF(AND(ACOMPANHAMENTO="PLE",ISNUMBER($E59)),SUMIF((OFFSET(CÁLCULO!$AM$15:$AW$15,$E59,0,OFFSET(ORÇAMENTO!$D$15,CRONO!$E59,0))),"="&amp;CRONO!Y$12,OFFSET(CÁLCULO!$AB$15:$AL$15,$E59,0,OFFSET(ORÇAMENTO!$D$15,CRONO!$E59,0)))+IF(AND($E61&lt;&gt;"",$E61&lt;&gt;0),SUMIF(CÁLCULO!$AM$15:$AW$32,"="&amp;CRONO!Y$12,CÁLCULO!$AB$15:$AL$32)/(ORÇAMENTO!$X$15-CÁLCULO.TotalAdmLocal)*CRONO!$E61,0),Y60*$R59),SUMIF(OFFSET($R61,1,0,$Q59-2),($L59+1)&amp;"$",OFFSET(Y61,1,0,$Q59-2)))</f>
        <v>0</v>
      </c>
      <c r="Z61" s="222">
        <f ca="1">IF($Q59=2,IF(AND(ACOMPANHAMENTO="PLE",ISNUMBER($E59)),SUMIF((OFFSET(CÁLCULO!$AM$15:$AW$15,$E59,0,OFFSET(ORÇAMENTO!$D$15,CRONO!$E59,0))),"="&amp;CRONO!Z$12,OFFSET(CÁLCULO!$AB$15:$AL$15,$E59,0,OFFSET(ORÇAMENTO!$D$15,CRONO!$E59,0)))+IF(AND($E61&lt;&gt;"",$E61&lt;&gt;0),SUMIF(CÁLCULO!$AM$15:$AW$32,"="&amp;CRONO!Z$12,CÁLCULO!$AB$15:$AL$32)/(ORÇAMENTO!$X$15-CÁLCULO.TotalAdmLocal)*CRONO!$E61,0),Z60*$R59),SUMIF(OFFSET($R61,1,0,$Q59-2),($L59+1)&amp;"$",OFFSET(Z61,1,0,$Q59-2)))</f>
        <v>0</v>
      </c>
      <c r="AA61" s="222">
        <f ca="1">IF($Q59=2,IF(AND(ACOMPANHAMENTO="PLE",ISNUMBER($E59)),SUMIF((OFFSET(CÁLCULO!$AM$15:$AW$15,$E59,0,OFFSET(ORÇAMENTO!$D$15,CRONO!$E59,0))),"="&amp;CRONO!AA$12,OFFSET(CÁLCULO!$AB$15:$AL$15,$E59,0,OFFSET(ORÇAMENTO!$D$15,CRONO!$E59,0)))+IF(AND($E61&lt;&gt;"",$E61&lt;&gt;0),SUMIF(CÁLCULO!$AM$15:$AW$32,"="&amp;CRONO!AA$12,CÁLCULO!$AB$15:$AL$32)/(ORÇAMENTO!$X$15-CÁLCULO.TotalAdmLocal)*CRONO!$E61,0),AA60*$R59),SUMIF(OFFSET($R61,1,0,$Q59-2),($L59+1)&amp;"$",OFFSET(AA61,1,0,$Q59-2)))</f>
        <v>0</v>
      </c>
      <c r="AB61" s="222">
        <f ca="1">IF($Q59=2,IF(AND(ACOMPANHAMENTO="PLE",ISNUMBER($E59)),SUMIF((OFFSET(CÁLCULO!$AM$15:$AW$15,$E59,0,OFFSET(ORÇAMENTO!$D$15,CRONO!$E59,0))),"="&amp;CRONO!AB$12,OFFSET(CÁLCULO!$AB$15:$AL$15,$E59,0,OFFSET(ORÇAMENTO!$D$15,CRONO!$E59,0)))+IF(AND($E61&lt;&gt;"",$E61&lt;&gt;0),SUMIF(CÁLCULO!$AM$15:$AW$32,"="&amp;CRONO!AB$12,CÁLCULO!$AB$15:$AL$32)/(ORÇAMENTO!$X$15-CÁLCULO.TotalAdmLocal)*CRONO!$E61,0),AB60*$R59),SUMIF(OFFSET($R61,1,0,$Q59-2),($L59+1)&amp;"$",OFFSET(AB61,1,0,$Q59-2)))</f>
        <v>0</v>
      </c>
      <c r="AC61" s="222">
        <f ca="1">IF($Q59=2,IF(AND(ACOMPANHAMENTO="PLE",ISNUMBER($E59)),SUMIF((OFFSET(CÁLCULO!$AM$15:$AW$15,$E59,0,OFFSET(ORÇAMENTO!$D$15,CRONO!$E59,0))),"="&amp;CRONO!AC$12,OFFSET(CÁLCULO!$AB$15:$AL$15,$E59,0,OFFSET(ORÇAMENTO!$D$15,CRONO!$E59,0)))+IF(AND($E61&lt;&gt;"",$E61&lt;&gt;0),SUMIF(CÁLCULO!$AM$15:$AW$32,"="&amp;CRONO!AC$12,CÁLCULO!$AB$15:$AL$32)/(ORÇAMENTO!$X$15-CÁLCULO.TotalAdmLocal)*CRONO!$E61,0),AC60*$R59),SUMIF(OFFSET($R61,1,0,$Q59-2),($L59+1)&amp;"$",OFFSET(AC61,1,0,$Q59-2)))</f>
        <v>0</v>
      </c>
      <c r="AD61" s="222">
        <f ca="1">IF($Q59=2,IF(AND(ACOMPANHAMENTO="PLE",ISNUMBER($E59)),SUMIF((OFFSET(CÁLCULO!$AM$15:$AW$15,$E59,0,OFFSET(ORÇAMENTO!$D$15,CRONO!$E59,0))),"="&amp;CRONO!AD$12,OFFSET(CÁLCULO!$AB$15:$AL$15,$E59,0,OFFSET(ORÇAMENTO!$D$15,CRONO!$E59,0)))+IF(AND($E61&lt;&gt;"",$E61&lt;&gt;0),SUMIF(CÁLCULO!$AM$15:$AW$32,"="&amp;CRONO!AD$12,CÁLCULO!$AB$15:$AL$32)/(ORÇAMENTO!$X$15-CÁLCULO.TotalAdmLocal)*CRONO!$E61,0),AD60*$R59),SUMIF(OFFSET($R61,1,0,$Q59-2),($L59+1)&amp;"$",OFFSET(AD61,1,0,$Q59-2)))</f>
        <v>0</v>
      </c>
      <c r="AE61" s="227">
        <f ca="1">IF($Q59=2,IF(AND(ACOMPANHAMENTO="PLE",ISNUMBER($E59)),SUMIF((OFFSET(CÁLCULO!$AM$15:$AW$15,$E59,0,OFFSET(ORÇAMENTO!$D$15,CRONO!$E59,0))),"="&amp;CRONO!AE$12,OFFSET(CÁLCULO!$AB$15:$AL$15,$E59,0,OFFSET(ORÇAMENTO!$D$15,CRONO!$E59,0)))+IF(AND($E61&lt;&gt;"",$E61&lt;&gt;0),SUMIF(CÁLCULO!$AM$15:$AW$32,"="&amp;CRONO!AE$12,CÁLCULO!$AB$15:$AL$32)/(ORÇAMENTO!$X$15-CÁLCULO.TotalAdmLocal)*CRONO!$E61,0),AE60*$R59),SUMIF(OFFSET($R61,1,0,$Q59-2),($L59+1)&amp;"$",OFFSET(AE61,1,0,$Q59-2)))</f>
        <v>0</v>
      </c>
    </row>
    <row r="62" spans="1:32" hidden="1" x14ac:dyDescent="0.25">
      <c r="A62" s="203">
        <f t="shared" ref="A62" ca="1" si="115">OFFSET(A62,-3,0)+1</f>
        <v>17</v>
      </c>
      <c r="B62" s="203">
        <f ca="1">IF($Q62&lt;&gt;2,0,IF($R62=0,1,IF(E63&gt;0,OFFSET(QCI!$M$13,SUBSTITUTE(E63,".",""),0),OFFSET(ORÇAMENTO!$AA$15,CRONO!$E62,0))/$R62))</f>
        <v>0</v>
      </c>
      <c r="C62" s="203">
        <f ca="1">IF($Q62&lt;&gt;2,0,IF($R62=0,1,IF(E63&gt;0,OFFSET(QCI!$N$13,SUBSTITUTE(E63,".",""),0),OFFSET(ORÇAMENTO!$AB$15,CRONO!$E62,0))/$R62))</f>
        <v>0</v>
      </c>
      <c r="D62" s="206" t="e">
        <f ca="1">IF(AND($Q62=2,ACOMPANHAMENTO="BM"),D63,D64/$R62)</f>
        <v>#VALUE!</v>
      </c>
      <c r="E62" s="203" t="e">
        <f ca="1">IF(A62&lt;=ORÇAMENTO.MáximoListaCrono,MATCH(A62,ORÇAMENTO.ListaCrono,0),NA())</f>
        <v>#N/A</v>
      </c>
      <c r="F62" s="203" t="str">
        <f t="shared" ref="F62" ca="1" si="116">IF(AND($E63&lt;&gt;-1,$R62&gt;0),"F","")</f>
        <v/>
      </c>
      <c r="G62" s="207" t="str">
        <f ca="1">IF(OR(R62=0,R62=""),"Linha",IF(AND(OR(ACOMPANHAMENTO="PLE",$Q62&lt;&gt;2),$E63=0),"Linha",1-SUM(T62:AF62)))</f>
        <v>Linha</v>
      </c>
      <c r="H62" s="208" t="str">
        <f ca="1">IF($E63=0,OFFSET(ORÇAMENTO!O$15,$E62,0),IF($E63&lt;&gt;-1,OFFSET(QCI!$D$13,$E63,0),""))</f>
        <v/>
      </c>
      <c r="I62" s="209" t="str">
        <f ca="1">IF($E63=0,OFFSET(ORÇAMENTO!R$15,$E62,0),IF($E63&lt;&gt;-1,OFFSET(QCI!$G$13,$E63,0),""))</f>
        <v/>
      </c>
      <c r="J62" s="209"/>
      <c r="K62" s="209"/>
      <c r="L62" s="210">
        <f ca="1">IF($E63=0,OFFSET(ORÇAMENTO!C$15,$E62,0),1)</f>
        <v>1</v>
      </c>
      <c r="M62" s="211">
        <f ca="1">IF($E63=-1,0,IF(M$13&lt;=$L62,IF(ISERROR(MATCH(M$13,OFFSET($L62,1,0,ROW($L$164)-ROW($L62)-1),0)),ROW($L$164)-ROW($L62)-1,MATCH(M$13,OFFSET($L62,1,0,ROW($L$164)-ROW($L62)-1),0)-1),0))</f>
        <v>0</v>
      </c>
      <c r="N62" s="211">
        <f ca="1">IF($E63=-1,0,IF(N$13&lt;=$L62,IF(ISERROR(MATCH(N$13,OFFSET($L62,1,0,ROW($L$164)-ROW($L62)-1),0)),ROW($L$164)-ROW($L62)-1,MATCH(N$13,OFFSET($L62,1,0,ROW($L$164)-ROW($L62)-1),0)-1),0))</f>
        <v>0</v>
      </c>
      <c r="O62" s="211">
        <f ca="1">IF($E63=-1,0,IF(O$13&lt;=$L62,IF(ISERROR(MATCH(O$13,OFFSET($L62,1,0,ROW($L$164)-ROW($L62)-1),0)),ROW($L$164)-ROW($L62)-1,MATCH(O$13,OFFSET($L62,1,0,ROW($L$164)-ROW($L62)-1),0)-1),0))</f>
        <v>0</v>
      </c>
      <c r="P62" s="211">
        <f ca="1">IF($E63=-1,0,IF(P$13&lt;=$L62,IF(ISERROR(MATCH(P$13,OFFSET($L62,1,0,ROW($L$164)-ROW($L62)-1),0)),ROW($L$164)-ROW($L62)-1,MATCH(P$13,OFFSET($L62,1,0,ROW($L$164)-ROW($L62)-1),0)-1),0))</f>
        <v>0</v>
      </c>
      <c r="Q62" s="211">
        <f t="shared" ref="Q62" ca="1" si="117">MIN(OFFSET(L62,0,1,,L62))</f>
        <v>0</v>
      </c>
      <c r="R62" s="212" t="str">
        <f ca="1">IF($E63=0,OFFSET(ORÇAMENTO!X$15,$E62,0),IF($E63&lt;&gt;-1,OFFSET(QCI!$O$13,$E63,0),""))</f>
        <v/>
      </c>
      <c r="S62" s="213" t="s">
        <v>270</v>
      </c>
      <c r="T62" s="214" t="e">
        <f t="shared" ref="T62:AE62" ca="1" si="118">IF(AND($Q62=2,ACOMPANHAMENTO="BM"),T63,T64/$R62)</f>
        <v>#VALUE!</v>
      </c>
      <c r="U62" s="206" t="e">
        <f t="shared" ca="1" si="118"/>
        <v>#VALUE!</v>
      </c>
      <c r="V62" s="206" t="e">
        <f t="shared" ca="1" si="118"/>
        <v>#VALUE!</v>
      </c>
      <c r="W62" s="206" t="e">
        <f t="shared" ca="1" si="118"/>
        <v>#VALUE!</v>
      </c>
      <c r="X62" s="206" t="e">
        <f t="shared" ca="1" si="118"/>
        <v>#VALUE!</v>
      </c>
      <c r="Y62" s="206" t="e">
        <f t="shared" ca="1" si="118"/>
        <v>#VALUE!</v>
      </c>
      <c r="Z62" s="206" t="e">
        <f t="shared" ca="1" si="118"/>
        <v>#VALUE!</v>
      </c>
      <c r="AA62" s="206" t="e">
        <f t="shared" ca="1" si="118"/>
        <v>#VALUE!</v>
      </c>
      <c r="AB62" s="206" t="e">
        <f t="shared" ca="1" si="118"/>
        <v>#VALUE!</v>
      </c>
      <c r="AC62" s="206" t="e">
        <f t="shared" ca="1" si="118"/>
        <v>#VALUE!</v>
      </c>
      <c r="AD62" s="206" t="e">
        <f t="shared" ca="1" si="118"/>
        <v>#VALUE!</v>
      </c>
      <c r="AE62" s="215" t="e">
        <f t="shared" ca="1" si="118"/>
        <v>#VALUE!</v>
      </c>
    </row>
    <row r="63" spans="1:32" ht="12.75" hidden="1" customHeight="1" x14ac:dyDescent="0.25">
      <c r="D63" s="568"/>
      <c r="E63" s="203">
        <f ca="1">IF(ISERROR(E62),IF(1+COUNTIF($L$13:OFFSET(L62,-1,0),1)&lt;=MAX(QCI!$D$13:$D$24),1+COUNTIF($L$13:OFFSET(L62,-1,0),1),-1),0)</f>
        <v>-1</v>
      </c>
      <c r="F63" s="203" t="str">
        <f t="shared" ref="F63" ca="1" si="119">IF(AND($E63&lt;&gt;-1,$R62&gt;0),"F","")</f>
        <v/>
      </c>
      <c r="G63" s="216" t="str">
        <f ca="1">IF(OR(R62=0,R62=""),"vazia",IF(AND(OR(ACOMPANHAMENTO="PLE",$Q62&lt;&gt;2),$E63=0),"calculada","--&gt;"))</f>
        <v>vazia</v>
      </c>
      <c r="H63" s="217"/>
      <c r="I63" s="218" t="str">
        <f t="shared" ref="I63" ca="1" si="120">IF(AND(G62&lt;&gt;0,ISNUMBER(G62)),"PREENCHA ESTA LINHA --&gt;","")</f>
        <v/>
      </c>
      <c r="J63" s="218"/>
      <c r="K63" s="218"/>
      <c r="L63" s="219"/>
      <c r="M63" s="219"/>
      <c r="N63" s="219"/>
      <c r="O63" s="219"/>
      <c r="P63" s="219"/>
      <c r="Q63" s="219"/>
      <c r="R63" s="220"/>
      <c r="S63" s="221"/>
      <c r="T63" s="569"/>
      <c r="U63" s="568"/>
      <c r="V63" s="568"/>
      <c r="W63" s="568"/>
      <c r="X63" s="568"/>
      <c r="Y63" s="568"/>
      <c r="Z63" s="568"/>
      <c r="AA63" s="568"/>
      <c r="AB63" s="568"/>
      <c r="AC63" s="568"/>
      <c r="AD63" s="568"/>
      <c r="AE63" s="570"/>
      <c r="AF63" s="532"/>
    </row>
    <row r="64" spans="1:32" ht="0.15" hidden="1" customHeight="1" x14ac:dyDescent="0.25">
      <c r="D64" s="222">
        <f ca="1">IF($Q62=2,IF(AND(ACOMPANHAMENTO="PLE",ISNUMBER($E62)),SUMIF((OFFSET(CÁLCULO!$AM$15:$AW$15,$E62,0,OFFSET(ORÇAMENTO!$D$15,CRONO!$E62,0))),"="&amp;CRONO!D$12,OFFSET(CÁLCULO!$AB$15:$AL$15,$E62,0,OFFSET(ORÇAMENTO!$D$15,CRONO!$E62,0)))+IF(AND($E64&lt;&gt;"",$E64&lt;&gt;0),SUMIF(CÁLCULO!$AM$15:$AW$32,"="&amp;CRONO!D$12,CÁLCULO!$AB$15:$AL$32)/(ORÇAMENTO!$X$15-CÁLCULO.TotalAdmLocal)*CRONO!$E64,0),D63*$R62),SUMIF(OFFSET($R64,1,0,$Q62-2),($L62+1)&amp;"$",OFFSET(D64,1,0,$Q62-2)))</f>
        <v>0</v>
      </c>
      <c r="E64" s="203" t="str">
        <f ca="1">IF(OR($Q62&lt;&gt;2,AUTOEVENTO&lt;&gt;"manual",$E63&gt;0),"",SUMIF(OFFSET(CÁLCULO!$M$15,CRONO!$E62,0,OFFSET(ORÇAMENTO!$D$15,CRONO!$E62,0)),1,OFFSET(ORÇAMENTO!$X$15,CRONO!$E62,0,OFFSET(ORÇAMENTO!$D$15,CRONO!$E62,0))))</f>
        <v/>
      </c>
      <c r="G64" s="223"/>
      <c r="R64" s="224" t="str">
        <f t="shared" ref="R64" ca="1" si="121">L62&amp;"$"</f>
        <v>1$</v>
      </c>
      <c r="S64" s="225"/>
      <c r="T64" s="226">
        <f ca="1">IF($Q62=2,IF(AND(ACOMPANHAMENTO="PLE",ISNUMBER($E62)),SUMIF((OFFSET(CÁLCULO!$AM$15:$AW$15,$E62,0,OFFSET(ORÇAMENTO!$D$15,CRONO!$E62,0))),"&lt;="&amp;CRONO!T$12,OFFSET(CÁLCULO!$AB$15:$AL$15,$E62,0,OFFSET(ORÇAMENTO!$D$15,CRONO!$E62,0)))+IF(AND($E64&lt;&gt;"",$E64&lt;&gt;0),SUMIF(CÁLCULO!$AM$15:$AW$32,"&lt;="&amp;CRONO!T$12,CÁLCULO!$AB$15:$AL$32)/(ORÇAMENTO!$X$15-CÁLCULO.TotalAdmLocal)*CRONO!$E64,0),T63*$R62),SUMIF(OFFSET($R64,1,0,$Q62-2),($L62+1)&amp;"$",OFFSET(T64,1,0,$Q62-2)))</f>
        <v>0</v>
      </c>
      <c r="U64" s="222">
        <f ca="1">IF($Q62=2,IF(AND(ACOMPANHAMENTO="PLE",ISNUMBER($E62)),SUMIF((OFFSET(CÁLCULO!$AM$15:$AW$15,$E62,0,OFFSET(ORÇAMENTO!$D$15,CRONO!$E62,0))),"="&amp;CRONO!U$12,OFFSET(CÁLCULO!$AB$15:$AL$15,$E62,0,OFFSET(ORÇAMENTO!$D$15,CRONO!$E62,0)))+IF(AND($E64&lt;&gt;"",$E64&lt;&gt;0),SUMIF(CÁLCULO!$AM$15:$AW$32,"="&amp;CRONO!U$12,CÁLCULO!$AB$15:$AL$32)/(ORÇAMENTO!$X$15-CÁLCULO.TotalAdmLocal)*CRONO!$E64,0),U63*$R62),SUMIF(OFFSET($R64,1,0,$Q62-2),($L62+1)&amp;"$",OFFSET(U64,1,0,$Q62-2)))</f>
        <v>0</v>
      </c>
      <c r="V64" s="222">
        <f ca="1">IF($Q62=2,IF(AND(ACOMPANHAMENTO="PLE",ISNUMBER($E62)),SUMIF((OFFSET(CÁLCULO!$AM$15:$AW$15,$E62,0,OFFSET(ORÇAMENTO!$D$15,CRONO!$E62,0))),"="&amp;CRONO!V$12,OFFSET(CÁLCULO!$AB$15:$AL$15,$E62,0,OFFSET(ORÇAMENTO!$D$15,CRONO!$E62,0)))+IF(AND($E64&lt;&gt;"",$E64&lt;&gt;0),SUMIF(CÁLCULO!$AM$15:$AW$32,"="&amp;CRONO!V$12,CÁLCULO!$AB$15:$AL$32)/(ORÇAMENTO!$X$15-CÁLCULO.TotalAdmLocal)*CRONO!$E64,0),V63*$R62),SUMIF(OFFSET($R64,1,0,$Q62-2),($L62+1)&amp;"$",OFFSET(V64,1,0,$Q62-2)))</f>
        <v>0</v>
      </c>
      <c r="W64" s="222">
        <f ca="1">IF($Q62=2,IF(AND(ACOMPANHAMENTO="PLE",ISNUMBER($E62)),SUMIF((OFFSET(CÁLCULO!$AM$15:$AW$15,$E62,0,OFFSET(ORÇAMENTO!$D$15,CRONO!$E62,0))),"="&amp;CRONO!W$12,OFFSET(CÁLCULO!$AB$15:$AL$15,$E62,0,OFFSET(ORÇAMENTO!$D$15,CRONO!$E62,0)))+IF(AND($E64&lt;&gt;"",$E64&lt;&gt;0),SUMIF(CÁLCULO!$AM$15:$AW$32,"="&amp;CRONO!W$12,CÁLCULO!$AB$15:$AL$32)/(ORÇAMENTO!$X$15-CÁLCULO.TotalAdmLocal)*CRONO!$E64,0),W63*$R62),SUMIF(OFFSET($R64,1,0,$Q62-2),($L62+1)&amp;"$",OFFSET(W64,1,0,$Q62-2)))</f>
        <v>0</v>
      </c>
      <c r="X64" s="222">
        <f ca="1">IF($Q62=2,IF(AND(ACOMPANHAMENTO="PLE",ISNUMBER($E62)),SUMIF((OFFSET(CÁLCULO!$AM$15:$AW$15,$E62,0,OFFSET(ORÇAMENTO!$D$15,CRONO!$E62,0))),"="&amp;CRONO!X$12,OFFSET(CÁLCULO!$AB$15:$AL$15,$E62,0,OFFSET(ORÇAMENTO!$D$15,CRONO!$E62,0)))+IF(AND($E64&lt;&gt;"",$E64&lt;&gt;0),SUMIF(CÁLCULO!$AM$15:$AW$32,"="&amp;CRONO!X$12,CÁLCULO!$AB$15:$AL$32)/(ORÇAMENTO!$X$15-CÁLCULO.TotalAdmLocal)*CRONO!$E64,0),X63*$R62),SUMIF(OFFSET($R64,1,0,$Q62-2),($L62+1)&amp;"$",OFFSET(X64,1,0,$Q62-2)))</f>
        <v>0</v>
      </c>
      <c r="Y64" s="222">
        <f ca="1">IF($Q62=2,IF(AND(ACOMPANHAMENTO="PLE",ISNUMBER($E62)),SUMIF((OFFSET(CÁLCULO!$AM$15:$AW$15,$E62,0,OFFSET(ORÇAMENTO!$D$15,CRONO!$E62,0))),"="&amp;CRONO!Y$12,OFFSET(CÁLCULO!$AB$15:$AL$15,$E62,0,OFFSET(ORÇAMENTO!$D$15,CRONO!$E62,0)))+IF(AND($E64&lt;&gt;"",$E64&lt;&gt;0),SUMIF(CÁLCULO!$AM$15:$AW$32,"="&amp;CRONO!Y$12,CÁLCULO!$AB$15:$AL$32)/(ORÇAMENTO!$X$15-CÁLCULO.TotalAdmLocal)*CRONO!$E64,0),Y63*$R62),SUMIF(OFFSET($R64,1,0,$Q62-2),($L62+1)&amp;"$",OFFSET(Y64,1,0,$Q62-2)))</f>
        <v>0</v>
      </c>
      <c r="Z64" s="222">
        <f ca="1">IF($Q62=2,IF(AND(ACOMPANHAMENTO="PLE",ISNUMBER($E62)),SUMIF((OFFSET(CÁLCULO!$AM$15:$AW$15,$E62,0,OFFSET(ORÇAMENTO!$D$15,CRONO!$E62,0))),"="&amp;CRONO!Z$12,OFFSET(CÁLCULO!$AB$15:$AL$15,$E62,0,OFFSET(ORÇAMENTO!$D$15,CRONO!$E62,0)))+IF(AND($E64&lt;&gt;"",$E64&lt;&gt;0),SUMIF(CÁLCULO!$AM$15:$AW$32,"="&amp;CRONO!Z$12,CÁLCULO!$AB$15:$AL$32)/(ORÇAMENTO!$X$15-CÁLCULO.TotalAdmLocal)*CRONO!$E64,0),Z63*$R62),SUMIF(OFFSET($R64,1,0,$Q62-2),($L62+1)&amp;"$",OFFSET(Z64,1,0,$Q62-2)))</f>
        <v>0</v>
      </c>
      <c r="AA64" s="222">
        <f ca="1">IF($Q62=2,IF(AND(ACOMPANHAMENTO="PLE",ISNUMBER($E62)),SUMIF((OFFSET(CÁLCULO!$AM$15:$AW$15,$E62,0,OFFSET(ORÇAMENTO!$D$15,CRONO!$E62,0))),"="&amp;CRONO!AA$12,OFFSET(CÁLCULO!$AB$15:$AL$15,$E62,0,OFFSET(ORÇAMENTO!$D$15,CRONO!$E62,0)))+IF(AND($E64&lt;&gt;"",$E64&lt;&gt;0),SUMIF(CÁLCULO!$AM$15:$AW$32,"="&amp;CRONO!AA$12,CÁLCULO!$AB$15:$AL$32)/(ORÇAMENTO!$X$15-CÁLCULO.TotalAdmLocal)*CRONO!$E64,0),AA63*$R62),SUMIF(OFFSET($R64,1,0,$Q62-2),($L62+1)&amp;"$",OFFSET(AA64,1,0,$Q62-2)))</f>
        <v>0</v>
      </c>
      <c r="AB64" s="222">
        <f ca="1">IF($Q62=2,IF(AND(ACOMPANHAMENTO="PLE",ISNUMBER($E62)),SUMIF((OFFSET(CÁLCULO!$AM$15:$AW$15,$E62,0,OFFSET(ORÇAMENTO!$D$15,CRONO!$E62,0))),"="&amp;CRONO!AB$12,OFFSET(CÁLCULO!$AB$15:$AL$15,$E62,0,OFFSET(ORÇAMENTO!$D$15,CRONO!$E62,0)))+IF(AND($E64&lt;&gt;"",$E64&lt;&gt;0),SUMIF(CÁLCULO!$AM$15:$AW$32,"="&amp;CRONO!AB$12,CÁLCULO!$AB$15:$AL$32)/(ORÇAMENTO!$X$15-CÁLCULO.TotalAdmLocal)*CRONO!$E64,0),AB63*$R62),SUMIF(OFFSET($R64,1,0,$Q62-2),($L62+1)&amp;"$",OFFSET(AB64,1,0,$Q62-2)))</f>
        <v>0</v>
      </c>
      <c r="AC64" s="222">
        <f ca="1">IF($Q62=2,IF(AND(ACOMPANHAMENTO="PLE",ISNUMBER($E62)),SUMIF((OFFSET(CÁLCULO!$AM$15:$AW$15,$E62,0,OFFSET(ORÇAMENTO!$D$15,CRONO!$E62,0))),"="&amp;CRONO!AC$12,OFFSET(CÁLCULO!$AB$15:$AL$15,$E62,0,OFFSET(ORÇAMENTO!$D$15,CRONO!$E62,0)))+IF(AND($E64&lt;&gt;"",$E64&lt;&gt;0),SUMIF(CÁLCULO!$AM$15:$AW$32,"="&amp;CRONO!AC$12,CÁLCULO!$AB$15:$AL$32)/(ORÇAMENTO!$X$15-CÁLCULO.TotalAdmLocal)*CRONO!$E64,0),AC63*$R62),SUMIF(OFFSET($R64,1,0,$Q62-2),($L62+1)&amp;"$",OFFSET(AC64,1,0,$Q62-2)))</f>
        <v>0</v>
      </c>
      <c r="AD64" s="222">
        <f ca="1">IF($Q62=2,IF(AND(ACOMPANHAMENTO="PLE",ISNUMBER($E62)),SUMIF((OFFSET(CÁLCULO!$AM$15:$AW$15,$E62,0,OFFSET(ORÇAMENTO!$D$15,CRONO!$E62,0))),"="&amp;CRONO!AD$12,OFFSET(CÁLCULO!$AB$15:$AL$15,$E62,0,OFFSET(ORÇAMENTO!$D$15,CRONO!$E62,0)))+IF(AND($E64&lt;&gt;"",$E64&lt;&gt;0),SUMIF(CÁLCULO!$AM$15:$AW$32,"="&amp;CRONO!AD$12,CÁLCULO!$AB$15:$AL$32)/(ORÇAMENTO!$X$15-CÁLCULO.TotalAdmLocal)*CRONO!$E64,0),AD63*$R62),SUMIF(OFFSET($R64,1,0,$Q62-2),($L62+1)&amp;"$",OFFSET(AD64,1,0,$Q62-2)))</f>
        <v>0</v>
      </c>
      <c r="AE64" s="227">
        <f ca="1">IF($Q62=2,IF(AND(ACOMPANHAMENTO="PLE",ISNUMBER($E62)),SUMIF((OFFSET(CÁLCULO!$AM$15:$AW$15,$E62,0,OFFSET(ORÇAMENTO!$D$15,CRONO!$E62,0))),"="&amp;CRONO!AE$12,OFFSET(CÁLCULO!$AB$15:$AL$15,$E62,0,OFFSET(ORÇAMENTO!$D$15,CRONO!$E62,0)))+IF(AND($E64&lt;&gt;"",$E64&lt;&gt;0),SUMIF(CÁLCULO!$AM$15:$AW$32,"="&amp;CRONO!AE$12,CÁLCULO!$AB$15:$AL$32)/(ORÇAMENTO!$X$15-CÁLCULO.TotalAdmLocal)*CRONO!$E64,0),AE63*$R62),SUMIF(OFFSET($R64,1,0,$Q62-2),($L62+1)&amp;"$",OFFSET(AE64,1,0,$Q62-2)))</f>
        <v>0</v>
      </c>
    </row>
    <row r="65" spans="1:32" hidden="1" x14ac:dyDescent="0.25">
      <c r="A65" s="203">
        <f t="shared" ref="A65" ca="1" si="122">OFFSET(A65,-3,0)+1</f>
        <v>18</v>
      </c>
      <c r="B65" s="203">
        <f ca="1">IF($Q65&lt;&gt;2,0,IF($R65=0,1,IF(E66&gt;0,OFFSET(QCI!$M$13,SUBSTITUTE(E66,".",""),0),OFFSET(ORÇAMENTO!$AA$15,CRONO!$E65,0))/$R65))</f>
        <v>0</v>
      </c>
      <c r="C65" s="203">
        <f ca="1">IF($Q65&lt;&gt;2,0,IF($R65=0,1,IF(E66&gt;0,OFFSET(QCI!$N$13,SUBSTITUTE(E66,".",""),0),OFFSET(ORÇAMENTO!$AB$15,CRONO!$E65,0))/$R65))</f>
        <v>0</v>
      </c>
      <c r="D65" s="206" t="e">
        <f ca="1">IF(AND($Q65=2,ACOMPANHAMENTO="BM"),D66,D67/$R65)</f>
        <v>#VALUE!</v>
      </c>
      <c r="E65" s="203" t="e">
        <f ca="1">IF(A65&lt;=ORÇAMENTO.MáximoListaCrono,MATCH(A65,ORÇAMENTO.ListaCrono,0),NA())</f>
        <v>#N/A</v>
      </c>
      <c r="F65" s="203" t="str">
        <f t="shared" ref="F65" ca="1" si="123">IF(AND($E66&lt;&gt;-1,$R65&gt;0),"F","")</f>
        <v/>
      </c>
      <c r="G65" s="207" t="str">
        <f ca="1">IF(OR(R65=0,R65=""),"Linha",IF(AND(OR(ACOMPANHAMENTO="PLE",$Q65&lt;&gt;2),$E66=0),"Linha",1-SUM(T65:AF65)))</f>
        <v>Linha</v>
      </c>
      <c r="H65" s="208" t="str">
        <f ca="1">IF($E66=0,OFFSET(ORÇAMENTO!O$15,$E65,0),IF($E66&lt;&gt;-1,OFFSET(QCI!$D$13,$E66,0),""))</f>
        <v/>
      </c>
      <c r="I65" s="209" t="str">
        <f ca="1">IF($E66=0,OFFSET(ORÇAMENTO!R$15,$E65,0),IF($E66&lt;&gt;-1,OFFSET(QCI!$G$13,$E66,0),""))</f>
        <v/>
      </c>
      <c r="J65" s="209"/>
      <c r="K65" s="209"/>
      <c r="L65" s="210">
        <f ca="1">IF($E66=0,OFFSET(ORÇAMENTO!C$15,$E65,0),1)</f>
        <v>1</v>
      </c>
      <c r="M65" s="211">
        <f ca="1">IF($E66=-1,0,IF(M$13&lt;=$L65,IF(ISERROR(MATCH(M$13,OFFSET($L65,1,0,ROW($L$164)-ROW($L65)-1),0)),ROW($L$164)-ROW($L65)-1,MATCH(M$13,OFFSET($L65,1,0,ROW($L$164)-ROW($L65)-1),0)-1),0))</f>
        <v>0</v>
      </c>
      <c r="N65" s="211">
        <f ca="1">IF($E66=-1,0,IF(N$13&lt;=$L65,IF(ISERROR(MATCH(N$13,OFFSET($L65,1,0,ROW($L$164)-ROW($L65)-1),0)),ROW($L$164)-ROW($L65)-1,MATCH(N$13,OFFSET($L65,1,0,ROW($L$164)-ROW($L65)-1),0)-1),0))</f>
        <v>0</v>
      </c>
      <c r="O65" s="211">
        <f ca="1">IF($E66=-1,0,IF(O$13&lt;=$L65,IF(ISERROR(MATCH(O$13,OFFSET($L65,1,0,ROW($L$164)-ROW($L65)-1),0)),ROW($L$164)-ROW($L65)-1,MATCH(O$13,OFFSET($L65,1,0,ROW($L$164)-ROW($L65)-1),0)-1),0))</f>
        <v>0</v>
      </c>
      <c r="P65" s="211">
        <f ca="1">IF($E66=-1,0,IF(P$13&lt;=$L65,IF(ISERROR(MATCH(P$13,OFFSET($L65,1,0,ROW($L$164)-ROW($L65)-1),0)),ROW($L$164)-ROW($L65)-1,MATCH(P$13,OFFSET($L65,1,0,ROW($L$164)-ROW($L65)-1),0)-1),0))</f>
        <v>0</v>
      </c>
      <c r="Q65" s="211">
        <f t="shared" ref="Q65" ca="1" si="124">MIN(OFFSET(L65,0,1,,L65))</f>
        <v>0</v>
      </c>
      <c r="R65" s="212" t="str">
        <f ca="1">IF($E66=0,OFFSET(ORÇAMENTO!X$15,$E65,0),IF($E66&lt;&gt;-1,OFFSET(QCI!$O$13,$E66,0),""))</f>
        <v/>
      </c>
      <c r="S65" s="213" t="s">
        <v>270</v>
      </c>
      <c r="T65" s="214" t="e">
        <f t="shared" ref="T65:AE65" ca="1" si="125">IF(AND($Q65=2,ACOMPANHAMENTO="BM"),T66,T67/$R65)</f>
        <v>#VALUE!</v>
      </c>
      <c r="U65" s="206" t="e">
        <f t="shared" ca="1" si="125"/>
        <v>#VALUE!</v>
      </c>
      <c r="V65" s="206" t="e">
        <f t="shared" ca="1" si="125"/>
        <v>#VALUE!</v>
      </c>
      <c r="W65" s="206" t="e">
        <f t="shared" ca="1" si="125"/>
        <v>#VALUE!</v>
      </c>
      <c r="X65" s="206" t="e">
        <f t="shared" ca="1" si="125"/>
        <v>#VALUE!</v>
      </c>
      <c r="Y65" s="206" t="e">
        <f t="shared" ca="1" si="125"/>
        <v>#VALUE!</v>
      </c>
      <c r="Z65" s="206" t="e">
        <f t="shared" ca="1" si="125"/>
        <v>#VALUE!</v>
      </c>
      <c r="AA65" s="206" t="e">
        <f t="shared" ca="1" si="125"/>
        <v>#VALUE!</v>
      </c>
      <c r="AB65" s="206" t="e">
        <f t="shared" ca="1" si="125"/>
        <v>#VALUE!</v>
      </c>
      <c r="AC65" s="206" t="e">
        <f t="shared" ca="1" si="125"/>
        <v>#VALUE!</v>
      </c>
      <c r="AD65" s="206" t="e">
        <f t="shared" ca="1" si="125"/>
        <v>#VALUE!</v>
      </c>
      <c r="AE65" s="215" t="e">
        <f t="shared" ca="1" si="125"/>
        <v>#VALUE!</v>
      </c>
    </row>
    <row r="66" spans="1:32" ht="12.75" hidden="1" customHeight="1" x14ac:dyDescent="0.25">
      <c r="D66" s="568"/>
      <c r="E66" s="203">
        <f ca="1">IF(ISERROR(E65),IF(1+COUNTIF($L$13:OFFSET(L65,-1,0),1)&lt;=MAX(QCI!$D$13:$D$24),1+COUNTIF($L$13:OFFSET(L65,-1,0),1),-1),0)</f>
        <v>-1</v>
      </c>
      <c r="F66" s="203" t="str">
        <f t="shared" ref="F66" ca="1" si="126">IF(AND($E66&lt;&gt;-1,$R65&gt;0),"F","")</f>
        <v/>
      </c>
      <c r="G66" s="216" t="str">
        <f ca="1">IF(OR(R65=0,R65=""),"vazia",IF(AND(OR(ACOMPANHAMENTO="PLE",$Q65&lt;&gt;2),$E66=0),"calculada","--&gt;"))</f>
        <v>vazia</v>
      </c>
      <c r="H66" s="217"/>
      <c r="I66" s="218" t="str">
        <f t="shared" ref="I66" ca="1" si="127">IF(AND(G65&lt;&gt;0,ISNUMBER(G65)),"PREENCHA ESTA LINHA --&gt;","")</f>
        <v/>
      </c>
      <c r="J66" s="218"/>
      <c r="K66" s="218"/>
      <c r="L66" s="219"/>
      <c r="M66" s="219"/>
      <c r="N66" s="219"/>
      <c r="O66" s="219"/>
      <c r="P66" s="219"/>
      <c r="Q66" s="219"/>
      <c r="R66" s="220"/>
      <c r="S66" s="221"/>
      <c r="T66" s="569"/>
      <c r="U66" s="568"/>
      <c r="V66" s="568"/>
      <c r="W66" s="568"/>
      <c r="X66" s="568"/>
      <c r="Y66" s="568"/>
      <c r="Z66" s="568"/>
      <c r="AA66" s="568"/>
      <c r="AB66" s="568"/>
      <c r="AC66" s="568"/>
      <c r="AD66" s="568"/>
      <c r="AE66" s="570"/>
      <c r="AF66" s="532"/>
    </row>
    <row r="67" spans="1:32" ht="0.15" hidden="1" customHeight="1" x14ac:dyDescent="0.25">
      <c r="D67" s="222">
        <f ca="1">IF($Q65=2,IF(AND(ACOMPANHAMENTO="PLE",ISNUMBER($E65)),SUMIF((OFFSET(CÁLCULO!$AM$15:$AW$15,$E65,0,OFFSET(ORÇAMENTO!$D$15,CRONO!$E65,0))),"="&amp;CRONO!D$12,OFFSET(CÁLCULO!$AB$15:$AL$15,$E65,0,OFFSET(ORÇAMENTO!$D$15,CRONO!$E65,0)))+IF(AND($E67&lt;&gt;"",$E67&lt;&gt;0),SUMIF(CÁLCULO!$AM$15:$AW$32,"="&amp;CRONO!D$12,CÁLCULO!$AB$15:$AL$32)/(ORÇAMENTO!$X$15-CÁLCULO.TotalAdmLocal)*CRONO!$E67,0),D66*$R65),SUMIF(OFFSET($R67,1,0,$Q65-2),($L65+1)&amp;"$",OFFSET(D67,1,0,$Q65-2)))</f>
        <v>0</v>
      </c>
      <c r="E67" s="203" t="str">
        <f ca="1">IF(OR($Q65&lt;&gt;2,AUTOEVENTO&lt;&gt;"manual",$E66&gt;0),"",SUMIF(OFFSET(CÁLCULO!$M$15,CRONO!$E65,0,OFFSET(ORÇAMENTO!$D$15,CRONO!$E65,0)),1,OFFSET(ORÇAMENTO!$X$15,CRONO!$E65,0,OFFSET(ORÇAMENTO!$D$15,CRONO!$E65,0))))</f>
        <v/>
      </c>
      <c r="G67" s="223"/>
      <c r="R67" s="224" t="str">
        <f t="shared" ref="R67" ca="1" si="128">L65&amp;"$"</f>
        <v>1$</v>
      </c>
      <c r="S67" s="225"/>
      <c r="T67" s="226">
        <f ca="1">IF($Q65=2,IF(AND(ACOMPANHAMENTO="PLE",ISNUMBER($E65)),SUMIF((OFFSET(CÁLCULO!$AM$15:$AW$15,$E65,0,OFFSET(ORÇAMENTO!$D$15,CRONO!$E65,0))),"&lt;="&amp;CRONO!T$12,OFFSET(CÁLCULO!$AB$15:$AL$15,$E65,0,OFFSET(ORÇAMENTO!$D$15,CRONO!$E65,0)))+IF(AND($E67&lt;&gt;"",$E67&lt;&gt;0),SUMIF(CÁLCULO!$AM$15:$AW$32,"&lt;="&amp;CRONO!T$12,CÁLCULO!$AB$15:$AL$32)/(ORÇAMENTO!$X$15-CÁLCULO.TotalAdmLocal)*CRONO!$E67,0),T66*$R65),SUMIF(OFFSET($R67,1,0,$Q65-2),($L65+1)&amp;"$",OFFSET(T67,1,0,$Q65-2)))</f>
        <v>0</v>
      </c>
      <c r="U67" s="222">
        <f ca="1">IF($Q65=2,IF(AND(ACOMPANHAMENTO="PLE",ISNUMBER($E65)),SUMIF((OFFSET(CÁLCULO!$AM$15:$AW$15,$E65,0,OFFSET(ORÇAMENTO!$D$15,CRONO!$E65,0))),"="&amp;CRONO!U$12,OFFSET(CÁLCULO!$AB$15:$AL$15,$E65,0,OFFSET(ORÇAMENTO!$D$15,CRONO!$E65,0)))+IF(AND($E67&lt;&gt;"",$E67&lt;&gt;0),SUMIF(CÁLCULO!$AM$15:$AW$32,"="&amp;CRONO!U$12,CÁLCULO!$AB$15:$AL$32)/(ORÇAMENTO!$X$15-CÁLCULO.TotalAdmLocal)*CRONO!$E67,0),U66*$R65),SUMIF(OFFSET($R67,1,0,$Q65-2),($L65+1)&amp;"$",OFFSET(U67,1,0,$Q65-2)))</f>
        <v>0</v>
      </c>
      <c r="V67" s="222">
        <f ca="1">IF($Q65=2,IF(AND(ACOMPANHAMENTO="PLE",ISNUMBER($E65)),SUMIF((OFFSET(CÁLCULO!$AM$15:$AW$15,$E65,0,OFFSET(ORÇAMENTO!$D$15,CRONO!$E65,0))),"="&amp;CRONO!V$12,OFFSET(CÁLCULO!$AB$15:$AL$15,$E65,0,OFFSET(ORÇAMENTO!$D$15,CRONO!$E65,0)))+IF(AND($E67&lt;&gt;"",$E67&lt;&gt;0),SUMIF(CÁLCULO!$AM$15:$AW$32,"="&amp;CRONO!V$12,CÁLCULO!$AB$15:$AL$32)/(ORÇAMENTO!$X$15-CÁLCULO.TotalAdmLocal)*CRONO!$E67,0),V66*$R65),SUMIF(OFFSET($R67,1,0,$Q65-2),($L65+1)&amp;"$",OFFSET(V67,1,0,$Q65-2)))</f>
        <v>0</v>
      </c>
      <c r="W67" s="222">
        <f ca="1">IF($Q65=2,IF(AND(ACOMPANHAMENTO="PLE",ISNUMBER($E65)),SUMIF((OFFSET(CÁLCULO!$AM$15:$AW$15,$E65,0,OFFSET(ORÇAMENTO!$D$15,CRONO!$E65,0))),"="&amp;CRONO!W$12,OFFSET(CÁLCULO!$AB$15:$AL$15,$E65,0,OFFSET(ORÇAMENTO!$D$15,CRONO!$E65,0)))+IF(AND($E67&lt;&gt;"",$E67&lt;&gt;0),SUMIF(CÁLCULO!$AM$15:$AW$32,"="&amp;CRONO!W$12,CÁLCULO!$AB$15:$AL$32)/(ORÇAMENTO!$X$15-CÁLCULO.TotalAdmLocal)*CRONO!$E67,0),W66*$R65),SUMIF(OFFSET($R67,1,0,$Q65-2),($L65+1)&amp;"$",OFFSET(W67,1,0,$Q65-2)))</f>
        <v>0</v>
      </c>
      <c r="X67" s="222">
        <f ca="1">IF($Q65=2,IF(AND(ACOMPANHAMENTO="PLE",ISNUMBER($E65)),SUMIF((OFFSET(CÁLCULO!$AM$15:$AW$15,$E65,0,OFFSET(ORÇAMENTO!$D$15,CRONO!$E65,0))),"="&amp;CRONO!X$12,OFFSET(CÁLCULO!$AB$15:$AL$15,$E65,0,OFFSET(ORÇAMENTO!$D$15,CRONO!$E65,0)))+IF(AND($E67&lt;&gt;"",$E67&lt;&gt;0),SUMIF(CÁLCULO!$AM$15:$AW$32,"="&amp;CRONO!X$12,CÁLCULO!$AB$15:$AL$32)/(ORÇAMENTO!$X$15-CÁLCULO.TotalAdmLocal)*CRONO!$E67,0),X66*$R65),SUMIF(OFFSET($R67,1,0,$Q65-2),($L65+1)&amp;"$",OFFSET(X67,1,0,$Q65-2)))</f>
        <v>0</v>
      </c>
      <c r="Y67" s="222">
        <f ca="1">IF($Q65=2,IF(AND(ACOMPANHAMENTO="PLE",ISNUMBER($E65)),SUMIF((OFFSET(CÁLCULO!$AM$15:$AW$15,$E65,0,OFFSET(ORÇAMENTO!$D$15,CRONO!$E65,0))),"="&amp;CRONO!Y$12,OFFSET(CÁLCULO!$AB$15:$AL$15,$E65,0,OFFSET(ORÇAMENTO!$D$15,CRONO!$E65,0)))+IF(AND($E67&lt;&gt;"",$E67&lt;&gt;0),SUMIF(CÁLCULO!$AM$15:$AW$32,"="&amp;CRONO!Y$12,CÁLCULO!$AB$15:$AL$32)/(ORÇAMENTO!$X$15-CÁLCULO.TotalAdmLocal)*CRONO!$E67,0),Y66*$R65),SUMIF(OFFSET($R67,1,0,$Q65-2),($L65+1)&amp;"$",OFFSET(Y67,1,0,$Q65-2)))</f>
        <v>0</v>
      </c>
      <c r="Z67" s="222">
        <f ca="1">IF($Q65=2,IF(AND(ACOMPANHAMENTO="PLE",ISNUMBER($E65)),SUMIF((OFFSET(CÁLCULO!$AM$15:$AW$15,$E65,0,OFFSET(ORÇAMENTO!$D$15,CRONO!$E65,0))),"="&amp;CRONO!Z$12,OFFSET(CÁLCULO!$AB$15:$AL$15,$E65,0,OFFSET(ORÇAMENTO!$D$15,CRONO!$E65,0)))+IF(AND($E67&lt;&gt;"",$E67&lt;&gt;0),SUMIF(CÁLCULO!$AM$15:$AW$32,"="&amp;CRONO!Z$12,CÁLCULO!$AB$15:$AL$32)/(ORÇAMENTO!$X$15-CÁLCULO.TotalAdmLocal)*CRONO!$E67,0),Z66*$R65),SUMIF(OFFSET($R67,1,0,$Q65-2),($L65+1)&amp;"$",OFFSET(Z67,1,0,$Q65-2)))</f>
        <v>0</v>
      </c>
      <c r="AA67" s="222">
        <f ca="1">IF($Q65=2,IF(AND(ACOMPANHAMENTO="PLE",ISNUMBER($E65)),SUMIF((OFFSET(CÁLCULO!$AM$15:$AW$15,$E65,0,OFFSET(ORÇAMENTO!$D$15,CRONO!$E65,0))),"="&amp;CRONO!AA$12,OFFSET(CÁLCULO!$AB$15:$AL$15,$E65,0,OFFSET(ORÇAMENTO!$D$15,CRONO!$E65,0)))+IF(AND($E67&lt;&gt;"",$E67&lt;&gt;0),SUMIF(CÁLCULO!$AM$15:$AW$32,"="&amp;CRONO!AA$12,CÁLCULO!$AB$15:$AL$32)/(ORÇAMENTO!$X$15-CÁLCULO.TotalAdmLocal)*CRONO!$E67,0),AA66*$R65),SUMIF(OFFSET($R67,1,0,$Q65-2),($L65+1)&amp;"$",OFFSET(AA67,1,0,$Q65-2)))</f>
        <v>0</v>
      </c>
      <c r="AB67" s="222">
        <f ca="1">IF($Q65=2,IF(AND(ACOMPANHAMENTO="PLE",ISNUMBER($E65)),SUMIF((OFFSET(CÁLCULO!$AM$15:$AW$15,$E65,0,OFFSET(ORÇAMENTO!$D$15,CRONO!$E65,0))),"="&amp;CRONO!AB$12,OFFSET(CÁLCULO!$AB$15:$AL$15,$E65,0,OFFSET(ORÇAMENTO!$D$15,CRONO!$E65,0)))+IF(AND($E67&lt;&gt;"",$E67&lt;&gt;0),SUMIF(CÁLCULO!$AM$15:$AW$32,"="&amp;CRONO!AB$12,CÁLCULO!$AB$15:$AL$32)/(ORÇAMENTO!$X$15-CÁLCULO.TotalAdmLocal)*CRONO!$E67,0),AB66*$R65),SUMIF(OFFSET($R67,1,0,$Q65-2),($L65+1)&amp;"$",OFFSET(AB67,1,0,$Q65-2)))</f>
        <v>0</v>
      </c>
      <c r="AC67" s="222">
        <f ca="1">IF($Q65=2,IF(AND(ACOMPANHAMENTO="PLE",ISNUMBER($E65)),SUMIF((OFFSET(CÁLCULO!$AM$15:$AW$15,$E65,0,OFFSET(ORÇAMENTO!$D$15,CRONO!$E65,0))),"="&amp;CRONO!AC$12,OFFSET(CÁLCULO!$AB$15:$AL$15,$E65,0,OFFSET(ORÇAMENTO!$D$15,CRONO!$E65,0)))+IF(AND($E67&lt;&gt;"",$E67&lt;&gt;0),SUMIF(CÁLCULO!$AM$15:$AW$32,"="&amp;CRONO!AC$12,CÁLCULO!$AB$15:$AL$32)/(ORÇAMENTO!$X$15-CÁLCULO.TotalAdmLocal)*CRONO!$E67,0),AC66*$R65),SUMIF(OFFSET($R67,1,0,$Q65-2),($L65+1)&amp;"$",OFFSET(AC67,1,0,$Q65-2)))</f>
        <v>0</v>
      </c>
      <c r="AD67" s="222">
        <f ca="1">IF($Q65=2,IF(AND(ACOMPANHAMENTO="PLE",ISNUMBER($E65)),SUMIF((OFFSET(CÁLCULO!$AM$15:$AW$15,$E65,0,OFFSET(ORÇAMENTO!$D$15,CRONO!$E65,0))),"="&amp;CRONO!AD$12,OFFSET(CÁLCULO!$AB$15:$AL$15,$E65,0,OFFSET(ORÇAMENTO!$D$15,CRONO!$E65,0)))+IF(AND($E67&lt;&gt;"",$E67&lt;&gt;0),SUMIF(CÁLCULO!$AM$15:$AW$32,"="&amp;CRONO!AD$12,CÁLCULO!$AB$15:$AL$32)/(ORÇAMENTO!$X$15-CÁLCULO.TotalAdmLocal)*CRONO!$E67,0),AD66*$R65),SUMIF(OFFSET($R67,1,0,$Q65-2),($L65+1)&amp;"$",OFFSET(AD67,1,0,$Q65-2)))</f>
        <v>0</v>
      </c>
      <c r="AE67" s="227">
        <f ca="1">IF($Q65=2,IF(AND(ACOMPANHAMENTO="PLE",ISNUMBER($E65)),SUMIF((OFFSET(CÁLCULO!$AM$15:$AW$15,$E65,0,OFFSET(ORÇAMENTO!$D$15,CRONO!$E65,0))),"="&amp;CRONO!AE$12,OFFSET(CÁLCULO!$AB$15:$AL$15,$E65,0,OFFSET(ORÇAMENTO!$D$15,CRONO!$E65,0)))+IF(AND($E67&lt;&gt;"",$E67&lt;&gt;0),SUMIF(CÁLCULO!$AM$15:$AW$32,"="&amp;CRONO!AE$12,CÁLCULO!$AB$15:$AL$32)/(ORÇAMENTO!$X$15-CÁLCULO.TotalAdmLocal)*CRONO!$E67,0),AE66*$R65),SUMIF(OFFSET($R67,1,0,$Q65-2),($L65+1)&amp;"$",OFFSET(AE67,1,0,$Q65-2)))</f>
        <v>0</v>
      </c>
    </row>
    <row r="68" spans="1:32" hidden="1" x14ac:dyDescent="0.25">
      <c r="A68" s="203">
        <f t="shared" ref="A68" ca="1" si="129">OFFSET(A68,-3,0)+1</f>
        <v>19</v>
      </c>
      <c r="B68" s="203">
        <f ca="1">IF($Q68&lt;&gt;2,0,IF($R68=0,1,IF(E69&gt;0,OFFSET(QCI!$M$13,SUBSTITUTE(E69,".",""),0),OFFSET(ORÇAMENTO!$AA$15,CRONO!$E68,0))/$R68))</f>
        <v>0</v>
      </c>
      <c r="C68" s="203">
        <f ca="1">IF($Q68&lt;&gt;2,0,IF($R68=0,1,IF(E69&gt;0,OFFSET(QCI!$N$13,SUBSTITUTE(E69,".",""),0),OFFSET(ORÇAMENTO!$AB$15,CRONO!$E68,0))/$R68))</f>
        <v>0</v>
      </c>
      <c r="D68" s="206" t="e">
        <f ca="1">IF(AND($Q68=2,ACOMPANHAMENTO="BM"),D69,D70/$R68)</f>
        <v>#VALUE!</v>
      </c>
      <c r="E68" s="203" t="e">
        <f ca="1">IF(A68&lt;=ORÇAMENTO.MáximoListaCrono,MATCH(A68,ORÇAMENTO.ListaCrono,0),NA())</f>
        <v>#N/A</v>
      </c>
      <c r="F68" s="203" t="str">
        <f t="shared" ref="F68" ca="1" si="130">IF(AND($E69&lt;&gt;-1,$R68&gt;0),"F","")</f>
        <v/>
      </c>
      <c r="G68" s="207" t="str">
        <f ca="1">IF(OR(R68=0,R68=""),"Linha",IF(AND(OR(ACOMPANHAMENTO="PLE",$Q68&lt;&gt;2),$E69=0),"Linha",1-SUM(T68:AF68)))</f>
        <v>Linha</v>
      </c>
      <c r="H68" s="208" t="str">
        <f ca="1">IF($E69=0,OFFSET(ORÇAMENTO!O$15,$E68,0),IF($E69&lt;&gt;-1,OFFSET(QCI!$D$13,$E69,0),""))</f>
        <v/>
      </c>
      <c r="I68" s="209" t="str">
        <f ca="1">IF($E69=0,OFFSET(ORÇAMENTO!R$15,$E68,0),IF($E69&lt;&gt;-1,OFFSET(QCI!$G$13,$E69,0),""))</f>
        <v/>
      </c>
      <c r="J68" s="209"/>
      <c r="K68" s="209"/>
      <c r="L68" s="210">
        <f ca="1">IF($E69=0,OFFSET(ORÇAMENTO!C$15,$E68,0),1)</f>
        <v>1</v>
      </c>
      <c r="M68" s="211">
        <f ca="1">IF($E69=-1,0,IF(M$13&lt;=$L68,IF(ISERROR(MATCH(M$13,OFFSET($L68,1,0,ROW($L$164)-ROW($L68)-1),0)),ROW($L$164)-ROW($L68)-1,MATCH(M$13,OFFSET($L68,1,0,ROW($L$164)-ROW($L68)-1),0)-1),0))</f>
        <v>0</v>
      </c>
      <c r="N68" s="211">
        <f ca="1">IF($E69=-1,0,IF(N$13&lt;=$L68,IF(ISERROR(MATCH(N$13,OFFSET($L68,1,0,ROW($L$164)-ROW($L68)-1),0)),ROW($L$164)-ROW($L68)-1,MATCH(N$13,OFFSET($L68,1,0,ROW($L$164)-ROW($L68)-1),0)-1),0))</f>
        <v>0</v>
      </c>
      <c r="O68" s="211">
        <f ca="1">IF($E69=-1,0,IF(O$13&lt;=$L68,IF(ISERROR(MATCH(O$13,OFFSET($L68,1,0,ROW($L$164)-ROW($L68)-1),0)),ROW($L$164)-ROW($L68)-1,MATCH(O$13,OFFSET($L68,1,0,ROW($L$164)-ROW($L68)-1),0)-1),0))</f>
        <v>0</v>
      </c>
      <c r="P68" s="211">
        <f ca="1">IF($E69=-1,0,IF(P$13&lt;=$L68,IF(ISERROR(MATCH(P$13,OFFSET($L68,1,0,ROW($L$164)-ROW($L68)-1),0)),ROW($L$164)-ROW($L68)-1,MATCH(P$13,OFFSET($L68,1,0,ROW($L$164)-ROW($L68)-1),0)-1),0))</f>
        <v>0</v>
      </c>
      <c r="Q68" s="211">
        <f t="shared" ref="Q68" ca="1" si="131">MIN(OFFSET(L68,0,1,,L68))</f>
        <v>0</v>
      </c>
      <c r="R68" s="212" t="str">
        <f ca="1">IF($E69=0,OFFSET(ORÇAMENTO!X$15,$E68,0),IF($E69&lt;&gt;-1,OFFSET(QCI!$O$13,$E69,0),""))</f>
        <v/>
      </c>
      <c r="S68" s="213" t="s">
        <v>270</v>
      </c>
      <c r="T68" s="214" t="e">
        <f t="shared" ref="T68:AE68" ca="1" si="132">IF(AND($Q68=2,ACOMPANHAMENTO="BM"),T69,T70/$R68)</f>
        <v>#VALUE!</v>
      </c>
      <c r="U68" s="206" t="e">
        <f t="shared" ca="1" si="132"/>
        <v>#VALUE!</v>
      </c>
      <c r="V68" s="206" t="e">
        <f t="shared" ca="1" si="132"/>
        <v>#VALUE!</v>
      </c>
      <c r="W68" s="206" t="e">
        <f t="shared" ca="1" si="132"/>
        <v>#VALUE!</v>
      </c>
      <c r="X68" s="206" t="e">
        <f t="shared" ca="1" si="132"/>
        <v>#VALUE!</v>
      </c>
      <c r="Y68" s="206" t="e">
        <f t="shared" ca="1" si="132"/>
        <v>#VALUE!</v>
      </c>
      <c r="Z68" s="206" t="e">
        <f t="shared" ca="1" si="132"/>
        <v>#VALUE!</v>
      </c>
      <c r="AA68" s="206" t="e">
        <f t="shared" ca="1" si="132"/>
        <v>#VALUE!</v>
      </c>
      <c r="AB68" s="206" t="e">
        <f t="shared" ca="1" si="132"/>
        <v>#VALUE!</v>
      </c>
      <c r="AC68" s="206" t="e">
        <f t="shared" ca="1" si="132"/>
        <v>#VALUE!</v>
      </c>
      <c r="AD68" s="206" t="e">
        <f t="shared" ca="1" si="132"/>
        <v>#VALUE!</v>
      </c>
      <c r="AE68" s="215" t="e">
        <f t="shared" ca="1" si="132"/>
        <v>#VALUE!</v>
      </c>
    </row>
    <row r="69" spans="1:32" ht="12.75" hidden="1" customHeight="1" x14ac:dyDescent="0.25">
      <c r="D69" s="568"/>
      <c r="E69" s="203">
        <f ca="1">IF(ISERROR(E68),IF(1+COUNTIF($L$13:OFFSET(L68,-1,0),1)&lt;=MAX(QCI!$D$13:$D$24),1+COUNTIF($L$13:OFFSET(L68,-1,0),1),-1),0)</f>
        <v>-1</v>
      </c>
      <c r="F69" s="203" t="str">
        <f t="shared" ref="F69" ca="1" si="133">IF(AND($E69&lt;&gt;-1,$R68&gt;0),"F","")</f>
        <v/>
      </c>
      <c r="G69" s="216" t="str">
        <f ca="1">IF(OR(R68=0,R68=""),"vazia",IF(AND(OR(ACOMPANHAMENTO="PLE",$Q68&lt;&gt;2),$E69=0),"calculada","--&gt;"))</f>
        <v>vazia</v>
      </c>
      <c r="H69" s="217"/>
      <c r="I69" s="218" t="str">
        <f t="shared" ref="I69" ca="1" si="134">IF(AND(G68&lt;&gt;0,ISNUMBER(G68)),"PREENCHA ESTA LINHA --&gt;","")</f>
        <v/>
      </c>
      <c r="J69" s="218"/>
      <c r="K69" s="218"/>
      <c r="L69" s="219"/>
      <c r="M69" s="219"/>
      <c r="N69" s="219"/>
      <c r="O69" s="219"/>
      <c r="P69" s="219"/>
      <c r="Q69" s="219"/>
      <c r="R69" s="220"/>
      <c r="S69" s="221"/>
      <c r="T69" s="569"/>
      <c r="U69" s="568"/>
      <c r="V69" s="568"/>
      <c r="W69" s="568"/>
      <c r="X69" s="568"/>
      <c r="Y69" s="568"/>
      <c r="Z69" s="568"/>
      <c r="AA69" s="568"/>
      <c r="AB69" s="568"/>
      <c r="AC69" s="568"/>
      <c r="AD69" s="568"/>
      <c r="AE69" s="570"/>
      <c r="AF69" s="532"/>
    </row>
    <row r="70" spans="1:32" ht="0.15" hidden="1" customHeight="1" x14ac:dyDescent="0.25">
      <c r="D70" s="222">
        <f ca="1">IF($Q68=2,IF(AND(ACOMPANHAMENTO="PLE",ISNUMBER($E68)),SUMIF((OFFSET(CÁLCULO!$AM$15:$AW$15,$E68,0,OFFSET(ORÇAMENTO!$D$15,CRONO!$E68,0))),"="&amp;CRONO!D$12,OFFSET(CÁLCULO!$AB$15:$AL$15,$E68,0,OFFSET(ORÇAMENTO!$D$15,CRONO!$E68,0)))+IF(AND($E70&lt;&gt;"",$E70&lt;&gt;0),SUMIF(CÁLCULO!$AM$15:$AW$32,"="&amp;CRONO!D$12,CÁLCULO!$AB$15:$AL$32)/(ORÇAMENTO!$X$15-CÁLCULO.TotalAdmLocal)*CRONO!$E70,0),D69*$R68),SUMIF(OFFSET($R70,1,0,$Q68-2),($L68+1)&amp;"$",OFFSET(D70,1,0,$Q68-2)))</f>
        <v>0</v>
      </c>
      <c r="E70" s="203" t="str">
        <f ca="1">IF(OR($Q68&lt;&gt;2,AUTOEVENTO&lt;&gt;"manual",$E69&gt;0),"",SUMIF(OFFSET(CÁLCULO!$M$15,CRONO!$E68,0,OFFSET(ORÇAMENTO!$D$15,CRONO!$E68,0)),1,OFFSET(ORÇAMENTO!$X$15,CRONO!$E68,0,OFFSET(ORÇAMENTO!$D$15,CRONO!$E68,0))))</f>
        <v/>
      </c>
      <c r="G70" s="223"/>
      <c r="R70" s="224" t="str">
        <f t="shared" ref="R70" ca="1" si="135">L68&amp;"$"</f>
        <v>1$</v>
      </c>
      <c r="S70" s="225"/>
      <c r="T70" s="226">
        <f ca="1">IF($Q68=2,IF(AND(ACOMPANHAMENTO="PLE",ISNUMBER($E68)),SUMIF((OFFSET(CÁLCULO!$AM$15:$AW$15,$E68,0,OFFSET(ORÇAMENTO!$D$15,CRONO!$E68,0))),"&lt;="&amp;CRONO!T$12,OFFSET(CÁLCULO!$AB$15:$AL$15,$E68,0,OFFSET(ORÇAMENTO!$D$15,CRONO!$E68,0)))+IF(AND($E70&lt;&gt;"",$E70&lt;&gt;0),SUMIF(CÁLCULO!$AM$15:$AW$32,"&lt;="&amp;CRONO!T$12,CÁLCULO!$AB$15:$AL$32)/(ORÇAMENTO!$X$15-CÁLCULO.TotalAdmLocal)*CRONO!$E70,0),T69*$R68),SUMIF(OFFSET($R70,1,0,$Q68-2),($L68+1)&amp;"$",OFFSET(T70,1,0,$Q68-2)))</f>
        <v>0</v>
      </c>
      <c r="U70" s="222">
        <f ca="1">IF($Q68=2,IF(AND(ACOMPANHAMENTO="PLE",ISNUMBER($E68)),SUMIF((OFFSET(CÁLCULO!$AM$15:$AW$15,$E68,0,OFFSET(ORÇAMENTO!$D$15,CRONO!$E68,0))),"="&amp;CRONO!U$12,OFFSET(CÁLCULO!$AB$15:$AL$15,$E68,0,OFFSET(ORÇAMENTO!$D$15,CRONO!$E68,0)))+IF(AND($E70&lt;&gt;"",$E70&lt;&gt;0),SUMIF(CÁLCULO!$AM$15:$AW$32,"="&amp;CRONO!U$12,CÁLCULO!$AB$15:$AL$32)/(ORÇAMENTO!$X$15-CÁLCULO.TotalAdmLocal)*CRONO!$E70,0),U69*$R68),SUMIF(OFFSET($R70,1,0,$Q68-2),($L68+1)&amp;"$",OFFSET(U70,1,0,$Q68-2)))</f>
        <v>0</v>
      </c>
      <c r="V70" s="222">
        <f ca="1">IF($Q68=2,IF(AND(ACOMPANHAMENTO="PLE",ISNUMBER($E68)),SUMIF((OFFSET(CÁLCULO!$AM$15:$AW$15,$E68,0,OFFSET(ORÇAMENTO!$D$15,CRONO!$E68,0))),"="&amp;CRONO!V$12,OFFSET(CÁLCULO!$AB$15:$AL$15,$E68,0,OFFSET(ORÇAMENTO!$D$15,CRONO!$E68,0)))+IF(AND($E70&lt;&gt;"",$E70&lt;&gt;0),SUMIF(CÁLCULO!$AM$15:$AW$32,"="&amp;CRONO!V$12,CÁLCULO!$AB$15:$AL$32)/(ORÇAMENTO!$X$15-CÁLCULO.TotalAdmLocal)*CRONO!$E70,0),V69*$R68),SUMIF(OFFSET($R70,1,0,$Q68-2),($L68+1)&amp;"$",OFFSET(V70,1,0,$Q68-2)))</f>
        <v>0</v>
      </c>
      <c r="W70" s="222">
        <f ca="1">IF($Q68=2,IF(AND(ACOMPANHAMENTO="PLE",ISNUMBER($E68)),SUMIF((OFFSET(CÁLCULO!$AM$15:$AW$15,$E68,0,OFFSET(ORÇAMENTO!$D$15,CRONO!$E68,0))),"="&amp;CRONO!W$12,OFFSET(CÁLCULO!$AB$15:$AL$15,$E68,0,OFFSET(ORÇAMENTO!$D$15,CRONO!$E68,0)))+IF(AND($E70&lt;&gt;"",$E70&lt;&gt;0),SUMIF(CÁLCULO!$AM$15:$AW$32,"="&amp;CRONO!W$12,CÁLCULO!$AB$15:$AL$32)/(ORÇAMENTO!$X$15-CÁLCULO.TotalAdmLocal)*CRONO!$E70,0),W69*$R68),SUMIF(OFFSET($R70,1,0,$Q68-2),($L68+1)&amp;"$",OFFSET(W70,1,0,$Q68-2)))</f>
        <v>0</v>
      </c>
      <c r="X70" s="222">
        <f ca="1">IF($Q68=2,IF(AND(ACOMPANHAMENTO="PLE",ISNUMBER($E68)),SUMIF((OFFSET(CÁLCULO!$AM$15:$AW$15,$E68,0,OFFSET(ORÇAMENTO!$D$15,CRONO!$E68,0))),"="&amp;CRONO!X$12,OFFSET(CÁLCULO!$AB$15:$AL$15,$E68,0,OFFSET(ORÇAMENTO!$D$15,CRONO!$E68,0)))+IF(AND($E70&lt;&gt;"",$E70&lt;&gt;0),SUMIF(CÁLCULO!$AM$15:$AW$32,"="&amp;CRONO!X$12,CÁLCULO!$AB$15:$AL$32)/(ORÇAMENTO!$X$15-CÁLCULO.TotalAdmLocal)*CRONO!$E70,0),X69*$R68),SUMIF(OFFSET($R70,1,0,$Q68-2),($L68+1)&amp;"$",OFFSET(X70,1,0,$Q68-2)))</f>
        <v>0</v>
      </c>
      <c r="Y70" s="222">
        <f ca="1">IF($Q68=2,IF(AND(ACOMPANHAMENTO="PLE",ISNUMBER($E68)),SUMIF((OFFSET(CÁLCULO!$AM$15:$AW$15,$E68,0,OFFSET(ORÇAMENTO!$D$15,CRONO!$E68,0))),"="&amp;CRONO!Y$12,OFFSET(CÁLCULO!$AB$15:$AL$15,$E68,0,OFFSET(ORÇAMENTO!$D$15,CRONO!$E68,0)))+IF(AND($E70&lt;&gt;"",$E70&lt;&gt;0),SUMIF(CÁLCULO!$AM$15:$AW$32,"="&amp;CRONO!Y$12,CÁLCULO!$AB$15:$AL$32)/(ORÇAMENTO!$X$15-CÁLCULO.TotalAdmLocal)*CRONO!$E70,0),Y69*$R68),SUMIF(OFFSET($R70,1,0,$Q68-2),($L68+1)&amp;"$",OFFSET(Y70,1,0,$Q68-2)))</f>
        <v>0</v>
      </c>
      <c r="Z70" s="222">
        <f ca="1">IF($Q68=2,IF(AND(ACOMPANHAMENTO="PLE",ISNUMBER($E68)),SUMIF((OFFSET(CÁLCULO!$AM$15:$AW$15,$E68,0,OFFSET(ORÇAMENTO!$D$15,CRONO!$E68,0))),"="&amp;CRONO!Z$12,OFFSET(CÁLCULO!$AB$15:$AL$15,$E68,0,OFFSET(ORÇAMENTO!$D$15,CRONO!$E68,0)))+IF(AND($E70&lt;&gt;"",$E70&lt;&gt;0),SUMIF(CÁLCULO!$AM$15:$AW$32,"="&amp;CRONO!Z$12,CÁLCULO!$AB$15:$AL$32)/(ORÇAMENTO!$X$15-CÁLCULO.TotalAdmLocal)*CRONO!$E70,0),Z69*$R68),SUMIF(OFFSET($R70,1,0,$Q68-2),($L68+1)&amp;"$",OFFSET(Z70,1,0,$Q68-2)))</f>
        <v>0</v>
      </c>
      <c r="AA70" s="222">
        <f ca="1">IF($Q68=2,IF(AND(ACOMPANHAMENTO="PLE",ISNUMBER($E68)),SUMIF((OFFSET(CÁLCULO!$AM$15:$AW$15,$E68,0,OFFSET(ORÇAMENTO!$D$15,CRONO!$E68,0))),"="&amp;CRONO!AA$12,OFFSET(CÁLCULO!$AB$15:$AL$15,$E68,0,OFFSET(ORÇAMENTO!$D$15,CRONO!$E68,0)))+IF(AND($E70&lt;&gt;"",$E70&lt;&gt;0),SUMIF(CÁLCULO!$AM$15:$AW$32,"="&amp;CRONO!AA$12,CÁLCULO!$AB$15:$AL$32)/(ORÇAMENTO!$X$15-CÁLCULO.TotalAdmLocal)*CRONO!$E70,0),AA69*$R68),SUMIF(OFFSET($R70,1,0,$Q68-2),($L68+1)&amp;"$",OFFSET(AA70,1,0,$Q68-2)))</f>
        <v>0</v>
      </c>
      <c r="AB70" s="222">
        <f ca="1">IF($Q68=2,IF(AND(ACOMPANHAMENTO="PLE",ISNUMBER($E68)),SUMIF((OFFSET(CÁLCULO!$AM$15:$AW$15,$E68,0,OFFSET(ORÇAMENTO!$D$15,CRONO!$E68,0))),"="&amp;CRONO!AB$12,OFFSET(CÁLCULO!$AB$15:$AL$15,$E68,0,OFFSET(ORÇAMENTO!$D$15,CRONO!$E68,0)))+IF(AND($E70&lt;&gt;"",$E70&lt;&gt;0),SUMIF(CÁLCULO!$AM$15:$AW$32,"="&amp;CRONO!AB$12,CÁLCULO!$AB$15:$AL$32)/(ORÇAMENTO!$X$15-CÁLCULO.TotalAdmLocal)*CRONO!$E70,0),AB69*$R68),SUMIF(OFFSET($R70,1,0,$Q68-2),($L68+1)&amp;"$",OFFSET(AB70,1,0,$Q68-2)))</f>
        <v>0</v>
      </c>
      <c r="AC70" s="222">
        <f ca="1">IF($Q68=2,IF(AND(ACOMPANHAMENTO="PLE",ISNUMBER($E68)),SUMIF((OFFSET(CÁLCULO!$AM$15:$AW$15,$E68,0,OFFSET(ORÇAMENTO!$D$15,CRONO!$E68,0))),"="&amp;CRONO!AC$12,OFFSET(CÁLCULO!$AB$15:$AL$15,$E68,0,OFFSET(ORÇAMENTO!$D$15,CRONO!$E68,0)))+IF(AND($E70&lt;&gt;"",$E70&lt;&gt;0),SUMIF(CÁLCULO!$AM$15:$AW$32,"="&amp;CRONO!AC$12,CÁLCULO!$AB$15:$AL$32)/(ORÇAMENTO!$X$15-CÁLCULO.TotalAdmLocal)*CRONO!$E70,0),AC69*$R68),SUMIF(OFFSET($R70,1,0,$Q68-2),($L68+1)&amp;"$",OFFSET(AC70,1,0,$Q68-2)))</f>
        <v>0</v>
      </c>
      <c r="AD70" s="222">
        <f ca="1">IF($Q68=2,IF(AND(ACOMPANHAMENTO="PLE",ISNUMBER($E68)),SUMIF((OFFSET(CÁLCULO!$AM$15:$AW$15,$E68,0,OFFSET(ORÇAMENTO!$D$15,CRONO!$E68,0))),"="&amp;CRONO!AD$12,OFFSET(CÁLCULO!$AB$15:$AL$15,$E68,0,OFFSET(ORÇAMENTO!$D$15,CRONO!$E68,0)))+IF(AND($E70&lt;&gt;"",$E70&lt;&gt;0),SUMIF(CÁLCULO!$AM$15:$AW$32,"="&amp;CRONO!AD$12,CÁLCULO!$AB$15:$AL$32)/(ORÇAMENTO!$X$15-CÁLCULO.TotalAdmLocal)*CRONO!$E70,0),AD69*$R68),SUMIF(OFFSET($R70,1,0,$Q68-2),($L68+1)&amp;"$",OFFSET(AD70,1,0,$Q68-2)))</f>
        <v>0</v>
      </c>
      <c r="AE70" s="227">
        <f ca="1">IF($Q68=2,IF(AND(ACOMPANHAMENTO="PLE",ISNUMBER($E68)),SUMIF((OFFSET(CÁLCULO!$AM$15:$AW$15,$E68,0,OFFSET(ORÇAMENTO!$D$15,CRONO!$E68,0))),"="&amp;CRONO!AE$12,OFFSET(CÁLCULO!$AB$15:$AL$15,$E68,0,OFFSET(ORÇAMENTO!$D$15,CRONO!$E68,0)))+IF(AND($E70&lt;&gt;"",$E70&lt;&gt;0),SUMIF(CÁLCULO!$AM$15:$AW$32,"="&amp;CRONO!AE$12,CÁLCULO!$AB$15:$AL$32)/(ORÇAMENTO!$X$15-CÁLCULO.TotalAdmLocal)*CRONO!$E70,0),AE69*$R68),SUMIF(OFFSET($R70,1,0,$Q68-2),($L68+1)&amp;"$",OFFSET(AE70,1,0,$Q68-2)))</f>
        <v>0</v>
      </c>
    </row>
    <row r="71" spans="1:32" hidden="1" x14ac:dyDescent="0.25">
      <c r="A71" s="203">
        <f t="shared" ref="A71" ca="1" si="136">OFFSET(A71,-3,0)+1</f>
        <v>20</v>
      </c>
      <c r="B71" s="203">
        <f ca="1">IF($Q71&lt;&gt;2,0,IF($R71=0,1,IF(E72&gt;0,OFFSET(QCI!$M$13,SUBSTITUTE(E72,".",""),0),OFFSET(ORÇAMENTO!$AA$15,CRONO!$E71,0))/$R71))</f>
        <v>0</v>
      </c>
      <c r="C71" s="203">
        <f ca="1">IF($Q71&lt;&gt;2,0,IF($R71=0,1,IF(E72&gt;0,OFFSET(QCI!$N$13,SUBSTITUTE(E72,".",""),0),OFFSET(ORÇAMENTO!$AB$15,CRONO!$E71,0))/$R71))</f>
        <v>0</v>
      </c>
      <c r="D71" s="206" t="e">
        <f ca="1">IF(AND($Q71=2,ACOMPANHAMENTO="BM"),D72,D73/$R71)</f>
        <v>#VALUE!</v>
      </c>
      <c r="E71" s="203" t="e">
        <f ca="1">IF(A71&lt;=ORÇAMENTO.MáximoListaCrono,MATCH(A71,ORÇAMENTO.ListaCrono,0),NA())</f>
        <v>#N/A</v>
      </c>
      <c r="F71" s="203" t="str">
        <f t="shared" ref="F71" ca="1" si="137">IF(AND($E72&lt;&gt;-1,$R71&gt;0),"F","")</f>
        <v/>
      </c>
      <c r="G71" s="207" t="str">
        <f ca="1">IF(OR(R71=0,R71=""),"Linha",IF(AND(OR(ACOMPANHAMENTO="PLE",$Q71&lt;&gt;2),$E72=0),"Linha",1-SUM(T71:AF71)))</f>
        <v>Linha</v>
      </c>
      <c r="H71" s="208" t="str">
        <f ca="1">IF($E72=0,OFFSET(ORÇAMENTO!O$15,$E71,0),IF($E72&lt;&gt;-1,OFFSET(QCI!$D$13,$E72,0),""))</f>
        <v/>
      </c>
      <c r="I71" s="209" t="str">
        <f ca="1">IF($E72=0,OFFSET(ORÇAMENTO!R$15,$E71,0),IF($E72&lt;&gt;-1,OFFSET(QCI!$G$13,$E72,0),""))</f>
        <v/>
      </c>
      <c r="J71" s="209"/>
      <c r="K71" s="209"/>
      <c r="L71" s="210">
        <f ca="1">IF($E72=0,OFFSET(ORÇAMENTO!C$15,$E71,0),1)</f>
        <v>1</v>
      </c>
      <c r="M71" s="211">
        <f ca="1">IF($E72=-1,0,IF(M$13&lt;=$L71,IF(ISERROR(MATCH(M$13,OFFSET($L71,1,0,ROW($L$164)-ROW($L71)-1),0)),ROW($L$164)-ROW($L71)-1,MATCH(M$13,OFFSET($L71,1,0,ROW($L$164)-ROW($L71)-1),0)-1),0))</f>
        <v>0</v>
      </c>
      <c r="N71" s="211">
        <f ca="1">IF($E72=-1,0,IF(N$13&lt;=$L71,IF(ISERROR(MATCH(N$13,OFFSET($L71,1,0,ROW($L$164)-ROW($L71)-1),0)),ROW($L$164)-ROW($L71)-1,MATCH(N$13,OFFSET($L71,1,0,ROW($L$164)-ROW($L71)-1),0)-1),0))</f>
        <v>0</v>
      </c>
      <c r="O71" s="211">
        <f ca="1">IF($E72=-1,0,IF(O$13&lt;=$L71,IF(ISERROR(MATCH(O$13,OFFSET($L71,1,0,ROW($L$164)-ROW($L71)-1),0)),ROW($L$164)-ROW($L71)-1,MATCH(O$13,OFFSET($L71,1,0,ROW($L$164)-ROW($L71)-1),0)-1),0))</f>
        <v>0</v>
      </c>
      <c r="P71" s="211">
        <f ca="1">IF($E72=-1,0,IF(P$13&lt;=$L71,IF(ISERROR(MATCH(P$13,OFFSET($L71,1,0,ROW($L$164)-ROW($L71)-1),0)),ROW($L$164)-ROW($L71)-1,MATCH(P$13,OFFSET($L71,1,0,ROW($L$164)-ROW($L71)-1),0)-1),0))</f>
        <v>0</v>
      </c>
      <c r="Q71" s="211">
        <f t="shared" ref="Q71" ca="1" si="138">MIN(OFFSET(L71,0,1,,L71))</f>
        <v>0</v>
      </c>
      <c r="R71" s="212" t="str">
        <f ca="1">IF($E72=0,OFFSET(ORÇAMENTO!X$15,$E71,0),IF($E72&lt;&gt;-1,OFFSET(QCI!$O$13,$E72,0),""))</f>
        <v/>
      </c>
      <c r="S71" s="213" t="s">
        <v>270</v>
      </c>
      <c r="T71" s="214" t="e">
        <f t="shared" ref="T71:AE71" ca="1" si="139">IF(AND($Q71=2,ACOMPANHAMENTO="BM"),T72,T73/$R71)</f>
        <v>#VALUE!</v>
      </c>
      <c r="U71" s="206" t="e">
        <f t="shared" ca="1" si="139"/>
        <v>#VALUE!</v>
      </c>
      <c r="V71" s="206" t="e">
        <f t="shared" ca="1" si="139"/>
        <v>#VALUE!</v>
      </c>
      <c r="W71" s="206" t="e">
        <f t="shared" ca="1" si="139"/>
        <v>#VALUE!</v>
      </c>
      <c r="X71" s="206" t="e">
        <f t="shared" ca="1" si="139"/>
        <v>#VALUE!</v>
      </c>
      <c r="Y71" s="206" t="e">
        <f t="shared" ca="1" si="139"/>
        <v>#VALUE!</v>
      </c>
      <c r="Z71" s="206" t="e">
        <f t="shared" ca="1" si="139"/>
        <v>#VALUE!</v>
      </c>
      <c r="AA71" s="206" t="e">
        <f t="shared" ca="1" si="139"/>
        <v>#VALUE!</v>
      </c>
      <c r="AB71" s="206" t="e">
        <f t="shared" ca="1" si="139"/>
        <v>#VALUE!</v>
      </c>
      <c r="AC71" s="206" t="e">
        <f t="shared" ca="1" si="139"/>
        <v>#VALUE!</v>
      </c>
      <c r="AD71" s="206" t="e">
        <f t="shared" ca="1" si="139"/>
        <v>#VALUE!</v>
      </c>
      <c r="AE71" s="215" t="e">
        <f t="shared" ca="1" si="139"/>
        <v>#VALUE!</v>
      </c>
    </row>
    <row r="72" spans="1:32" ht="12.75" hidden="1" customHeight="1" x14ac:dyDescent="0.25">
      <c r="D72" s="568"/>
      <c r="E72" s="203">
        <f ca="1">IF(ISERROR(E71),IF(1+COUNTIF($L$13:OFFSET(L71,-1,0),1)&lt;=MAX(QCI!$D$13:$D$24),1+COUNTIF($L$13:OFFSET(L71,-1,0),1),-1),0)</f>
        <v>-1</v>
      </c>
      <c r="F72" s="203" t="str">
        <f t="shared" ref="F72" ca="1" si="140">IF(AND($E72&lt;&gt;-1,$R71&gt;0),"F","")</f>
        <v/>
      </c>
      <c r="G72" s="216" t="str">
        <f ca="1">IF(OR(R71=0,R71=""),"vazia",IF(AND(OR(ACOMPANHAMENTO="PLE",$Q71&lt;&gt;2),$E72=0),"calculada","--&gt;"))</f>
        <v>vazia</v>
      </c>
      <c r="H72" s="217"/>
      <c r="I72" s="218" t="str">
        <f t="shared" ref="I72" ca="1" si="141">IF(AND(G71&lt;&gt;0,ISNUMBER(G71)),"PREENCHA ESTA LINHA --&gt;","")</f>
        <v/>
      </c>
      <c r="J72" s="218"/>
      <c r="K72" s="218"/>
      <c r="L72" s="219"/>
      <c r="M72" s="219"/>
      <c r="N72" s="219"/>
      <c r="O72" s="219"/>
      <c r="P72" s="219"/>
      <c r="Q72" s="219"/>
      <c r="R72" s="220"/>
      <c r="S72" s="221"/>
      <c r="T72" s="569"/>
      <c r="U72" s="568"/>
      <c r="V72" s="568"/>
      <c r="W72" s="568"/>
      <c r="X72" s="568"/>
      <c r="Y72" s="568"/>
      <c r="Z72" s="568"/>
      <c r="AA72" s="568"/>
      <c r="AB72" s="568"/>
      <c r="AC72" s="568"/>
      <c r="AD72" s="568"/>
      <c r="AE72" s="570"/>
      <c r="AF72" s="532"/>
    </row>
    <row r="73" spans="1:32" ht="0.15" hidden="1" customHeight="1" x14ac:dyDescent="0.25">
      <c r="D73" s="222">
        <f ca="1">IF($Q71=2,IF(AND(ACOMPANHAMENTO="PLE",ISNUMBER($E71)),SUMIF((OFFSET(CÁLCULO!$AM$15:$AW$15,$E71,0,OFFSET(ORÇAMENTO!$D$15,CRONO!$E71,0))),"="&amp;CRONO!D$12,OFFSET(CÁLCULO!$AB$15:$AL$15,$E71,0,OFFSET(ORÇAMENTO!$D$15,CRONO!$E71,0)))+IF(AND($E73&lt;&gt;"",$E73&lt;&gt;0),SUMIF(CÁLCULO!$AM$15:$AW$32,"="&amp;CRONO!D$12,CÁLCULO!$AB$15:$AL$32)/(ORÇAMENTO!$X$15-CÁLCULO.TotalAdmLocal)*CRONO!$E73,0),D72*$R71),SUMIF(OFFSET($R73,1,0,$Q71-2),($L71+1)&amp;"$",OFFSET(D73,1,0,$Q71-2)))</f>
        <v>0</v>
      </c>
      <c r="E73" s="203" t="str">
        <f ca="1">IF(OR($Q71&lt;&gt;2,AUTOEVENTO&lt;&gt;"manual",$E72&gt;0),"",SUMIF(OFFSET(CÁLCULO!$M$15,CRONO!$E71,0,OFFSET(ORÇAMENTO!$D$15,CRONO!$E71,0)),1,OFFSET(ORÇAMENTO!$X$15,CRONO!$E71,0,OFFSET(ORÇAMENTO!$D$15,CRONO!$E71,0))))</f>
        <v/>
      </c>
      <c r="G73" s="223"/>
      <c r="R73" s="224" t="str">
        <f t="shared" ref="R73" ca="1" si="142">L71&amp;"$"</f>
        <v>1$</v>
      </c>
      <c r="S73" s="225"/>
      <c r="T73" s="226">
        <f ca="1">IF($Q71=2,IF(AND(ACOMPANHAMENTO="PLE",ISNUMBER($E71)),SUMIF((OFFSET(CÁLCULO!$AM$15:$AW$15,$E71,0,OFFSET(ORÇAMENTO!$D$15,CRONO!$E71,0))),"&lt;="&amp;CRONO!T$12,OFFSET(CÁLCULO!$AB$15:$AL$15,$E71,0,OFFSET(ORÇAMENTO!$D$15,CRONO!$E71,0)))+IF(AND($E73&lt;&gt;"",$E73&lt;&gt;0),SUMIF(CÁLCULO!$AM$15:$AW$32,"&lt;="&amp;CRONO!T$12,CÁLCULO!$AB$15:$AL$32)/(ORÇAMENTO!$X$15-CÁLCULO.TotalAdmLocal)*CRONO!$E73,0),T72*$R71),SUMIF(OFFSET($R73,1,0,$Q71-2),($L71+1)&amp;"$",OFFSET(T73,1,0,$Q71-2)))</f>
        <v>0</v>
      </c>
      <c r="U73" s="222">
        <f ca="1">IF($Q71=2,IF(AND(ACOMPANHAMENTO="PLE",ISNUMBER($E71)),SUMIF((OFFSET(CÁLCULO!$AM$15:$AW$15,$E71,0,OFFSET(ORÇAMENTO!$D$15,CRONO!$E71,0))),"="&amp;CRONO!U$12,OFFSET(CÁLCULO!$AB$15:$AL$15,$E71,0,OFFSET(ORÇAMENTO!$D$15,CRONO!$E71,0)))+IF(AND($E73&lt;&gt;"",$E73&lt;&gt;0),SUMIF(CÁLCULO!$AM$15:$AW$32,"="&amp;CRONO!U$12,CÁLCULO!$AB$15:$AL$32)/(ORÇAMENTO!$X$15-CÁLCULO.TotalAdmLocal)*CRONO!$E73,0),U72*$R71),SUMIF(OFFSET($R73,1,0,$Q71-2),($L71+1)&amp;"$",OFFSET(U73,1,0,$Q71-2)))</f>
        <v>0</v>
      </c>
      <c r="V73" s="222">
        <f ca="1">IF($Q71=2,IF(AND(ACOMPANHAMENTO="PLE",ISNUMBER($E71)),SUMIF((OFFSET(CÁLCULO!$AM$15:$AW$15,$E71,0,OFFSET(ORÇAMENTO!$D$15,CRONO!$E71,0))),"="&amp;CRONO!V$12,OFFSET(CÁLCULO!$AB$15:$AL$15,$E71,0,OFFSET(ORÇAMENTO!$D$15,CRONO!$E71,0)))+IF(AND($E73&lt;&gt;"",$E73&lt;&gt;0),SUMIF(CÁLCULO!$AM$15:$AW$32,"="&amp;CRONO!V$12,CÁLCULO!$AB$15:$AL$32)/(ORÇAMENTO!$X$15-CÁLCULO.TotalAdmLocal)*CRONO!$E73,0),V72*$R71),SUMIF(OFFSET($R73,1,0,$Q71-2),($L71+1)&amp;"$",OFFSET(V73,1,0,$Q71-2)))</f>
        <v>0</v>
      </c>
      <c r="W73" s="222">
        <f ca="1">IF($Q71=2,IF(AND(ACOMPANHAMENTO="PLE",ISNUMBER($E71)),SUMIF((OFFSET(CÁLCULO!$AM$15:$AW$15,$E71,0,OFFSET(ORÇAMENTO!$D$15,CRONO!$E71,0))),"="&amp;CRONO!W$12,OFFSET(CÁLCULO!$AB$15:$AL$15,$E71,0,OFFSET(ORÇAMENTO!$D$15,CRONO!$E71,0)))+IF(AND($E73&lt;&gt;"",$E73&lt;&gt;0),SUMIF(CÁLCULO!$AM$15:$AW$32,"="&amp;CRONO!W$12,CÁLCULO!$AB$15:$AL$32)/(ORÇAMENTO!$X$15-CÁLCULO.TotalAdmLocal)*CRONO!$E73,0),W72*$R71),SUMIF(OFFSET($R73,1,0,$Q71-2),($L71+1)&amp;"$",OFFSET(W73,1,0,$Q71-2)))</f>
        <v>0</v>
      </c>
      <c r="X73" s="222">
        <f ca="1">IF($Q71=2,IF(AND(ACOMPANHAMENTO="PLE",ISNUMBER($E71)),SUMIF((OFFSET(CÁLCULO!$AM$15:$AW$15,$E71,0,OFFSET(ORÇAMENTO!$D$15,CRONO!$E71,0))),"="&amp;CRONO!X$12,OFFSET(CÁLCULO!$AB$15:$AL$15,$E71,0,OFFSET(ORÇAMENTO!$D$15,CRONO!$E71,0)))+IF(AND($E73&lt;&gt;"",$E73&lt;&gt;0),SUMIF(CÁLCULO!$AM$15:$AW$32,"="&amp;CRONO!X$12,CÁLCULO!$AB$15:$AL$32)/(ORÇAMENTO!$X$15-CÁLCULO.TotalAdmLocal)*CRONO!$E73,0),X72*$R71),SUMIF(OFFSET($R73,1,0,$Q71-2),($L71+1)&amp;"$",OFFSET(X73,1,0,$Q71-2)))</f>
        <v>0</v>
      </c>
      <c r="Y73" s="222">
        <f ca="1">IF($Q71=2,IF(AND(ACOMPANHAMENTO="PLE",ISNUMBER($E71)),SUMIF((OFFSET(CÁLCULO!$AM$15:$AW$15,$E71,0,OFFSET(ORÇAMENTO!$D$15,CRONO!$E71,0))),"="&amp;CRONO!Y$12,OFFSET(CÁLCULO!$AB$15:$AL$15,$E71,0,OFFSET(ORÇAMENTO!$D$15,CRONO!$E71,0)))+IF(AND($E73&lt;&gt;"",$E73&lt;&gt;0),SUMIF(CÁLCULO!$AM$15:$AW$32,"="&amp;CRONO!Y$12,CÁLCULO!$AB$15:$AL$32)/(ORÇAMENTO!$X$15-CÁLCULO.TotalAdmLocal)*CRONO!$E73,0),Y72*$R71),SUMIF(OFFSET($R73,1,0,$Q71-2),($L71+1)&amp;"$",OFFSET(Y73,1,0,$Q71-2)))</f>
        <v>0</v>
      </c>
      <c r="Z73" s="222">
        <f ca="1">IF($Q71=2,IF(AND(ACOMPANHAMENTO="PLE",ISNUMBER($E71)),SUMIF((OFFSET(CÁLCULO!$AM$15:$AW$15,$E71,0,OFFSET(ORÇAMENTO!$D$15,CRONO!$E71,0))),"="&amp;CRONO!Z$12,OFFSET(CÁLCULO!$AB$15:$AL$15,$E71,0,OFFSET(ORÇAMENTO!$D$15,CRONO!$E71,0)))+IF(AND($E73&lt;&gt;"",$E73&lt;&gt;0),SUMIF(CÁLCULO!$AM$15:$AW$32,"="&amp;CRONO!Z$12,CÁLCULO!$AB$15:$AL$32)/(ORÇAMENTO!$X$15-CÁLCULO.TotalAdmLocal)*CRONO!$E73,0),Z72*$R71),SUMIF(OFFSET($R73,1,0,$Q71-2),($L71+1)&amp;"$",OFFSET(Z73,1,0,$Q71-2)))</f>
        <v>0</v>
      </c>
      <c r="AA73" s="222">
        <f ca="1">IF($Q71=2,IF(AND(ACOMPANHAMENTO="PLE",ISNUMBER($E71)),SUMIF((OFFSET(CÁLCULO!$AM$15:$AW$15,$E71,0,OFFSET(ORÇAMENTO!$D$15,CRONO!$E71,0))),"="&amp;CRONO!AA$12,OFFSET(CÁLCULO!$AB$15:$AL$15,$E71,0,OFFSET(ORÇAMENTO!$D$15,CRONO!$E71,0)))+IF(AND($E73&lt;&gt;"",$E73&lt;&gt;0),SUMIF(CÁLCULO!$AM$15:$AW$32,"="&amp;CRONO!AA$12,CÁLCULO!$AB$15:$AL$32)/(ORÇAMENTO!$X$15-CÁLCULO.TotalAdmLocal)*CRONO!$E73,0),AA72*$R71),SUMIF(OFFSET($R73,1,0,$Q71-2),($L71+1)&amp;"$",OFFSET(AA73,1,0,$Q71-2)))</f>
        <v>0</v>
      </c>
      <c r="AB73" s="222">
        <f ca="1">IF($Q71=2,IF(AND(ACOMPANHAMENTO="PLE",ISNUMBER($E71)),SUMIF((OFFSET(CÁLCULO!$AM$15:$AW$15,$E71,0,OFFSET(ORÇAMENTO!$D$15,CRONO!$E71,0))),"="&amp;CRONO!AB$12,OFFSET(CÁLCULO!$AB$15:$AL$15,$E71,0,OFFSET(ORÇAMENTO!$D$15,CRONO!$E71,0)))+IF(AND($E73&lt;&gt;"",$E73&lt;&gt;0),SUMIF(CÁLCULO!$AM$15:$AW$32,"="&amp;CRONO!AB$12,CÁLCULO!$AB$15:$AL$32)/(ORÇAMENTO!$X$15-CÁLCULO.TotalAdmLocal)*CRONO!$E73,0),AB72*$R71),SUMIF(OFFSET($R73,1,0,$Q71-2),($L71+1)&amp;"$",OFFSET(AB73,1,0,$Q71-2)))</f>
        <v>0</v>
      </c>
      <c r="AC73" s="222">
        <f ca="1">IF($Q71=2,IF(AND(ACOMPANHAMENTO="PLE",ISNUMBER($E71)),SUMIF((OFFSET(CÁLCULO!$AM$15:$AW$15,$E71,0,OFFSET(ORÇAMENTO!$D$15,CRONO!$E71,0))),"="&amp;CRONO!AC$12,OFFSET(CÁLCULO!$AB$15:$AL$15,$E71,0,OFFSET(ORÇAMENTO!$D$15,CRONO!$E71,0)))+IF(AND($E73&lt;&gt;"",$E73&lt;&gt;0),SUMIF(CÁLCULO!$AM$15:$AW$32,"="&amp;CRONO!AC$12,CÁLCULO!$AB$15:$AL$32)/(ORÇAMENTO!$X$15-CÁLCULO.TotalAdmLocal)*CRONO!$E73,0),AC72*$R71),SUMIF(OFFSET($R73,1,0,$Q71-2),($L71+1)&amp;"$",OFFSET(AC73,1,0,$Q71-2)))</f>
        <v>0</v>
      </c>
      <c r="AD73" s="222">
        <f ca="1">IF($Q71=2,IF(AND(ACOMPANHAMENTO="PLE",ISNUMBER($E71)),SUMIF((OFFSET(CÁLCULO!$AM$15:$AW$15,$E71,0,OFFSET(ORÇAMENTO!$D$15,CRONO!$E71,0))),"="&amp;CRONO!AD$12,OFFSET(CÁLCULO!$AB$15:$AL$15,$E71,0,OFFSET(ORÇAMENTO!$D$15,CRONO!$E71,0)))+IF(AND($E73&lt;&gt;"",$E73&lt;&gt;0),SUMIF(CÁLCULO!$AM$15:$AW$32,"="&amp;CRONO!AD$12,CÁLCULO!$AB$15:$AL$32)/(ORÇAMENTO!$X$15-CÁLCULO.TotalAdmLocal)*CRONO!$E73,0),AD72*$R71),SUMIF(OFFSET($R73,1,0,$Q71-2),($L71+1)&amp;"$",OFFSET(AD73,1,0,$Q71-2)))</f>
        <v>0</v>
      </c>
      <c r="AE73" s="227">
        <f ca="1">IF($Q71=2,IF(AND(ACOMPANHAMENTO="PLE",ISNUMBER($E71)),SUMIF((OFFSET(CÁLCULO!$AM$15:$AW$15,$E71,0,OFFSET(ORÇAMENTO!$D$15,CRONO!$E71,0))),"="&amp;CRONO!AE$12,OFFSET(CÁLCULO!$AB$15:$AL$15,$E71,0,OFFSET(ORÇAMENTO!$D$15,CRONO!$E71,0)))+IF(AND($E73&lt;&gt;"",$E73&lt;&gt;0),SUMIF(CÁLCULO!$AM$15:$AW$32,"="&amp;CRONO!AE$12,CÁLCULO!$AB$15:$AL$32)/(ORÇAMENTO!$X$15-CÁLCULO.TotalAdmLocal)*CRONO!$E73,0),AE72*$R71),SUMIF(OFFSET($R73,1,0,$Q71-2),($L71+1)&amp;"$",OFFSET(AE73,1,0,$Q71-2)))</f>
        <v>0</v>
      </c>
    </row>
    <row r="74" spans="1:32" hidden="1" x14ac:dyDescent="0.25">
      <c r="A74" s="203">
        <f t="shared" ref="A74" ca="1" si="143">OFFSET(A74,-3,0)+1</f>
        <v>21</v>
      </c>
      <c r="B74" s="203">
        <f ca="1">IF($Q74&lt;&gt;2,0,IF($R74=0,1,IF(E75&gt;0,OFFSET(QCI!$M$13,SUBSTITUTE(E75,".",""),0),OFFSET(ORÇAMENTO!$AA$15,CRONO!$E74,0))/$R74))</f>
        <v>0</v>
      </c>
      <c r="C74" s="203">
        <f ca="1">IF($Q74&lt;&gt;2,0,IF($R74=0,1,IF(E75&gt;0,OFFSET(QCI!$N$13,SUBSTITUTE(E75,".",""),0),OFFSET(ORÇAMENTO!$AB$15,CRONO!$E74,0))/$R74))</f>
        <v>0</v>
      </c>
      <c r="D74" s="206" t="e">
        <f ca="1">IF(AND($Q74=2,ACOMPANHAMENTO="BM"),D75,D76/$R74)</f>
        <v>#VALUE!</v>
      </c>
      <c r="E74" s="203" t="e">
        <f ca="1">IF(A74&lt;=ORÇAMENTO.MáximoListaCrono,MATCH(A74,ORÇAMENTO.ListaCrono,0),NA())</f>
        <v>#N/A</v>
      </c>
      <c r="F74" s="203" t="str">
        <f t="shared" ref="F74" ca="1" si="144">IF(AND($E75&lt;&gt;-1,$R74&gt;0),"F","")</f>
        <v/>
      </c>
      <c r="G74" s="207" t="str">
        <f ca="1">IF(OR(R74=0,R74=""),"Linha",IF(AND(OR(ACOMPANHAMENTO="PLE",$Q74&lt;&gt;2),$E75=0),"Linha",1-SUM(T74:AF74)))</f>
        <v>Linha</v>
      </c>
      <c r="H74" s="208" t="str">
        <f ca="1">IF($E75=0,OFFSET(ORÇAMENTO!O$15,$E74,0),IF($E75&lt;&gt;-1,OFFSET(QCI!$D$13,$E75,0),""))</f>
        <v/>
      </c>
      <c r="I74" s="209" t="str">
        <f ca="1">IF($E75=0,OFFSET(ORÇAMENTO!R$15,$E74,0),IF($E75&lt;&gt;-1,OFFSET(QCI!$G$13,$E75,0),""))</f>
        <v/>
      </c>
      <c r="J74" s="209"/>
      <c r="K74" s="209"/>
      <c r="L74" s="210">
        <f ca="1">IF($E75=0,OFFSET(ORÇAMENTO!C$15,$E74,0),1)</f>
        <v>1</v>
      </c>
      <c r="M74" s="211">
        <f ca="1">IF($E75=-1,0,IF(M$13&lt;=$L74,IF(ISERROR(MATCH(M$13,OFFSET($L74,1,0,ROW($L$164)-ROW($L74)-1),0)),ROW($L$164)-ROW($L74)-1,MATCH(M$13,OFFSET($L74,1,0,ROW($L$164)-ROW($L74)-1),0)-1),0))</f>
        <v>0</v>
      </c>
      <c r="N74" s="211">
        <f ca="1">IF($E75=-1,0,IF(N$13&lt;=$L74,IF(ISERROR(MATCH(N$13,OFFSET($L74,1,0,ROW($L$164)-ROW($L74)-1),0)),ROW($L$164)-ROW($L74)-1,MATCH(N$13,OFFSET($L74,1,0,ROW($L$164)-ROW($L74)-1),0)-1),0))</f>
        <v>0</v>
      </c>
      <c r="O74" s="211">
        <f ca="1">IF($E75=-1,0,IF(O$13&lt;=$L74,IF(ISERROR(MATCH(O$13,OFFSET($L74,1,0,ROW($L$164)-ROW($L74)-1),0)),ROW($L$164)-ROW($L74)-1,MATCH(O$13,OFFSET($L74,1,0,ROW($L$164)-ROW($L74)-1),0)-1),0))</f>
        <v>0</v>
      </c>
      <c r="P74" s="211">
        <f ca="1">IF($E75=-1,0,IF(P$13&lt;=$L74,IF(ISERROR(MATCH(P$13,OFFSET($L74,1,0,ROW($L$164)-ROW($L74)-1),0)),ROW($L$164)-ROW($L74)-1,MATCH(P$13,OFFSET($L74,1,0,ROW($L$164)-ROW($L74)-1),0)-1),0))</f>
        <v>0</v>
      </c>
      <c r="Q74" s="211">
        <f t="shared" ref="Q74" ca="1" si="145">MIN(OFFSET(L74,0,1,,L74))</f>
        <v>0</v>
      </c>
      <c r="R74" s="212" t="str">
        <f ca="1">IF($E75=0,OFFSET(ORÇAMENTO!X$15,$E74,0),IF($E75&lt;&gt;-1,OFFSET(QCI!$O$13,$E75,0),""))</f>
        <v/>
      </c>
      <c r="S74" s="213" t="s">
        <v>270</v>
      </c>
      <c r="T74" s="214" t="e">
        <f t="shared" ref="T74:AE74" ca="1" si="146">IF(AND($Q74=2,ACOMPANHAMENTO="BM"),T75,T76/$R74)</f>
        <v>#VALUE!</v>
      </c>
      <c r="U74" s="206" t="e">
        <f t="shared" ca="1" si="146"/>
        <v>#VALUE!</v>
      </c>
      <c r="V74" s="206" t="e">
        <f t="shared" ca="1" si="146"/>
        <v>#VALUE!</v>
      </c>
      <c r="W74" s="206" t="e">
        <f t="shared" ca="1" si="146"/>
        <v>#VALUE!</v>
      </c>
      <c r="X74" s="206" t="e">
        <f t="shared" ca="1" si="146"/>
        <v>#VALUE!</v>
      </c>
      <c r="Y74" s="206" t="e">
        <f t="shared" ca="1" si="146"/>
        <v>#VALUE!</v>
      </c>
      <c r="Z74" s="206" t="e">
        <f t="shared" ca="1" si="146"/>
        <v>#VALUE!</v>
      </c>
      <c r="AA74" s="206" t="e">
        <f t="shared" ca="1" si="146"/>
        <v>#VALUE!</v>
      </c>
      <c r="AB74" s="206" t="e">
        <f t="shared" ca="1" si="146"/>
        <v>#VALUE!</v>
      </c>
      <c r="AC74" s="206" t="e">
        <f t="shared" ca="1" si="146"/>
        <v>#VALUE!</v>
      </c>
      <c r="AD74" s="206" t="e">
        <f t="shared" ca="1" si="146"/>
        <v>#VALUE!</v>
      </c>
      <c r="AE74" s="215" t="e">
        <f t="shared" ca="1" si="146"/>
        <v>#VALUE!</v>
      </c>
    </row>
    <row r="75" spans="1:32" ht="12.75" hidden="1" customHeight="1" x14ac:dyDescent="0.25">
      <c r="D75" s="568"/>
      <c r="E75" s="203">
        <f ca="1">IF(ISERROR(E74),IF(1+COUNTIF($L$13:OFFSET(L74,-1,0),1)&lt;=MAX(QCI!$D$13:$D$24),1+COUNTIF($L$13:OFFSET(L74,-1,0),1),-1),0)</f>
        <v>-1</v>
      </c>
      <c r="F75" s="203" t="str">
        <f t="shared" ref="F75" ca="1" si="147">IF(AND($E75&lt;&gt;-1,$R74&gt;0),"F","")</f>
        <v/>
      </c>
      <c r="G75" s="216" t="str">
        <f ca="1">IF(OR(R74=0,R74=""),"vazia",IF(AND(OR(ACOMPANHAMENTO="PLE",$Q74&lt;&gt;2),$E75=0),"calculada","--&gt;"))</f>
        <v>vazia</v>
      </c>
      <c r="H75" s="217"/>
      <c r="I75" s="218" t="str">
        <f t="shared" ref="I75" ca="1" si="148">IF(AND(G74&lt;&gt;0,ISNUMBER(G74)),"PREENCHA ESTA LINHA --&gt;","")</f>
        <v/>
      </c>
      <c r="J75" s="218"/>
      <c r="K75" s="218"/>
      <c r="L75" s="219"/>
      <c r="M75" s="219"/>
      <c r="N75" s="219"/>
      <c r="O75" s="219"/>
      <c r="P75" s="219"/>
      <c r="Q75" s="219"/>
      <c r="R75" s="220"/>
      <c r="S75" s="221"/>
      <c r="T75" s="569"/>
      <c r="U75" s="568"/>
      <c r="V75" s="568"/>
      <c r="W75" s="568"/>
      <c r="X75" s="568"/>
      <c r="Y75" s="568"/>
      <c r="Z75" s="568"/>
      <c r="AA75" s="568"/>
      <c r="AB75" s="568"/>
      <c r="AC75" s="568"/>
      <c r="AD75" s="568"/>
      <c r="AE75" s="570"/>
      <c r="AF75" s="532"/>
    </row>
    <row r="76" spans="1:32" ht="0.15" hidden="1" customHeight="1" x14ac:dyDescent="0.25">
      <c r="D76" s="222">
        <f ca="1">IF($Q74=2,IF(AND(ACOMPANHAMENTO="PLE",ISNUMBER($E74)),SUMIF((OFFSET(CÁLCULO!$AM$15:$AW$15,$E74,0,OFFSET(ORÇAMENTO!$D$15,CRONO!$E74,0))),"="&amp;CRONO!D$12,OFFSET(CÁLCULO!$AB$15:$AL$15,$E74,0,OFFSET(ORÇAMENTO!$D$15,CRONO!$E74,0)))+IF(AND($E76&lt;&gt;"",$E76&lt;&gt;0),SUMIF(CÁLCULO!$AM$15:$AW$32,"="&amp;CRONO!D$12,CÁLCULO!$AB$15:$AL$32)/(ORÇAMENTO!$X$15-CÁLCULO.TotalAdmLocal)*CRONO!$E76,0),D75*$R74),SUMIF(OFFSET($R76,1,0,$Q74-2),($L74+1)&amp;"$",OFFSET(D76,1,0,$Q74-2)))</f>
        <v>0</v>
      </c>
      <c r="E76" s="203" t="str">
        <f ca="1">IF(OR($Q74&lt;&gt;2,AUTOEVENTO&lt;&gt;"manual",$E75&gt;0),"",SUMIF(OFFSET(CÁLCULO!$M$15,CRONO!$E74,0,OFFSET(ORÇAMENTO!$D$15,CRONO!$E74,0)),1,OFFSET(ORÇAMENTO!$X$15,CRONO!$E74,0,OFFSET(ORÇAMENTO!$D$15,CRONO!$E74,0))))</f>
        <v/>
      </c>
      <c r="G76" s="223"/>
      <c r="R76" s="224" t="str">
        <f t="shared" ref="R76" ca="1" si="149">L74&amp;"$"</f>
        <v>1$</v>
      </c>
      <c r="S76" s="225"/>
      <c r="T76" s="226">
        <f ca="1">IF($Q74=2,IF(AND(ACOMPANHAMENTO="PLE",ISNUMBER($E74)),SUMIF((OFFSET(CÁLCULO!$AM$15:$AW$15,$E74,0,OFFSET(ORÇAMENTO!$D$15,CRONO!$E74,0))),"&lt;="&amp;CRONO!T$12,OFFSET(CÁLCULO!$AB$15:$AL$15,$E74,0,OFFSET(ORÇAMENTO!$D$15,CRONO!$E74,0)))+IF(AND($E76&lt;&gt;"",$E76&lt;&gt;0),SUMIF(CÁLCULO!$AM$15:$AW$32,"&lt;="&amp;CRONO!T$12,CÁLCULO!$AB$15:$AL$32)/(ORÇAMENTO!$X$15-CÁLCULO.TotalAdmLocal)*CRONO!$E76,0),T75*$R74),SUMIF(OFFSET($R76,1,0,$Q74-2),($L74+1)&amp;"$",OFFSET(T76,1,0,$Q74-2)))</f>
        <v>0</v>
      </c>
      <c r="U76" s="222">
        <f ca="1">IF($Q74=2,IF(AND(ACOMPANHAMENTO="PLE",ISNUMBER($E74)),SUMIF((OFFSET(CÁLCULO!$AM$15:$AW$15,$E74,0,OFFSET(ORÇAMENTO!$D$15,CRONO!$E74,0))),"="&amp;CRONO!U$12,OFFSET(CÁLCULO!$AB$15:$AL$15,$E74,0,OFFSET(ORÇAMENTO!$D$15,CRONO!$E74,0)))+IF(AND($E76&lt;&gt;"",$E76&lt;&gt;0),SUMIF(CÁLCULO!$AM$15:$AW$32,"="&amp;CRONO!U$12,CÁLCULO!$AB$15:$AL$32)/(ORÇAMENTO!$X$15-CÁLCULO.TotalAdmLocal)*CRONO!$E76,0),U75*$R74),SUMIF(OFFSET($R76,1,0,$Q74-2),($L74+1)&amp;"$",OFFSET(U76,1,0,$Q74-2)))</f>
        <v>0</v>
      </c>
      <c r="V76" s="222">
        <f ca="1">IF($Q74=2,IF(AND(ACOMPANHAMENTO="PLE",ISNUMBER($E74)),SUMIF((OFFSET(CÁLCULO!$AM$15:$AW$15,$E74,0,OFFSET(ORÇAMENTO!$D$15,CRONO!$E74,0))),"="&amp;CRONO!V$12,OFFSET(CÁLCULO!$AB$15:$AL$15,$E74,0,OFFSET(ORÇAMENTO!$D$15,CRONO!$E74,0)))+IF(AND($E76&lt;&gt;"",$E76&lt;&gt;0),SUMIF(CÁLCULO!$AM$15:$AW$32,"="&amp;CRONO!V$12,CÁLCULO!$AB$15:$AL$32)/(ORÇAMENTO!$X$15-CÁLCULO.TotalAdmLocal)*CRONO!$E76,0),V75*$R74),SUMIF(OFFSET($R76,1,0,$Q74-2),($L74+1)&amp;"$",OFFSET(V76,1,0,$Q74-2)))</f>
        <v>0</v>
      </c>
      <c r="W76" s="222">
        <f ca="1">IF($Q74=2,IF(AND(ACOMPANHAMENTO="PLE",ISNUMBER($E74)),SUMIF((OFFSET(CÁLCULO!$AM$15:$AW$15,$E74,0,OFFSET(ORÇAMENTO!$D$15,CRONO!$E74,0))),"="&amp;CRONO!W$12,OFFSET(CÁLCULO!$AB$15:$AL$15,$E74,0,OFFSET(ORÇAMENTO!$D$15,CRONO!$E74,0)))+IF(AND($E76&lt;&gt;"",$E76&lt;&gt;0),SUMIF(CÁLCULO!$AM$15:$AW$32,"="&amp;CRONO!W$12,CÁLCULO!$AB$15:$AL$32)/(ORÇAMENTO!$X$15-CÁLCULO.TotalAdmLocal)*CRONO!$E76,0),W75*$R74),SUMIF(OFFSET($R76,1,0,$Q74-2),($L74+1)&amp;"$",OFFSET(W76,1,0,$Q74-2)))</f>
        <v>0</v>
      </c>
      <c r="X76" s="222">
        <f ca="1">IF($Q74=2,IF(AND(ACOMPANHAMENTO="PLE",ISNUMBER($E74)),SUMIF((OFFSET(CÁLCULO!$AM$15:$AW$15,$E74,0,OFFSET(ORÇAMENTO!$D$15,CRONO!$E74,0))),"="&amp;CRONO!X$12,OFFSET(CÁLCULO!$AB$15:$AL$15,$E74,0,OFFSET(ORÇAMENTO!$D$15,CRONO!$E74,0)))+IF(AND($E76&lt;&gt;"",$E76&lt;&gt;0),SUMIF(CÁLCULO!$AM$15:$AW$32,"="&amp;CRONO!X$12,CÁLCULO!$AB$15:$AL$32)/(ORÇAMENTO!$X$15-CÁLCULO.TotalAdmLocal)*CRONO!$E76,0),X75*$R74),SUMIF(OFFSET($R76,1,0,$Q74-2),($L74+1)&amp;"$",OFFSET(X76,1,0,$Q74-2)))</f>
        <v>0</v>
      </c>
      <c r="Y76" s="222">
        <f ca="1">IF($Q74=2,IF(AND(ACOMPANHAMENTO="PLE",ISNUMBER($E74)),SUMIF((OFFSET(CÁLCULO!$AM$15:$AW$15,$E74,0,OFFSET(ORÇAMENTO!$D$15,CRONO!$E74,0))),"="&amp;CRONO!Y$12,OFFSET(CÁLCULO!$AB$15:$AL$15,$E74,0,OFFSET(ORÇAMENTO!$D$15,CRONO!$E74,0)))+IF(AND($E76&lt;&gt;"",$E76&lt;&gt;0),SUMIF(CÁLCULO!$AM$15:$AW$32,"="&amp;CRONO!Y$12,CÁLCULO!$AB$15:$AL$32)/(ORÇAMENTO!$X$15-CÁLCULO.TotalAdmLocal)*CRONO!$E76,0),Y75*$R74),SUMIF(OFFSET($R76,1,0,$Q74-2),($L74+1)&amp;"$",OFFSET(Y76,1,0,$Q74-2)))</f>
        <v>0</v>
      </c>
      <c r="Z76" s="222">
        <f ca="1">IF($Q74=2,IF(AND(ACOMPANHAMENTO="PLE",ISNUMBER($E74)),SUMIF((OFFSET(CÁLCULO!$AM$15:$AW$15,$E74,0,OFFSET(ORÇAMENTO!$D$15,CRONO!$E74,0))),"="&amp;CRONO!Z$12,OFFSET(CÁLCULO!$AB$15:$AL$15,$E74,0,OFFSET(ORÇAMENTO!$D$15,CRONO!$E74,0)))+IF(AND($E76&lt;&gt;"",$E76&lt;&gt;0),SUMIF(CÁLCULO!$AM$15:$AW$32,"="&amp;CRONO!Z$12,CÁLCULO!$AB$15:$AL$32)/(ORÇAMENTO!$X$15-CÁLCULO.TotalAdmLocal)*CRONO!$E76,0),Z75*$R74),SUMIF(OFFSET($R76,1,0,$Q74-2),($L74+1)&amp;"$",OFFSET(Z76,1,0,$Q74-2)))</f>
        <v>0</v>
      </c>
      <c r="AA76" s="222">
        <f ca="1">IF($Q74=2,IF(AND(ACOMPANHAMENTO="PLE",ISNUMBER($E74)),SUMIF((OFFSET(CÁLCULO!$AM$15:$AW$15,$E74,0,OFFSET(ORÇAMENTO!$D$15,CRONO!$E74,0))),"="&amp;CRONO!AA$12,OFFSET(CÁLCULO!$AB$15:$AL$15,$E74,0,OFFSET(ORÇAMENTO!$D$15,CRONO!$E74,0)))+IF(AND($E76&lt;&gt;"",$E76&lt;&gt;0),SUMIF(CÁLCULO!$AM$15:$AW$32,"="&amp;CRONO!AA$12,CÁLCULO!$AB$15:$AL$32)/(ORÇAMENTO!$X$15-CÁLCULO.TotalAdmLocal)*CRONO!$E76,0),AA75*$R74),SUMIF(OFFSET($R76,1,0,$Q74-2),($L74+1)&amp;"$",OFFSET(AA76,1,0,$Q74-2)))</f>
        <v>0</v>
      </c>
      <c r="AB76" s="222">
        <f ca="1">IF($Q74=2,IF(AND(ACOMPANHAMENTO="PLE",ISNUMBER($E74)),SUMIF((OFFSET(CÁLCULO!$AM$15:$AW$15,$E74,0,OFFSET(ORÇAMENTO!$D$15,CRONO!$E74,0))),"="&amp;CRONO!AB$12,OFFSET(CÁLCULO!$AB$15:$AL$15,$E74,0,OFFSET(ORÇAMENTO!$D$15,CRONO!$E74,0)))+IF(AND($E76&lt;&gt;"",$E76&lt;&gt;0),SUMIF(CÁLCULO!$AM$15:$AW$32,"="&amp;CRONO!AB$12,CÁLCULO!$AB$15:$AL$32)/(ORÇAMENTO!$X$15-CÁLCULO.TotalAdmLocal)*CRONO!$E76,0),AB75*$R74),SUMIF(OFFSET($R76,1,0,$Q74-2),($L74+1)&amp;"$",OFFSET(AB76,1,0,$Q74-2)))</f>
        <v>0</v>
      </c>
      <c r="AC76" s="222">
        <f ca="1">IF($Q74=2,IF(AND(ACOMPANHAMENTO="PLE",ISNUMBER($E74)),SUMIF((OFFSET(CÁLCULO!$AM$15:$AW$15,$E74,0,OFFSET(ORÇAMENTO!$D$15,CRONO!$E74,0))),"="&amp;CRONO!AC$12,OFFSET(CÁLCULO!$AB$15:$AL$15,$E74,0,OFFSET(ORÇAMENTO!$D$15,CRONO!$E74,0)))+IF(AND($E76&lt;&gt;"",$E76&lt;&gt;0),SUMIF(CÁLCULO!$AM$15:$AW$32,"="&amp;CRONO!AC$12,CÁLCULO!$AB$15:$AL$32)/(ORÇAMENTO!$X$15-CÁLCULO.TotalAdmLocal)*CRONO!$E76,0),AC75*$R74),SUMIF(OFFSET($R76,1,0,$Q74-2),($L74+1)&amp;"$",OFFSET(AC76,1,0,$Q74-2)))</f>
        <v>0</v>
      </c>
      <c r="AD76" s="222">
        <f ca="1">IF($Q74=2,IF(AND(ACOMPANHAMENTO="PLE",ISNUMBER($E74)),SUMIF((OFFSET(CÁLCULO!$AM$15:$AW$15,$E74,0,OFFSET(ORÇAMENTO!$D$15,CRONO!$E74,0))),"="&amp;CRONO!AD$12,OFFSET(CÁLCULO!$AB$15:$AL$15,$E74,0,OFFSET(ORÇAMENTO!$D$15,CRONO!$E74,0)))+IF(AND($E76&lt;&gt;"",$E76&lt;&gt;0),SUMIF(CÁLCULO!$AM$15:$AW$32,"="&amp;CRONO!AD$12,CÁLCULO!$AB$15:$AL$32)/(ORÇAMENTO!$X$15-CÁLCULO.TotalAdmLocal)*CRONO!$E76,0),AD75*$R74),SUMIF(OFFSET($R76,1,0,$Q74-2),($L74+1)&amp;"$",OFFSET(AD76,1,0,$Q74-2)))</f>
        <v>0</v>
      </c>
      <c r="AE76" s="227">
        <f ca="1">IF($Q74=2,IF(AND(ACOMPANHAMENTO="PLE",ISNUMBER($E74)),SUMIF((OFFSET(CÁLCULO!$AM$15:$AW$15,$E74,0,OFFSET(ORÇAMENTO!$D$15,CRONO!$E74,0))),"="&amp;CRONO!AE$12,OFFSET(CÁLCULO!$AB$15:$AL$15,$E74,0,OFFSET(ORÇAMENTO!$D$15,CRONO!$E74,0)))+IF(AND($E76&lt;&gt;"",$E76&lt;&gt;0),SUMIF(CÁLCULO!$AM$15:$AW$32,"="&amp;CRONO!AE$12,CÁLCULO!$AB$15:$AL$32)/(ORÇAMENTO!$X$15-CÁLCULO.TotalAdmLocal)*CRONO!$E76,0),AE75*$R74),SUMIF(OFFSET($R76,1,0,$Q74-2),($L74+1)&amp;"$",OFFSET(AE76,1,0,$Q74-2)))</f>
        <v>0</v>
      </c>
    </row>
    <row r="77" spans="1:32" hidden="1" x14ac:dyDescent="0.25">
      <c r="A77" s="203">
        <f t="shared" ref="A77" ca="1" si="150">OFFSET(A77,-3,0)+1</f>
        <v>22</v>
      </c>
      <c r="B77" s="203">
        <f ca="1">IF($Q77&lt;&gt;2,0,IF($R77=0,1,IF(E78&gt;0,OFFSET(QCI!$M$13,SUBSTITUTE(E78,".",""),0),OFFSET(ORÇAMENTO!$AA$15,CRONO!$E77,0))/$R77))</f>
        <v>0</v>
      </c>
      <c r="C77" s="203">
        <f ca="1">IF($Q77&lt;&gt;2,0,IF($R77=0,1,IF(E78&gt;0,OFFSET(QCI!$N$13,SUBSTITUTE(E78,".",""),0),OFFSET(ORÇAMENTO!$AB$15,CRONO!$E77,0))/$R77))</f>
        <v>0</v>
      </c>
      <c r="D77" s="206" t="e">
        <f ca="1">IF(AND($Q77=2,ACOMPANHAMENTO="BM"),D78,D79/$R77)</f>
        <v>#VALUE!</v>
      </c>
      <c r="E77" s="203" t="e">
        <f ca="1">IF(A77&lt;=ORÇAMENTO.MáximoListaCrono,MATCH(A77,ORÇAMENTO.ListaCrono,0),NA())</f>
        <v>#N/A</v>
      </c>
      <c r="F77" s="203" t="str">
        <f t="shared" ref="F77" ca="1" si="151">IF(AND($E78&lt;&gt;-1,$R77&gt;0),"F","")</f>
        <v/>
      </c>
      <c r="G77" s="207" t="str">
        <f ca="1">IF(OR(R77=0,R77=""),"Linha",IF(AND(OR(ACOMPANHAMENTO="PLE",$Q77&lt;&gt;2),$E78=0),"Linha",1-SUM(T77:AF77)))</f>
        <v>Linha</v>
      </c>
      <c r="H77" s="208" t="str">
        <f ca="1">IF($E78=0,OFFSET(ORÇAMENTO!O$15,$E77,0),IF($E78&lt;&gt;-1,OFFSET(QCI!$D$13,$E78,0),""))</f>
        <v/>
      </c>
      <c r="I77" s="209" t="str">
        <f ca="1">IF($E78=0,OFFSET(ORÇAMENTO!R$15,$E77,0),IF($E78&lt;&gt;-1,OFFSET(QCI!$G$13,$E78,0),""))</f>
        <v/>
      </c>
      <c r="J77" s="209"/>
      <c r="K77" s="209"/>
      <c r="L77" s="210">
        <f ca="1">IF($E78=0,OFFSET(ORÇAMENTO!C$15,$E77,0),1)</f>
        <v>1</v>
      </c>
      <c r="M77" s="211">
        <f ca="1">IF($E78=-1,0,IF(M$13&lt;=$L77,IF(ISERROR(MATCH(M$13,OFFSET($L77,1,0,ROW($L$164)-ROW($L77)-1),0)),ROW($L$164)-ROW($L77)-1,MATCH(M$13,OFFSET($L77,1,0,ROW($L$164)-ROW($L77)-1),0)-1),0))</f>
        <v>0</v>
      </c>
      <c r="N77" s="211">
        <f ca="1">IF($E78=-1,0,IF(N$13&lt;=$L77,IF(ISERROR(MATCH(N$13,OFFSET($L77,1,0,ROW($L$164)-ROW($L77)-1),0)),ROW($L$164)-ROW($L77)-1,MATCH(N$13,OFFSET($L77,1,0,ROW($L$164)-ROW($L77)-1),0)-1),0))</f>
        <v>0</v>
      </c>
      <c r="O77" s="211">
        <f ca="1">IF($E78=-1,0,IF(O$13&lt;=$L77,IF(ISERROR(MATCH(O$13,OFFSET($L77,1,0,ROW($L$164)-ROW($L77)-1),0)),ROW($L$164)-ROW($L77)-1,MATCH(O$13,OFFSET($L77,1,0,ROW($L$164)-ROW($L77)-1),0)-1),0))</f>
        <v>0</v>
      </c>
      <c r="P77" s="211">
        <f ca="1">IF($E78=-1,0,IF(P$13&lt;=$L77,IF(ISERROR(MATCH(P$13,OFFSET($L77,1,0,ROW($L$164)-ROW($L77)-1),0)),ROW($L$164)-ROW($L77)-1,MATCH(P$13,OFFSET($L77,1,0,ROW($L$164)-ROW($L77)-1),0)-1),0))</f>
        <v>0</v>
      </c>
      <c r="Q77" s="211">
        <f t="shared" ref="Q77" ca="1" si="152">MIN(OFFSET(L77,0,1,,L77))</f>
        <v>0</v>
      </c>
      <c r="R77" s="212" t="str">
        <f ca="1">IF($E78=0,OFFSET(ORÇAMENTO!X$15,$E77,0),IF($E78&lt;&gt;-1,OFFSET(QCI!$O$13,$E78,0),""))</f>
        <v/>
      </c>
      <c r="S77" s="213" t="s">
        <v>270</v>
      </c>
      <c r="T77" s="214" t="e">
        <f t="shared" ref="T77:AE77" ca="1" si="153">IF(AND($Q77=2,ACOMPANHAMENTO="BM"),T78,T79/$R77)</f>
        <v>#VALUE!</v>
      </c>
      <c r="U77" s="206" t="e">
        <f t="shared" ca="1" si="153"/>
        <v>#VALUE!</v>
      </c>
      <c r="V77" s="206" t="e">
        <f t="shared" ca="1" si="153"/>
        <v>#VALUE!</v>
      </c>
      <c r="W77" s="206" t="e">
        <f t="shared" ca="1" si="153"/>
        <v>#VALUE!</v>
      </c>
      <c r="X77" s="206" t="e">
        <f t="shared" ca="1" si="153"/>
        <v>#VALUE!</v>
      </c>
      <c r="Y77" s="206" t="e">
        <f t="shared" ca="1" si="153"/>
        <v>#VALUE!</v>
      </c>
      <c r="Z77" s="206" t="e">
        <f t="shared" ca="1" si="153"/>
        <v>#VALUE!</v>
      </c>
      <c r="AA77" s="206" t="e">
        <f t="shared" ca="1" si="153"/>
        <v>#VALUE!</v>
      </c>
      <c r="AB77" s="206" t="e">
        <f t="shared" ca="1" si="153"/>
        <v>#VALUE!</v>
      </c>
      <c r="AC77" s="206" t="e">
        <f t="shared" ca="1" si="153"/>
        <v>#VALUE!</v>
      </c>
      <c r="AD77" s="206" t="e">
        <f t="shared" ca="1" si="153"/>
        <v>#VALUE!</v>
      </c>
      <c r="AE77" s="215" t="e">
        <f t="shared" ca="1" si="153"/>
        <v>#VALUE!</v>
      </c>
    </row>
    <row r="78" spans="1:32" ht="12.75" hidden="1" customHeight="1" x14ac:dyDescent="0.25">
      <c r="D78" s="568"/>
      <c r="E78" s="203">
        <f ca="1">IF(ISERROR(E77),IF(1+COUNTIF($L$13:OFFSET(L77,-1,0),1)&lt;=MAX(QCI!$D$13:$D$24),1+COUNTIF($L$13:OFFSET(L77,-1,0),1),-1),0)</f>
        <v>-1</v>
      </c>
      <c r="F78" s="203" t="str">
        <f t="shared" ref="F78" ca="1" si="154">IF(AND($E78&lt;&gt;-1,$R77&gt;0),"F","")</f>
        <v/>
      </c>
      <c r="G78" s="216" t="str">
        <f ca="1">IF(OR(R77=0,R77=""),"vazia",IF(AND(OR(ACOMPANHAMENTO="PLE",$Q77&lt;&gt;2),$E78=0),"calculada","--&gt;"))</f>
        <v>vazia</v>
      </c>
      <c r="H78" s="217"/>
      <c r="I78" s="218" t="str">
        <f t="shared" ref="I78" ca="1" si="155">IF(AND(G77&lt;&gt;0,ISNUMBER(G77)),"PREENCHA ESTA LINHA --&gt;","")</f>
        <v/>
      </c>
      <c r="J78" s="218"/>
      <c r="K78" s="218"/>
      <c r="L78" s="219"/>
      <c r="M78" s="219"/>
      <c r="N78" s="219"/>
      <c r="O78" s="219"/>
      <c r="P78" s="219"/>
      <c r="Q78" s="219"/>
      <c r="R78" s="220"/>
      <c r="S78" s="221"/>
      <c r="T78" s="569"/>
      <c r="U78" s="568"/>
      <c r="V78" s="568"/>
      <c r="W78" s="568"/>
      <c r="X78" s="568"/>
      <c r="Y78" s="568"/>
      <c r="Z78" s="568"/>
      <c r="AA78" s="568"/>
      <c r="AB78" s="568"/>
      <c r="AC78" s="568"/>
      <c r="AD78" s="568"/>
      <c r="AE78" s="570"/>
      <c r="AF78" s="532"/>
    </row>
    <row r="79" spans="1:32" ht="0.15" hidden="1" customHeight="1" x14ac:dyDescent="0.25">
      <c r="D79" s="222">
        <f ca="1">IF($Q77=2,IF(AND(ACOMPANHAMENTO="PLE",ISNUMBER($E77)),SUMIF((OFFSET(CÁLCULO!$AM$15:$AW$15,$E77,0,OFFSET(ORÇAMENTO!$D$15,CRONO!$E77,0))),"="&amp;CRONO!D$12,OFFSET(CÁLCULO!$AB$15:$AL$15,$E77,0,OFFSET(ORÇAMENTO!$D$15,CRONO!$E77,0)))+IF(AND($E79&lt;&gt;"",$E79&lt;&gt;0),SUMIF(CÁLCULO!$AM$15:$AW$32,"="&amp;CRONO!D$12,CÁLCULO!$AB$15:$AL$32)/(ORÇAMENTO!$X$15-CÁLCULO.TotalAdmLocal)*CRONO!$E79,0),D78*$R77),SUMIF(OFFSET($R79,1,0,$Q77-2),($L77+1)&amp;"$",OFFSET(D79,1,0,$Q77-2)))</f>
        <v>0</v>
      </c>
      <c r="E79" s="203" t="str">
        <f ca="1">IF(OR($Q77&lt;&gt;2,AUTOEVENTO&lt;&gt;"manual",$E78&gt;0),"",SUMIF(OFFSET(CÁLCULO!$M$15,CRONO!$E77,0,OFFSET(ORÇAMENTO!$D$15,CRONO!$E77,0)),1,OFFSET(ORÇAMENTO!$X$15,CRONO!$E77,0,OFFSET(ORÇAMENTO!$D$15,CRONO!$E77,0))))</f>
        <v/>
      </c>
      <c r="G79" s="223"/>
      <c r="R79" s="224" t="str">
        <f t="shared" ref="R79" ca="1" si="156">L77&amp;"$"</f>
        <v>1$</v>
      </c>
      <c r="S79" s="225"/>
      <c r="T79" s="226">
        <f ca="1">IF($Q77=2,IF(AND(ACOMPANHAMENTO="PLE",ISNUMBER($E77)),SUMIF((OFFSET(CÁLCULO!$AM$15:$AW$15,$E77,0,OFFSET(ORÇAMENTO!$D$15,CRONO!$E77,0))),"&lt;="&amp;CRONO!T$12,OFFSET(CÁLCULO!$AB$15:$AL$15,$E77,0,OFFSET(ORÇAMENTO!$D$15,CRONO!$E77,0)))+IF(AND($E79&lt;&gt;"",$E79&lt;&gt;0),SUMIF(CÁLCULO!$AM$15:$AW$32,"&lt;="&amp;CRONO!T$12,CÁLCULO!$AB$15:$AL$32)/(ORÇAMENTO!$X$15-CÁLCULO.TotalAdmLocal)*CRONO!$E79,0),T78*$R77),SUMIF(OFFSET($R79,1,0,$Q77-2),($L77+1)&amp;"$",OFFSET(T79,1,0,$Q77-2)))</f>
        <v>0</v>
      </c>
      <c r="U79" s="222">
        <f ca="1">IF($Q77=2,IF(AND(ACOMPANHAMENTO="PLE",ISNUMBER($E77)),SUMIF((OFFSET(CÁLCULO!$AM$15:$AW$15,$E77,0,OFFSET(ORÇAMENTO!$D$15,CRONO!$E77,0))),"="&amp;CRONO!U$12,OFFSET(CÁLCULO!$AB$15:$AL$15,$E77,0,OFFSET(ORÇAMENTO!$D$15,CRONO!$E77,0)))+IF(AND($E79&lt;&gt;"",$E79&lt;&gt;0),SUMIF(CÁLCULO!$AM$15:$AW$32,"="&amp;CRONO!U$12,CÁLCULO!$AB$15:$AL$32)/(ORÇAMENTO!$X$15-CÁLCULO.TotalAdmLocal)*CRONO!$E79,0),U78*$R77),SUMIF(OFFSET($R79,1,0,$Q77-2),($L77+1)&amp;"$",OFFSET(U79,1,0,$Q77-2)))</f>
        <v>0</v>
      </c>
      <c r="V79" s="222">
        <f ca="1">IF($Q77=2,IF(AND(ACOMPANHAMENTO="PLE",ISNUMBER($E77)),SUMIF((OFFSET(CÁLCULO!$AM$15:$AW$15,$E77,0,OFFSET(ORÇAMENTO!$D$15,CRONO!$E77,0))),"="&amp;CRONO!V$12,OFFSET(CÁLCULO!$AB$15:$AL$15,$E77,0,OFFSET(ORÇAMENTO!$D$15,CRONO!$E77,0)))+IF(AND($E79&lt;&gt;"",$E79&lt;&gt;0),SUMIF(CÁLCULO!$AM$15:$AW$32,"="&amp;CRONO!V$12,CÁLCULO!$AB$15:$AL$32)/(ORÇAMENTO!$X$15-CÁLCULO.TotalAdmLocal)*CRONO!$E79,0),V78*$R77),SUMIF(OFFSET($R79,1,0,$Q77-2),($L77+1)&amp;"$",OFFSET(V79,1,0,$Q77-2)))</f>
        <v>0</v>
      </c>
      <c r="W79" s="222">
        <f ca="1">IF($Q77=2,IF(AND(ACOMPANHAMENTO="PLE",ISNUMBER($E77)),SUMIF((OFFSET(CÁLCULO!$AM$15:$AW$15,$E77,0,OFFSET(ORÇAMENTO!$D$15,CRONO!$E77,0))),"="&amp;CRONO!W$12,OFFSET(CÁLCULO!$AB$15:$AL$15,$E77,0,OFFSET(ORÇAMENTO!$D$15,CRONO!$E77,0)))+IF(AND($E79&lt;&gt;"",$E79&lt;&gt;0),SUMIF(CÁLCULO!$AM$15:$AW$32,"="&amp;CRONO!W$12,CÁLCULO!$AB$15:$AL$32)/(ORÇAMENTO!$X$15-CÁLCULO.TotalAdmLocal)*CRONO!$E79,0),W78*$R77),SUMIF(OFFSET($R79,1,0,$Q77-2),($L77+1)&amp;"$",OFFSET(W79,1,0,$Q77-2)))</f>
        <v>0</v>
      </c>
      <c r="X79" s="222">
        <f ca="1">IF($Q77=2,IF(AND(ACOMPANHAMENTO="PLE",ISNUMBER($E77)),SUMIF((OFFSET(CÁLCULO!$AM$15:$AW$15,$E77,0,OFFSET(ORÇAMENTO!$D$15,CRONO!$E77,0))),"="&amp;CRONO!X$12,OFFSET(CÁLCULO!$AB$15:$AL$15,$E77,0,OFFSET(ORÇAMENTO!$D$15,CRONO!$E77,0)))+IF(AND($E79&lt;&gt;"",$E79&lt;&gt;0),SUMIF(CÁLCULO!$AM$15:$AW$32,"="&amp;CRONO!X$12,CÁLCULO!$AB$15:$AL$32)/(ORÇAMENTO!$X$15-CÁLCULO.TotalAdmLocal)*CRONO!$E79,0),X78*$R77),SUMIF(OFFSET($R79,1,0,$Q77-2),($L77+1)&amp;"$",OFFSET(X79,1,0,$Q77-2)))</f>
        <v>0</v>
      </c>
      <c r="Y79" s="222">
        <f ca="1">IF($Q77=2,IF(AND(ACOMPANHAMENTO="PLE",ISNUMBER($E77)),SUMIF((OFFSET(CÁLCULO!$AM$15:$AW$15,$E77,0,OFFSET(ORÇAMENTO!$D$15,CRONO!$E77,0))),"="&amp;CRONO!Y$12,OFFSET(CÁLCULO!$AB$15:$AL$15,$E77,0,OFFSET(ORÇAMENTO!$D$15,CRONO!$E77,0)))+IF(AND($E79&lt;&gt;"",$E79&lt;&gt;0),SUMIF(CÁLCULO!$AM$15:$AW$32,"="&amp;CRONO!Y$12,CÁLCULO!$AB$15:$AL$32)/(ORÇAMENTO!$X$15-CÁLCULO.TotalAdmLocal)*CRONO!$E79,0),Y78*$R77),SUMIF(OFFSET($R79,1,0,$Q77-2),($L77+1)&amp;"$",OFFSET(Y79,1,0,$Q77-2)))</f>
        <v>0</v>
      </c>
      <c r="Z79" s="222">
        <f ca="1">IF($Q77=2,IF(AND(ACOMPANHAMENTO="PLE",ISNUMBER($E77)),SUMIF((OFFSET(CÁLCULO!$AM$15:$AW$15,$E77,0,OFFSET(ORÇAMENTO!$D$15,CRONO!$E77,0))),"="&amp;CRONO!Z$12,OFFSET(CÁLCULO!$AB$15:$AL$15,$E77,0,OFFSET(ORÇAMENTO!$D$15,CRONO!$E77,0)))+IF(AND($E79&lt;&gt;"",$E79&lt;&gt;0),SUMIF(CÁLCULO!$AM$15:$AW$32,"="&amp;CRONO!Z$12,CÁLCULO!$AB$15:$AL$32)/(ORÇAMENTO!$X$15-CÁLCULO.TotalAdmLocal)*CRONO!$E79,0),Z78*$R77),SUMIF(OFFSET($R79,1,0,$Q77-2),($L77+1)&amp;"$",OFFSET(Z79,1,0,$Q77-2)))</f>
        <v>0</v>
      </c>
      <c r="AA79" s="222">
        <f ca="1">IF($Q77=2,IF(AND(ACOMPANHAMENTO="PLE",ISNUMBER($E77)),SUMIF((OFFSET(CÁLCULO!$AM$15:$AW$15,$E77,0,OFFSET(ORÇAMENTO!$D$15,CRONO!$E77,0))),"="&amp;CRONO!AA$12,OFFSET(CÁLCULO!$AB$15:$AL$15,$E77,0,OFFSET(ORÇAMENTO!$D$15,CRONO!$E77,0)))+IF(AND($E79&lt;&gt;"",$E79&lt;&gt;0),SUMIF(CÁLCULO!$AM$15:$AW$32,"="&amp;CRONO!AA$12,CÁLCULO!$AB$15:$AL$32)/(ORÇAMENTO!$X$15-CÁLCULO.TotalAdmLocal)*CRONO!$E79,0),AA78*$R77),SUMIF(OFFSET($R79,1,0,$Q77-2),($L77+1)&amp;"$",OFFSET(AA79,1,0,$Q77-2)))</f>
        <v>0</v>
      </c>
      <c r="AB79" s="222">
        <f ca="1">IF($Q77=2,IF(AND(ACOMPANHAMENTO="PLE",ISNUMBER($E77)),SUMIF((OFFSET(CÁLCULO!$AM$15:$AW$15,$E77,0,OFFSET(ORÇAMENTO!$D$15,CRONO!$E77,0))),"="&amp;CRONO!AB$12,OFFSET(CÁLCULO!$AB$15:$AL$15,$E77,0,OFFSET(ORÇAMENTO!$D$15,CRONO!$E77,0)))+IF(AND($E79&lt;&gt;"",$E79&lt;&gt;0),SUMIF(CÁLCULO!$AM$15:$AW$32,"="&amp;CRONO!AB$12,CÁLCULO!$AB$15:$AL$32)/(ORÇAMENTO!$X$15-CÁLCULO.TotalAdmLocal)*CRONO!$E79,0),AB78*$R77),SUMIF(OFFSET($R79,1,0,$Q77-2),($L77+1)&amp;"$",OFFSET(AB79,1,0,$Q77-2)))</f>
        <v>0</v>
      </c>
      <c r="AC79" s="222">
        <f ca="1">IF($Q77=2,IF(AND(ACOMPANHAMENTO="PLE",ISNUMBER($E77)),SUMIF((OFFSET(CÁLCULO!$AM$15:$AW$15,$E77,0,OFFSET(ORÇAMENTO!$D$15,CRONO!$E77,0))),"="&amp;CRONO!AC$12,OFFSET(CÁLCULO!$AB$15:$AL$15,$E77,0,OFFSET(ORÇAMENTO!$D$15,CRONO!$E77,0)))+IF(AND($E79&lt;&gt;"",$E79&lt;&gt;0),SUMIF(CÁLCULO!$AM$15:$AW$32,"="&amp;CRONO!AC$12,CÁLCULO!$AB$15:$AL$32)/(ORÇAMENTO!$X$15-CÁLCULO.TotalAdmLocal)*CRONO!$E79,0),AC78*$R77),SUMIF(OFFSET($R79,1,0,$Q77-2),($L77+1)&amp;"$",OFFSET(AC79,1,0,$Q77-2)))</f>
        <v>0</v>
      </c>
      <c r="AD79" s="222">
        <f ca="1">IF($Q77=2,IF(AND(ACOMPANHAMENTO="PLE",ISNUMBER($E77)),SUMIF((OFFSET(CÁLCULO!$AM$15:$AW$15,$E77,0,OFFSET(ORÇAMENTO!$D$15,CRONO!$E77,0))),"="&amp;CRONO!AD$12,OFFSET(CÁLCULO!$AB$15:$AL$15,$E77,0,OFFSET(ORÇAMENTO!$D$15,CRONO!$E77,0)))+IF(AND($E79&lt;&gt;"",$E79&lt;&gt;0),SUMIF(CÁLCULO!$AM$15:$AW$32,"="&amp;CRONO!AD$12,CÁLCULO!$AB$15:$AL$32)/(ORÇAMENTO!$X$15-CÁLCULO.TotalAdmLocal)*CRONO!$E79,0),AD78*$R77),SUMIF(OFFSET($R79,1,0,$Q77-2),($L77+1)&amp;"$",OFFSET(AD79,1,0,$Q77-2)))</f>
        <v>0</v>
      </c>
      <c r="AE79" s="227">
        <f ca="1">IF($Q77=2,IF(AND(ACOMPANHAMENTO="PLE",ISNUMBER($E77)),SUMIF((OFFSET(CÁLCULO!$AM$15:$AW$15,$E77,0,OFFSET(ORÇAMENTO!$D$15,CRONO!$E77,0))),"="&amp;CRONO!AE$12,OFFSET(CÁLCULO!$AB$15:$AL$15,$E77,0,OFFSET(ORÇAMENTO!$D$15,CRONO!$E77,0)))+IF(AND($E79&lt;&gt;"",$E79&lt;&gt;0),SUMIF(CÁLCULO!$AM$15:$AW$32,"="&amp;CRONO!AE$12,CÁLCULO!$AB$15:$AL$32)/(ORÇAMENTO!$X$15-CÁLCULO.TotalAdmLocal)*CRONO!$E79,0),AE78*$R77),SUMIF(OFFSET($R79,1,0,$Q77-2),($L77+1)&amp;"$",OFFSET(AE79,1,0,$Q77-2)))</f>
        <v>0</v>
      </c>
    </row>
    <row r="80" spans="1:32" hidden="1" x14ac:dyDescent="0.25">
      <c r="A80" s="203">
        <f t="shared" ref="A80" ca="1" si="157">OFFSET(A80,-3,0)+1</f>
        <v>23</v>
      </c>
      <c r="B80" s="203">
        <f ca="1">IF($Q80&lt;&gt;2,0,IF($R80=0,1,IF(E81&gt;0,OFFSET(QCI!$M$13,SUBSTITUTE(E81,".",""),0),OFFSET(ORÇAMENTO!$AA$15,CRONO!$E80,0))/$R80))</f>
        <v>0</v>
      </c>
      <c r="C80" s="203">
        <f ca="1">IF($Q80&lt;&gt;2,0,IF($R80=0,1,IF(E81&gt;0,OFFSET(QCI!$N$13,SUBSTITUTE(E81,".",""),0),OFFSET(ORÇAMENTO!$AB$15,CRONO!$E80,0))/$R80))</f>
        <v>0</v>
      </c>
      <c r="D80" s="206" t="e">
        <f ca="1">IF(AND($Q80=2,ACOMPANHAMENTO="BM"),D81,D82/$R80)</f>
        <v>#VALUE!</v>
      </c>
      <c r="E80" s="203" t="e">
        <f ca="1">IF(A80&lt;=ORÇAMENTO.MáximoListaCrono,MATCH(A80,ORÇAMENTO.ListaCrono,0),NA())</f>
        <v>#N/A</v>
      </c>
      <c r="F80" s="203" t="str">
        <f t="shared" ref="F80" ca="1" si="158">IF(AND($E81&lt;&gt;-1,$R80&gt;0),"F","")</f>
        <v/>
      </c>
      <c r="G80" s="207" t="str">
        <f ca="1">IF(OR(R80=0,R80=""),"Linha",IF(AND(OR(ACOMPANHAMENTO="PLE",$Q80&lt;&gt;2),$E81=0),"Linha",1-SUM(T80:AF80)))</f>
        <v>Linha</v>
      </c>
      <c r="H80" s="208" t="str">
        <f ca="1">IF($E81=0,OFFSET(ORÇAMENTO!O$15,$E80,0),IF($E81&lt;&gt;-1,OFFSET(QCI!$D$13,$E81,0),""))</f>
        <v/>
      </c>
      <c r="I80" s="209" t="str">
        <f ca="1">IF($E81=0,OFFSET(ORÇAMENTO!R$15,$E80,0),IF($E81&lt;&gt;-1,OFFSET(QCI!$G$13,$E81,0),""))</f>
        <v/>
      </c>
      <c r="J80" s="209"/>
      <c r="K80" s="209"/>
      <c r="L80" s="210">
        <f ca="1">IF($E81=0,OFFSET(ORÇAMENTO!C$15,$E80,0),1)</f>
        <v>1</v>
      </c>
      <c r="M80" s="211">
        <f ca="1">IF($E81=-1,0,IF(M$13&lt;=$L80,IF(ISERROR(MATCH(M$13,OFFSET($L80,1,0,ROW($L$164)-ROW($L80)-1),0)),ROW($L$164)-ROW($L80)-1,MATCH(M$13,OFFSET($L80,1,0,ROW($L$164)-ROW($L80)-1),0)-1),0))</f>
        <v>0</v>
      </c>
      <c r="N80" s="211">
        <f ca="1">IF($E81=-1,0,IF(N$13&lt;=$L80,IF(ISERROR(MATCH(N$13,OFFSET($L80,1,0,ROW($L$164)-ROW($L80)-1),0)),ROW($L$164)-ROW($L80)-1,MATCH(N$13,OFFSET($L80,1,0,ROW($L$164)-ROW($L80)-1),0)-1),0))</f>
        <v>0</v>
      </c>
      <c r="O80" s="211">
        <f ca="1">IF($E81=-1,0,IF(O$13&lt;=$L80,IF(ISERROR(MATCH(O$13,OFFSET($L80,1,0,ROW($L$164)-ROW($L80)-1),0)),ROW($L$164)-ROW($L80)-1,MATCH(O$13,OFFSET($L80,1,0,ROW($L$164)-ROW($L80)-1),0)-1),0))</f>
        <v>0</v>
      </c>
      <c r="P80" s="211">
        <f ca="1">IF($E81=-1,0,IF(P$13&lt;=$L80,IF(ISERROR(MATCH(P$13,OFFSET($L80,1,0,ROW($L$164)-ROW($L80)-1),0)),ROW($L$164)-ROW($L80)-1,MATCH(P$13,OFFSET($L80,1,0,ROW($L$164)-ROW($L80)-1),0)-1),0))</f>
        <v>0</v>
      </c>
      <c r="Q80" s="211">
        <f t="shared" ref="Q80" ca="1" si="159">MIN(OFFSET(L80,0,1,,L80))</f>
        <v>0</v>
      </c>
      <c r="R80" s="212" t="str">
        <f ca="1">IF($E81=0,OFFSET(ORÇAMENTO!X$15,$E80,0),IF($E81&lt;&gt;-1,OFFSET(QCI!$O$13,$E81,0),""))</f>
        <v/>
      </c>
      <c r="S80" s="213" t="s">
        <v>270</v>
      </c>
      <c r="T80" s="214" t="e">
        <f t="shared" ref="T80:AE80" ca="1" si="160">IF(AND($Q80=2,ACOMPANHAMENTO="BM"),T81,T82/$R80)</f>
        <v>#VALUE!</v>
      </c>
      <c r="U80" s="206" t="e">
        <f t="shared" ca="1" si="160"/>
        <v>#VALUE!</v>
      </c>
      <c r="V80" s="206" t="e">
        <f t="shared" ca="1" si="160"/>
        <v>#VALUE!</v>
      </c>
      <c r="W80" s="206" t="e">
        <f t="shared" ca="1" si="160"/>
        <v>#VALUE!</v>
      </c>
      <c r="X80" s="206" t="e">
        <f t="shared" ca="1" si="160"/>
        <v>#VALUE!</v>
      </c>
      <c r="Y80" s="206" t="e">
        <f t="shared" ca="1" si="160"/>
        <v>#VALUE!</v>
      </c>
      <c r="Z80" s="206" t="e">
        <f t="shared" ca="1" si="160"/>
        <v>#VALUE!</v>
      </c>
      <c r="AA80" s="206" t="e">
        <f t="shared" ca="1" si="160"/>
        <v>#VALUE!</v>
      </c>
      <c r="AB80" s="206" t="e">
        <f t="shared" ca="1" si="160"/>
        <v>#VALUE!</v>
      </c>
      <c r="AC80" s="206" t="e">
        <f t="shared" ca="1" si="160"/>
        <v>#VALUE!</v>
      </c>
      <c r="AD80" s="206" t="e">
        <f t="shared" ca="1" si="160"/>
        <v>#VALUE!</v>
      </c>
      <c r="AE80" s="215" t="e">
        <f t="shared" ca="1" si="160"/>
        <v>#VALUE!</v>
      </c>
    </row>
    <row r="81" spans="1:32" ht="12.75" hidden="1" customHeight="1" x14ac:dyDescent="0.25">
      <c r="D81" s="568"/>
      <c r="E81" s="203">
        <f ca="1">IF(ISERROR(E80),IF(1+COUNTIF($L$13:OFFSET(L80,-1,0),1)&lt;=MAX(QCI!$D$13:$D$24),1+COUNTIF($L$13:OFFSET(L80,-1,0),1),-1),0)</f>
        <v>-1</v>
      </c>
      <c r="F81" s="203" t="str">
        <f t="shared" ref="F81" ca="1" si="161">IF(AND($E81&lt;&gt;-1,$R80&gt;0),"F","")</f>
        <v/>
      </c>
      <c r="G81" s="216" t="str">
        <f ca="1">IF(OR(R80=0,R80=""),"vazia",IF(AND(OR(ACOMPANHAMENTO="PLE",$Q80&lt;&gt;2),$E81=0),"calculada","--&gt;"))</f>
        <v>vazia</v>
      </c>
      <c r="H81" s="217"/>
      <c r="I81" s="218" t="str">
        <f t="shared" ref="I81" ca="1" si="162">IF(AND(G80&lt;&gt;0,ISNUMBER(G80)),"PREENCHA ESTA LINHA --&gt;","")</f>
        <v/>
      </c>
      <c r="J81" s="218"/>
      <c r="K81" s="218"/>
      <c r="L81" s="219"/>
      <c r="M81" s="219"/>
      <c r="N81" s="219"/>
      <c r="O81" s="219"/>
      <c r="P81" s="219"/>
      <c r="Q81" s="219"/>
      <c r="R81" s="220"/>
      <c r="S81" s="221"/>
      <c r="T81" s="569"/>
      <c r="U81" s="568"/>
      <c r="V81" s="568"/>
      <c r="W81" s="568"/>
      <c r="X81" s="568"/>
      <c r="Y81" s="568"/>
      <c r="Z81" s="568"/>
      <c r="AA81" s="568"/>
      <c r="AB81" s="568"/>
      <c r="AC81" s="568"/>
      <c r="AD81" s="568"/>
      <c r="AE81" s="570"/>
      <c r="AF81" s="532"/>
    </row>
    <row r="82" spans="1:32" ht="0.15" hidden="1" customHeight="1" x14ac:dyDescent="0.25">
      <c r="D82" s="222">
        <f ca="1">IF($Q80=2,IF(AND(ACOMPANHAMENTO="PLE",ISNUMBER($E80)),SUMIF((OFFSET(CÁLCULO!$AM$15:$AW$15,$E80,0,OFFSET(ORÇAMENTO!$D$15,CRONO!$E80,0))),"="&amp;CRONO!D$12,OFFSET(CÁLCULO!$AB$15:$AL$15,$E80,0,OFFSET(ORÇAMENTO!$D$15,CRONO!$E80,0)))+IF(AND($E82&lt;&gt;"",$E82&lt;&gt;0),SUMIF(CÁLCULO!$AM$15:$AW$32,"="&amp;CRONO!D$12,CÁLCULO!$AB$15:$AL$32)/(ORÇAMENTO!$X$15-CÁLCULO.TotalAdmLocal)*CRONO!$E82,0),D81*$R80),SUMIF(OFFSET($R82,1,0,$Q80-2),($L80+1)&amp;"$",OFFSET(D82,1,0,$Q80-2)))</f>
        <v>0</v>
      </c>
      <c r="E82" s="203" t="str">
        <f ca="1">IF(OR($Q80&lt;&gt;2,AUTOEVENTO&lt;&gt;"manual",$E81&gt;0),"",SUMIF(OFFSET(CÁLCULO!$M$15,CRONO!$E80,0,OFFSET(ORÇAMENTO!$D$15,CRONO!$E80,0)),1,OFFSET(ORÇAMENTO!$X$15,CRONO!$E80,0,OFFSET(ORÇAMENTO!$D$15,CRONO!$E80,0))))</f>
        <v/>
      </c>
      <c r="G82" s="223"/>
      <c r="R82" s="224" t="str">
        <f t="shared" ref="R82" ca="1" si="163">L80&amp;"$"</f>
        <v>1$</v>
      </c>
      <c r="S82" s="225"/>
      <c r="T82" s="226">
        <f ca="1">IF($Q80=2,IF(AND(ACOMPANHAMENTO="PLE",ISNUMBER($E80)),SUMIF((OFFSET(CÁLCULO!$AM$15:$AW$15,$E80,0,OFFSET(ORÇAMENTO!$D$15,CRONO!$E80,0))),"&lt;="&amp;CRONO!T$12,OFFSET(CÁLCULO!$AB$15:$AL$15,$E80,0,OFFSET(ORÇAMENTO!$D$15,CRONO!$E80,0)))+IF(AND($E82&lt;&gt;"",$E82&lt;&gt;0),SUMIF(CÁLCULO!$AM$15:$AW$32,"&lt;="&amp;CRONO!T$12,CÁLCULO!$AB$15:$AL$32)/(ORÇAMENTO!$X$15-CÁLCULO.TotalAdmLocal)*CRONO!$E82,0),T81*$R80),SUMIF(OFFSET($R82,1,0,$Q80-2),($L80+1)&amp;"$",OFFSET(T82,1,0,$Q80-2)))</f>
        <v>0</v>
      </c>
      <c r="U82" s="222">
        <f ca="1">IF($Q80=2,IF(AND(ACOMPANHAMENTO="PLE",ISNUMBER($E80)),SUMIF((OFFSET(CÁLCULO!$AM$15:$AW$15,$E80,0,OFFSET(ORÇAMENTO!$D$15,CRONO!$E80,0))),"="&amp;CRONO!U$12,OFFSET(CÁLCULO!$AB$15:$AL$15,$E80,0,OFFSET(ORÇAMENTO!$D$15,CRONO!$E80,0)))+IF(AND($E82&lt;&gt;"",$E82&lt;&gt;0),SUMIF(CÁLCULO!$AM$15:$AW$32,"="&amp;CRONO!U$12,CÁLCULO!$AB$15:$AL$32)/(ORÇAMENTO!$X$15-CÁLCULO.TotalAdmLocal)*CRONO!$E82,0),U81*$R80),SUMIF(OFFSET($R82,1,0,$Q80-2),($L80+1)&amp;"$",OFFSET(U82,1,0,$Q80-2)))</f>
        <v>0</v>
      </c>
      <c r="V82" s="222">
        <f ca="1">IF($Q80=2,IF(AND(ACOMPANHAMENTO="PLE",ISNUMBER($E80)),SUMIF((OFFSET(CÁLCULO!$AM$15:$AW$15,$E80,0,OFFSET(ORÇAMENTO!$D$15,CRONO!$E80,0))),"="&amp;CRONO!V$12,OFFSET(CÁLCULO!$AB$15:$AL$15,$E80,0,OFFSET(ORÇAMENTO!$D$15,CRONO!$E80,0)))+IF(AND($E82&lt;&gt;"",$E82&lt;&gt;0),SUMIF(CÁLCULO!$AM$15:$AW$32,"="&amp;CRONO!V$12,CÁLCULO!$AB$15:$AL$32)/(ORÇAMENTO!$X$15-CÁLCULO.TotalAdmLocal)*CRONO!$E82,0),V81*$R80),SUMIF(OFFSET($R82,1,0,$Q80-2),($L80+1)&amp;"$",OFFSET(V82,1,0,$Q80-2)))</f>
        <v>0</v>
      </c>
      <c r="W82" s="222">
        <f ca="1">IF($Q80=2,IF(AND(ACOMPANHAMENTO="PLE",ISNUMBER($E80)),SUMIF((OFFSET(CÁLCULO!$AM$15:$AW$15,$E80,0,OFFSET(ORÇAMENTO!$D$15,CRONO!$E80,0))),"="&amp;CRONO!W$12,OFFSET(CÁLCULO!$AB$15:$AL$15,$E80,0,OFFSET(ORÇAMENTO!$D$15,CRONO!$E80,0)))+IF(AND($E82&lt;&gt;"",$E82&lt;&gt;0),SUMIF(CÁLCULO!$AM$15:$AW$32,"="&amp;CRONO!W$12,CÁLCULO!$AB$15:$AL$32)/(ORÇAMENTO!$X$15-CÁLCULO.TotalAdmLocal)*CRONO!$E82,0),W81*$R80),SUMIF(OFFSET($R82,1,0,$Q80-2),($L80+1)&amp;"$",OFFSET(W82,1,0,$Q80-2)))</f>
        <v>0</v>
      </c>
      <c r="X82" s="222">
        <f ca="1">IF($Q80=2,IF(AND(ACOMPANHAMENTO="PLE",ISNUMBER($E80)),SUMIF((OFFSET(CÁLCULO!$AM$15:$AW$15,$E80,0,OFFSET(ORÇAMENTO!$D$15,CRONO!$E80,0))),"="&amp;CRONO!X$12,OFFSET(CÁLCULO!$AB$15:$AL$15,$E80,0,OFFSET(ORÇAMENTO!$D$15,CRONO!$E80,0)))+IF(AND($E82&lt;&gt;"",$E82&lt;&gt;0),SUMIF(CÁLCULO!$AM$15:$AW$32,"="&amp;CRONO!X$12,CÁLCULO!$AB$15:$AL$32)/(ORÇAMENTO!$X$15-CÁLCULO.TotalAdmLocal)*CRONO!$E82,0),X81*$R80),SUMIF(OFFSET($R82,1,0,$Q80-2),($L80+1)&amp;"$",OFFSET(X82,1,0,$Q80-2)))</f>
        <v>0</v>
      </c>
      <c r="Y82" s="222">
        <f ca="1">IF($Q80=2,IF(AND(ACOMPANHAMENTO="PLE",ISNUMBER($E80)),SUMIF((OFFSET(CÁLCULO!$AM$15:$AW$15,$E80,0,OFFSET(ORÇAMENTO!$D$15,CRONO!$E80,0))),"="&amp;CRONO!Y$12,OFFSET(CÁLCULO!$AB$15:$AL$15,$E80,0,OFFSET(ORÇAMENTO!$D$15,CRONO!$E80,0)))+IF(AND($E82&lt;&gt;"",$E82&lt;&gt;0),SUMIF(CÁLCULO!$AM$15:$AW$32,"="&amp;CRONO!Y$12,CÁLCULO!$AB$15:$AL$32)/(ORÇAMENTO!$X$15-CÁLCULO.TotalAdmLocal)*CRONO!$E82,0),Y81*$R80),SUMIF(OFFSET($R82,1,0,$Q80-2),($L80+1)&amp;"$",OFFSET(Y82,1,0,$Q80-2)))</f>
        <v>0</v>
      </c>
      <c r="Z82" s="222">
        <f ca="1">IF($Q80=2,IF(AND(ACOMPANHAMENTO="PLE",ISNUMBER($E80)),SUMIF((OFFSET(CÁLCULO!$AM$15:$AW$15,$E80,0,OFFSET(ORÇAMENTO!$D$15,CRONO!$E80,0))),"="&amp;CRONO!Z$12,OFFSET(CÁLCULO!$AB$15:$AL$15,$E80,0,OFFSET(ORÇAMENTO!$D$15,CRONO!$E80,0)))+IF(AND($E82&lt;&gt;"",$E82&lt;&gt;0),SUMIF(CÁLCULO!$AM$15:$AW$32,"="&amp;CRONO!Z$12,CÁLCULO!$AB$15:$AL$32)/(ORÇAMENTO!$X$15-CÁLCULO.TotalAdmLocal)*CRONO!$E82,0),Z81*$R80),SUMIF(OFFSET($R82,1,0,$Q80-2),($L80+1)&amp;"$",OFFSET(Z82,1,0,$Q80-2)))</f>
        <v>0</v>
      </c>
      <c r="AA82" s="222">
        <f ca="1">IF($Q80=2,IF(AND(ACOMPANHAMENTO="PLE",ISNUMBER($E80)),SUMIF((OFFSET(CÁLCULO!$AM$15:$AW$15,$E80,0,OFFSET(ORÇAMENTO!$D$15,CRONO!$E80,0))),"="&amp;CRONO!AA$12,OFFSET(CÁLCULO!$AB$15:$AL$15,$E80,0,OFFSET(ORÇAMENTO!$D$15,CRONO!$E80,0)))+IF(AND($E82&lt;&gt;"",$E82&lt;&gt;0),SUMIF(CÁLCULO!$AM$15:$AW$32,"="&amp;CRONO!AA$12,CÁLCULO!$AB$15:$AL$32)/(ORÇAMENTO!$X$15-CÁLCULO.TotalAdmLocal)*CRONO!$E82,0),AA81*$R80),SUMIF(OFFSET($R82,1,0,$Q80-2),($L80+1)&amp;"$",OFFSET(AA82,1,0,$Q80-2)))</f>
        <v>0</v>
      </c>
      <c r="AB82" s="222">
        <f ca="1">IF($Q80=2,IF(AND(ACOMPANHAMENTO="PLE",ISNUMBER($E80)),SUMIF((OFFSET(CÁLCULO!$AM$15:$AW$15,$E80,0,OFFSET(ORÇAMENTO!$D$15,CRONO!$E80,0))),"="&amp;CRONO!AB$12,OFFSET(CÁLCULO!$AB$15:$AL$15,$E80,0,OFFSET(ORÇAMENTO!$D$15,CRONO!$E80,0)))+IF(AND($E82&lt;&gt;"",$E82&lt;&gt;0),SUMIF(CÁLCULO!$AM$15:$AW$32,"="&amp;CRONO!AB$12,CÁLCULO!$AB$15:$AL$32)/(ORÇAMENTO!$X$15-CÁLCULO.TotalAdmLocal)*CRONO!$E82,0),AB81*$R80),SUMIF(OFFSET($R82,1,0,$Q80-2),($L80+1)&amp;"$",OFFSET(AB82,1,0,$Q80-2)))</f>
        <v>0</v>
      </c>
      <c r="AC82" s="222">
        <f ca="1">IF($Q80=2,IF(AND(ACOMPANHAMENTO="PLE",ISNUMBER($E80)),SUMIF((OFFSET(CÁLCULO!$AM$15:$AW$15,$E80,0,OFFSET(ORÇAMENTO!$D$15,CRONO!$E80,0))),"="&amp;CRONO!AC$12,OFFSET(CÁLCULO!$AB$15:$AL$15,$E80,0,OFFSET(ORÇAMENTO!$D$15,CRONO!$E80,0)))+IF(AND($E82&lt;&gt;"",$E82&lt;&gt;0),SUMIF(CÁLCULO!$AM$15:$AW$32,"="&amp;CRONO!AC$12,CÁLCULO!$AB$15:$AL$32)/(ORÇAMENTO!$X$15-CÁLCULO.TotalAdmLocal)*CRONO!$E82,0),AC81*$R80),SUMIF(OFFSET($R82,1,0,$Q80-2),($L80+1)&amp;"$",OFFSET(AC82,1,0,$Q80-2)))</f>
        <v>0</v>
      </c>
      <c r="AD82" s="222">
        <f ca="1">IF($Q80=2,IF(AND(ACOMPANHAMENTO="PLE",ISNUMBER($E80)),SUMIF((OFFSET(CÁLCULO!$AM$15:$AW$15,$E80,0,OFFSET(ORÇAMENTO!$D$15,CRONO!$E80,0))),"="&amp;CRONO!AD$12,OFFSET(CÁLCULO!$AB$15:$AL$15,$E80,0,OFFSET(ORÇAMENTO!$D$15,CRONO!$E80,0)))+IF(AND($E82&lt;&gt;"",$E82&lt;&gt;0),SUMIF(CÁLCULO!$AM$15:$AW$32,"="&amp;CRONO!AD$12,CÁLCULO!$AB$15:$AL$32)/(ORÇAMENTO!$X$15-CÁLCULO.TotalAdmLocal)*CRONO!$E82,0),AD81*$R80),SUMIF(OFFSET($R82,1,0,$Q80-2),($L80+1)&amp;"$",OFFSET(AD82,1,0,$Q80-2)))</f>
        <v>0</v>
      </c>
      <c r="AE82" s="227">
        <f ca="1">IF($Q80=2,IF(AND(ACOMPANHAMENTO="PLE",ISNUMBER($E80)),SUMIF((OFFSET(CÁLCULO!$AM$15:$AW$15,$E80,0,OFFSET(ORÇAMENTO!$D$15,CRONO!$E80,0))),"="&amp;CRONO!AE$12,OFFSET(CÁLCULO!$AB$15:$AL$15,$E80,0,OFFSET(ORÇAMENTO!$D$15,CRONO!$E80,0)))+IF(AND($E82&lt;&gt;"",$E82&lt;&gt;0),SUMIF(CÁLCULO!$AM$15:$AW$32,"="&amp;CRONO!AE$12,CÁLCULO!$AB$15:$AL$32)/(ORÇAMENTO!$X$15-CÁLCULO.TotalAdmLocal)*CRONO!$E82,0),AE81*$R80),SUMIF(OFFSET($R82,1,0,$Q80-2),($L80+1)&amp;"$",OFFSET(AE82,1,0,$Q80-2)))</f>
        <v>0</v>
      </c>
    </row>
    <row r="83" spans="1:32" hidden="1" x14ac:dyDescent="0.25">
      <c r="A83" s="203">
        <f t="shared" ref="A83" ca="1" si="164">OFFSET(A83,-3,0)+1</f>
        <v>24</v>
      </c>
      <c r="B83" s="203">
        <f ca="1">IF($Q83&lt;&gt;2,0,IF($R83=0,1,IF(E84&gt;0,OFFSET(QCI!$M$13,SUBSTITUTE(E84,".",""),0),OFFSET(ORÇAMENTO!$AA$15,CRONO!$E83,0))/$R83))</f>
        <v>0</v>
      </c>
      <c r="C83" s="203">
        <f ca="1">IF($Q83&lt;&gt;2,0,IF($R83=0,1,IF(E84&gt;0,OFFSET(QCI!$N$13,SUBSTITUTE(E84,".",""),0),OFFSET(ORÇAMENTO!$AB$15,CRONO!$E83,0))/$R83))</f>
        <v>0</v>
      </c>
      <c r="D83" s="206" t="e">
        <f ca="1">IF(AND($Q83=2,ACOMPANHAMENTO="BM"),D84,D85/$R83)</f>
        <v>#VALUE!</v>
      </c>
      <c r="E83" s="203" t="e">
        <f ca="1">IF(A83&lt;=ORÇAMENTO.MáximoListaCrono,MATCH(A83,ORÇAMENTO.ListaCrono,0),NA())</f>
        <v>#N/A</v>
      </c>
      <c r="F83" s="203" t="str">
        <f t="shared" ref="F83" ca="1" si="165">IF(AND($E84&lt;&gt;-1,$R83&gt;0),"F","")</f>
        <v/>
      </c>
      <c r="G83" s="207" t="str">
        <f ca="1">IF(OR(R83=0,R83=""),"Linha",IF(AND(OR(ACOMPANHAMENTO="PLE",$Q83&lt;&gt;2),$E84=0),"Linha",1-SUM(T83:AF83)))</f>
        <v>Linha</v>
      </c>
      <c r="H83" s="208" t="str">
        <f ca="1">IF($E84=0,OFFSET(ORÇAMENTO!O$15,$E83,0),IF($E84&lt;&gt;-1,OFFSET(QCI!$D$13,$E84,0),""))</f>
        <v/>
      </c>
      <c r="I83" s="209" t="str">
        <f ca="1">IF($E84=0,OFFSET(ORÇAMENTO!R$15,$E83,0),IF($E84&lt;&gt;-1,OFFSET(QCI!$G$13,$E84,0),""))</f>
        <v/>
      </c>
      <c r="J83" s="209"/>
      <c r="K83" s="209"/>
      <c r="L83" s="210">
        <f ca="1">IF($E84=0,OFFSET(ORÇAMENTO!C$15,$E83,0),1)</f>
        <v>1</v>
      </c>
      <c r="M83" s="211">
        <f ca="1">IF($E84=-1,0,IF(M$13&lt;=$L83,IF(ISERROR(MATCH(M$13,OFFSET($L83,1,0,ROW($L$164)-ROW($L83)-1),0)),ROW($L$164)-ROW($L83)-1,MATCH(M$13,OFFSET($L83,1,0,ROW($L$164)-ROW($L83)-1),0)-1),0))</f>
        <v>0</v>
      </c>
      <c r="N83" s="211">
        <f ca="1">IF($E84=-1,0,IF(N$13&lt;=$L83,IF(ISERROR(MATCH(N$13,OFFSET($L83,1,0,ROW($L$164)-ROW($L83)-1),0)),ROW($L$164)-ROW($L83)-1,MATCH(N$13,OFFSET($L83,1,0,ROW($L$164)-ROW($L83)-1),0)-1),0))</f>
        <v>0</v>
      </c>
      <c r="O83" s="211">
        <f ca="1">IF($E84=-1,0,IF(O$13&lt;=$L83,IF(ISERROR(MATCH(O$13,OFFSET($L83,1,0,ROW($L$164)-ROW($L83)-1),0)),ROW($L$164)-ROW($L83)-1,MATCH(O$13,OFFSET($L83,1,0,ROW($L$164)-ROW($L83)-1),0)-1),0))</f>
        <v>0</v>
      </c>
      <c r="P83" s="211">
        <f ca="1">IF($E84=-1,0,IF(P$13&lt;=$L83,IF(ISERROR(MATCH(P$13,OFFSET($L83,1,0,ROW($L$164)-ROW($L83)-1),0)),ROW($L$164)-ROW($L83)-1,MATCH(P$13,OFFSET($L83,1,0,ROW($L$164)-ROW($L83)-1),0)-1),0))</f>
        <v>0</v>
      </c>
      <c r="Q83" s="211">
        <f t="shared" ref="Q83" ca="1" si="166">MIN(OFFSET(L83,0,1,,L83))</f>
        <v>0</v>
      </c>
      <c r="R83" s="212" t="str">
        <f ca="1">IF($E84=0,OFFSET(ORÇAMENTO!X$15,$E83,0),IF($E84&lt;&gt;-1,OFFSET(QCI!$O$13,$E84,0),""))</f>
        <v/>
      </c>
      <c r="S83" s="213" t="s">
        <v>270</v>
      </c>
      <c r="T83" s="214" t="e">
        <f t="shared" ref="T83:AE83" ca="1" si="167">IF(AND($Q83=2,ACOMPANHAMENTO="BM"),T84,T85/$R83)</f>
        <v>#VALUE!</v>
      </c>
      <c r="U83" s="206" t="e">
        <f t="shared" ca="1" si="167"/>
        <v>#VALUE!</v>
      </c>
      <c r="V83" s="206" t="e">
        <f t="shared" ca="1" si="167"/>
        <v>#VALUE!</v>
      </c>
      <c r="W83" s="206" t="e">
        <f t="shared" ca="1" si="167"/>
        <v>#VALUE!</v>
      </c>
      <c r="X83" s="206" t="e">
        <f t="shared" ca="1" si="167"/>
        <v>#VALUE!</v>
      </c>
      <c r="Y83" s="206" t="e">
        <f t="shared" ca="1" si="167"/>
        <v>#VALUE!</v>
      </c>
      <c r="Z83" s="206" t="e">
        <f t="shared" ca="1" si="167"/>
        <v>#VALUE!</v>
      </c>
      <c r="AA83" s="206" t="e">
        <f t="shared" ca="1" si="167"/>
        <v>#VALUE!</v>
      </c>
      <c r="AB83" s="206" t="e">
        <f t="shared" ca="1" si="167"/>
        <v>#VALUE!</v>
      </c>
      <c r="AC83" s="206" t="e">
        <f t="shared" ca="1" si="167"/>
        <v>#VALUE!</v>
      </c>
      <c r="AD83" s="206" t="e">
        <f t="shared" ca="1" si="167"/>
        <v>#VALUE!</v>
      </c>
      <c r="AE83" s="215" t="e">
        <f t="shared" ca="1" si="167"/>
        <v>#VALUE!</v>
      </c>
    </row>
    <row r="84" spans="1:32" ht="12.75" hidden="1" customHeight="1" x14ac:dyDescent="0.25">
      <c r="D84" s="568"/>
      <c r="E84" s="203">
        <f ca="1">IF(ISERROR(E83),IF(1+COUNTIF($L$13:OFFSET(L83,-1,0),1)&lt;=MAX(QCI!$D$13:$D$24),1+COUNTIF($L$13:OFFSET(L83,-1,0),1),-1),0)</f>
        <v>-1</v>
      </c>
      <c r="F84" s="203" t="str">
        <f t="shared" ref="F84" ca="1" si="168">IF(AND($E84&lt;&gt;-1,$R83&gt;0),"F","")</f>
        <v/>
      </c>
      <c r="G84" s="216" t="str">
        <f ca="1">IF(OR(R83=0,R83=""),"vazia",IF(AND(OR(ACOMPANHAMENTO="PLE",$Q83&lt;&gt;2),$E84=0),"calculada","--&gt;"))</f>
        <v>vazia</v>
      </c>
      <c r="H84" s="217"/>
      <c r="I84" s="218" t="str">
        <f t="shared" ref="I84" ca="1" si="169">IF(AND(G83&lt;&gt;0,ISNUMBER(G83)),"PREENCHA ESTA LINHA --&gt;","")</f>
        <v/>
      </c>
      <c r="J84" s="218"/>
      <c r="K84" s="218"/>
      <c r="L84" s="219"/>
      <c r="M84" s="219"/>
      <c r="N84" s="219"/>
      <c r="O84" s="219"/>
      <c r="P84" s="219"/>
      <c r="Q84" s="219"/>
      <c r="R84" s="220"/>
      <c r="S84" s="221"/>
      <c r="T84" s="569"/>
      <c r="U84" s="568"/>
      <c r="V84" s="568"/>
      <c r="W84" s="568"/>
      <c r="X84" s="568"/>
      <c r="Y84" s="568"/>
      <c r="Z84" s="568"/>
      <c r="AA84" s="568"/>
      <c r="AB84" s="568"/>
      <c r="AC84" s="568"/>
      <c r="AD84" s="568"/>
      <c r="AE84" s="570"/>
      <c r="AF84" s="532"/>
    </row>
    <row r="85" spans="1:32" ht="0.15" hidden="1" customHeight="1" x14ac:dyDescent="0.25">
      <c r="D85" s="222">
        <f ca="1">IF($Q83=2,IF(AND(ACOMPANHAMENTO="PLE",ISNUMBER($E83)),SUMIF((OFFSET(CÁLCULO!$AM$15:$AW$15,$E83,0,OFFSET(ORÇAMENTO!$D$15,CRONO!$E83,0))),"="&amp;CRONO!D$12,OFFSET(CÁLCULO!$AB$15:$AL$15,$E83,0,OFFSET(ORÇAMENTO!$D$15,CRONO!$E83,0)))+IF(AND($E85&lt;&gt;"",$E85&lt;&gt;0),SUMIF(CÁLCULO!$AM$15:$AW$32,"="&amp;CRONO!D$12,CÁLCULO!$AB$15:$AL$32)/(ORÇAMENTO!$X$15-CÁLCULO.TotalAdmLocal)*CRONO!$E85,0),D84*$R83),SUMIF(OFFSET($R85,1,0,$Q83-2),($L83+1)&amp;"$",OFFSET(D85,1,0,$Q83-2)))</f>
        <v>0</v>
      </c>
      <c r="E85" s="203" t="str">
        <f ca="1">IF(OR($Q83&lt;&gt;2,AUTOEVENTO&lt;&gt;"manual",$E84&gt;0),"",SUMIF(OFFSET(CÁLCULO!$M$15,CRONO!$E83,0,OFFSET(ORÇAMENTO!$D$15,CRONO!$E83,0)),1,OFFSET(ORÇAMENTO!$X$15,CRONO!$E83,0,OFFSET(ORÇAMENTO!$D$15,CRONO!$E83,0))))</f>
        <v/>
      </c>
      <c r="G85" s="223"/>
      <c r="R85" s="224" t="str">
        <f t="shared" ref="R85" ca="1" si="170">L83&amp;"$"</f>
        <v>1$</v>
      </c>
      <c r="S85" s="225"/>
      <c r="T85" s="226">
        <f ca="1">IF($Q83=2,IF(AND(ACOMPANHAMENTO="PLE",ISNUMBER($E83)),SUMIF((OFFSET(CÁLCULO!$AM$15:$AW$15,$E83,0,OFFSET(ORÇAMENTO!$D$15,CRONO!$E83,0))),"&lt;="&amp;CRONO!T$12,OFFSET(CÁLCULO!$AB$15:$AL$15,$E83,0,OFFSET(ORÇAMENTO!$D$15,CRONO!$E83,0)))+IF(AND($E85&lt;&gt;"",$E85&lt;&gt;0),SUMIF(CÁLCULO!$AM$15:$AW$32,"&lt;="&amp;CRONO!T$12,CÁLCULO!$AB$15:$AL$32)/(ORÇAMENTO!$X$15-CÁLCULO.TotalAdmLocal)*CRONO!$E85,0),T84*$R83),SUMIF(OFFSET($R85,1,0,$Q83-2),($L83+1)&amp;"$",OFFSET(T85,1,0,$Q83-2)))</f>
        <v>0</v>
      </c>
      <c r="U85" s="222">
        <f ca="1">IF($Q83=2,IF(AND(ACOMPANHAMENTO="PLE",ISNUMBER($E83)),SUMIF((OFFSET(CÁLCULO!$AM$15:$AW$15,$E83,0,OFFSET(ORÇAMENTO!$D$15,CRONO!$E83,0))),"="&amp;CRONO!U$12,OFFSET(CÁLCULO!$AB$15:$AL$15,$E83,0,OFFSET(ORÇAMENTO!$D$15,CRONO!$E83,0)))+IF(AND($E85&lt;&gt;"",$E85&lt;&gt;0),SUMIF(CÁLCULO!$AM$15:$AW$32,"="&amp;CRONO!U$12,CÁLCULO!$AB$15:$AL$32)/(ORÇAMENTO!$X$15-CÁLCULO.TotalAdmLocal)*CRONO!$E85,0),U84*$R83),SUMIF(OFFSET($R85,1,0,$Q83-2),($L83+1)&amp;"$",OFFSET(U85,1,0,$Q83-2)))</f>
        <v>0</v>
      </c>
      <c r="V85" s="222">
        <f ca="1">IF($Q83=2,IF(AND(ACOMPANHAMENTO="PLE",ISNUMBER($E83)),SUMIF((OFFSET(CÁLCULO!$AM$15:$AW$15,$E83,0,OFFSET(ORÇAMENTO!$D$15,CRONO!$E83,0))),"="&amp;CRONO!V$12,OFFSET(CÁLCULO!$AB$15:$AL$15,$E83,0,OFFSET(ORÇAMENTO!$D$15,CRONO!$E83,0)))+IF(AND($E85&lt;&gt;"",$E85&lt;&gt;0),SUMIF(CÁLCULO!$AM$15:$AW$32,"="&amp;CRONO!V$12,CÁLCULO!$AB$15:$AL$32)/(ORÇAMENTO!$X$15-CÁLCULO.TotalAdmLocal)*CRONO!$E85,0),V84*$R83),SUMIF(OFFSET($R85,1,0,$Q83-2),($L83+1)&amp;"$",OFFSET(V85,1,0,$Q83-2)))</f>
        <v>0</v>
      </c>
      <c r="W85" s="222">
        <f ca="1">IF($Q83=2,IF(AND(ACOMPANHAMENTO="PLE",ISNUMBER($E83)),SUMIF((OFFSET(CÁLCULO!$AM$15:$AW$15,$E83,0,OFFSET(ORÇAMENTO!$D$15,CRONO!$E83,0))),"="&amp;CRONO!W$12,OFFSET(CÁLCULO!$AB$15:$AL$15,$E83,0,OFFSET(ORÇAMENTO!$D$15,CRONO!$E83,0)))+IF(AND($E85&lt;&gt;"",$E85&lt;&gt;0),SUMIF(CÁLCULO!$AM$15:$AW$32,"="&amp;CRONO!W$12,CÁLCULO!$AB$15:$AL$32)/(ORÇAMENTO!$X$15-CÁLCULO.TotalAdmLocal)*CRONO!$E85,0),W84*$R83),SUMIF(OFFSET($R85,1,0,$Q83-2),($L83+1)&amp;"$",OFFSET(W85,1,0,$Q83-2)))</f>
        <v>0</v>
      </c>
      <c r="X85" s="222">
        <f ca="1">IF($Q83=2,IF(AND(ACOMPANHAMENTO="PLE",ISNUMBER($E83)),SUMIF((OFFSET(CÁLCULO!$AM$15:$AW$15,$E83,0,OFFSET(ORÇAMENTO!$D$15,CRONO!$E83,0))),"="&amp;CRONO!X$12,OFFSET(CÁLCULO!$AB$15:$AL$15,$E83,0,OFFSET(ORÇAMENTO!$D$15,CRONO!$E83,0)))+IF(AND($E85&lt;&gt;"",$E85&lt;&gt;0),SUMIF(CÁLCULO!$AM$15:$AW$32,"="&amp;CRONO!X$12,CÁLCULO!$AB$15:$AL$32)/(ORÇAMENTO!$X$15-CÁLCULO.TotalAdmLocal)*CRONO!$E85,0),X84*$R83),SUMIF(OFFSET($R85,1,0,$Q83-2),($L83+1)&amp;"$",OFFSET(X85,1,0,$Q83-2)))</f>
        <v>0</v>
      </c>
      <c r="Y85" s="222">
        <f ca="1">IF($Q83=2,IF(AND(ACOMPANHAMENTO="PLE",ISNUMBER($E83)),SUMIF((OFFSET(CÁLCULO!$AM$15:$AW$15,$E83,0,OFFSET(ORÇAMENTO!$D$15,CRONO!$E83,0))),"="&amp;CRONO!Y$12,OFFSET(CÁLCULO!$AB$15:$AL$15,$E83,0,OFFSET(ORÇAMENTO!$D$15,CRONO!$E83,0)))+IF(AND($E85&lt;&gt;"",$E85&lt;&gt;0),SUMIF(CÁLCULO!$AM$15:$AW$32,"="&amp;CRONO!Y$12,CÁLCULO!$AB$15:$AL$32)/(ORÇAMENTO!$X$15-CÁLCULO.TotalAdmLocal)*CRONO!$E85,0),Y84*$R83),SUMIF(OFFSET($R85,1,0,$Q83-2),($L83+1)&amp;"$",OFFSET(Y85,1,0,$Q83-2)))</f>
        <v>0</v>
      </c>
      <c r="Z85" s="222">
        <f ca="1">IF($Q83=2,IF(AND(ACOMPANHAMENTO="PLE",ISNUMBER($E83)),SUMIF((OFFSET(CÁLCULO!$AM$15:$AW$15,$E83,0,OFFSET(ORÇAMENTO!$D$15,CRONO!$E83,0))),"="&amp;CRONO!Z$12,OFFSET(CÁLCULO!$AB$15:$AL$15,$E83,0,OFFSET(ORÇAMENTO!$D$15,CRONO!$E83,0)))+IF(AND($E85&lt;&gt;"",$E85&lt;&gt;0),SUMIF(CÁLCULO!$AM$15:$AW$32,"="&amp;CRONO!Z$12,CÁLCULO!$AB$15:$AL$32)/(ORÇAMENTO!$X$15-CÁLCULO.TotalAdmLocal)*CRONO!$E85,0),Z84*$R83),SUMIF(OFFSET($R85,1,0,$Q83-2),($L83+1)&amp;"$",OFFSET(Z85,1,0,$Q83-2)))</f>
        <v>0</v>
      </c>
      <c r="AA85" s="222">
        <f ca="1">IF($Q83=2,IF(AND(ACOMPANHAMENTO="PLE",ISNUMBER($E83)),SUMIF((OFFSET(CÁLCULO!$AM$15:$AW$15,$E83,0,OFFSET(ORÇAMENTO!$D$15,CRONO!$E83,0))),"="&amp;CRONO!AA$12,OFFSET(CÁLCULO!$AB$15:$AL$15,$E83,0,OFFSET(ORÇAMENTO!$D$15,CRONO!$E83,0)))+IF(AND($E85&lt;&gt;"",$E85&lt;&gt;0),SUMIF(CÁLCULO!$AM$15:$AW$32,"="&amp;CRONO!AA$12,CÁLCULO!$AB$15:$AL$32)/(ORÇAMENTO!$X$15-CÁLCULO.TotalAdmLocal)*CRONO!$E85,0),AA84*$R83),SUMIF(OFFSET($R85,1,0,$Q83-2),($L83+1)&amp;"$",OFFSET(AA85,1,0,$Q83-2)))</f>
        <v>0</v>
      </c>
      <c r="AB85" s="222">
        <f ca="1">IF($Q83=2,IF(AND(ACOMPANHAMENTO="PLE",ISNUMBER($E83)),SUMIF((OFFSET(CÁLCULO!$AM$15:$AW$15,$E83,0,OFFSET(ORÇAMENTO!$D$15,CRONO!$E83,0))),"="&amp;CRONO!AB$12,OFFSET(CÁLCULO!$AB$15:$AL$15,$E83,0,OFFSET(ORÇAMENTO!$D$15,CRONO!$E83,0)))+IF(AND($E85&lt;&gt;"",$E85&lt;&gt;0),SUMIF(CÁLCULO!$AM$15:$AW$32,"="&amp;CRONO!AB$12,CÁLCULO!$AB$15:$AL$32)/(ORÇAMENTO!$X$15-CÁLCULO.TotalAdmLocal)*CRONO!$E85,0),AB84*$R83),SUMIF(OFFSET($R85,1,0,$Q83-2),($L83+1)&amp;"$",OFFSET(AB85,1,0,$Q83-2)))</f>
        <v>0</v>
      </c>
      <c r="AC85" s="222">
        <f ca="1">IF($Q83=2,IF(AND(ACOMPANHAMENTO="PLE",ISNUMBER($E83)),SUMIF((OFFSET(CÁLCULO!$AM$15:$AW$15,$E83,0,OFFSET(ORÇAMENTO!$D$15,CRONO!$E83,0))),"="&amp;CRONO!AC$12,OFFSET(CÁLCULO!$AB$15:$AL$15,$E83,0,OFFSET(ORÇAMENTO!$D$15,CRONO!$E83,0)))+IF(AND($E85&lt;&gt;"",$E85&lt;&gt;0),SUMIF(CÁLCULO!$AM$15:$AW$32,"="&amp;CRONO!AC$12,CÁLCULO!$AB$15:$AL$32)/(ORÇAMENTO!$X$15-CÁLCULO.TotalAdmLocal)*CRONO!$E85,0),AC84*$R83),SUMIF(OFFSET($R85,1,0,$Q83-2),($L83+1)&amp;"$",OFFSET(AC85,1,0,$Q83-2)))</f>
        <v>0</v>
      </c>
      <c r="AD85" s="222">
        <f ca="1">IF($Q83=2,IF(AND(ACOMPANHAMENTO="PLE",ISNUMBER($E83)),SUMIF((OFFSET(CÁLCULO!$AM$15:$AW$15,$E83,0,OFFSET(ORÇAMENTO!$D$15,CRONO!$E83,0))),"="&amp;CRONO!AD$12,OFFSET(CÁLCULO!$AB$15:$AL$15,$E83,0,OFFSET(ORÇAMENTO!$D$15,CRONO!$E83,0)))+IF(AND($E85&lt;&gt;"",$E85&lt;&gt;0),SUMIF(CÁLCULO!$AM$15:$AW$32,"="&amp;CRONO!AD$12,CÁLCULO!$AB$15:$AL$32)/(ORÇAMENTO!$X$15-CÁLCULO.TotalAdmLocal)*CRONO!$E85,0),AD84*$R83),SUMIF(OFFSET($R85,1,0,$Q83-2),($L83+1)&amp;"$",OFFSET(AD85,1,0,$Q83-2)))</f>
        <v>0</v>
      </c>
      <c r="AE85" s="227">
        <f ca="1">IF($Q83=2,IF(AND(ACOMPANHAMENTO="PLE",ISNUMBER($E83)),SUMIF((OFFSET(CÁLCULO!$AM$15:$AW$15,$E83,0,OFFSET(ORÇAMENTO!$D$15,CRONO!$E83,0))),"="&amp;CRONO!AE$12,OFFSET(CÁLCULO!$AB$15:$AL$15,$E83,0,OFFSET(ORÇAMENTO!$D$15,CRONO!$E83,0)))+IF(AND($E85&lt;&gt;"",$E85&lt;&gt;0),SUMIF(CÁLCULO!$AM$15:$AW$32,"="&amp;CRONO!AE$12,CÁLCULO!$AB$15:$AL$32)/(ORÇAMENTO!$X$15-CÁLCULO.TotalAdmLocal)*CRONO!$E85,0),AE84*$R83),SUMIF(OFFSET($R85,1,0,$Q83-2),($L83+1)&amp;"$",OFFSET(AE85,1,0,$Q83-2)))</f>
        <v>0</v>
      </c>
    </row>
    <row r="86" spans="1:32" hidden="1" x14ac:dyDescent="0.25">
      <c r="A86" s="203">
        <f t="shared" ref="A86" ca="1" si="171">OFFSET(A86,-3,0)+1</f>
        <v>25</v>
      </c>
      <c r="B86" s="203">
        <f ca="1">IF($Q86&lt;&gt;2,0,IF($R86=0,1,IF(E87&gt;0,OFFSET(QCI!$M$13,SUBSTITUTE(E87,".",""),0),OFFSET(ORÇAMENTO!$AA$15,CRONO!$E86,0))/$R86))</f>
        <v>0</v>
      </c>
      <c r="C86" s="203">
        <f ca="1">IF($Q86&lt;&gt;2,0,IF($R86=0,1,IF(E87&gt;0,OFFSET(QCI!$N$13,SUBSTITUTE(E87,".",""),0),OFFSET(ORÇAMENTO!$AB$15,CRONO!$E86,0))/$R86))</f>
        <v>0</v>
      </c>
      <c r="D86" s="206" t="e">
        <f ca="1">IF(AND($Q86=2,ACOMPANHAMENTO="BM"),D87,D88/$R86)</f>
        <v>#VALUE!</v>
      </c>
      <c r="E86" s="203" t="e">
        <f ca="1">IF(A86&lt;=ORÇAMENTO.MáximoListaCrono,MATCH(A86,ORÇAMENTO.ListaCrono,0),NA())</f>
        <v>#N/A</v>
      </c>
      <c r="F86" s="203" t="str">
        <f t="shared" ref="F86" ca="1" si="172">IF(AND($E87&lt;&gt;-1,$R86&gt;0),"F","")</f>
        <v/>
      </c>
      <c r="G86" s="207" t="str">
        <f ca="1">IF(OR(R86=0,R86=""),"Linha",IF(AND(OR(ACOMPANHAMENTO="PLE",$Q86&lt;&gt;2),$E87=0),"Linha",1-SUM(T86:AF86)))</f>
        <v>Linha</v>
      </c>
      <c r="H86" s="208" t="str">
        <f ca="1">IF($E87=0,OFFSET(ORÇAMENTO!O$15,$E86,0),IF($E87&lt;&gt;-1,OFFSET(QCI!$D$13,$E87,0),""))</f>
        <v/>
      </c>
      <c r="I86" s="209" t="str">
        <f ca="1">IF($E87=0,OFFSET(ORÇAMENTO!R$15,$E86,0),IF($E87&lt;&gt;-1,OFFSET(QCI!$G$13,$E87,0),""))</f>
        <v/>
      </c>
      <c r="J86" s="209"/>
      <c r="K86" s="209"/>
      <c r="L86" s="210">
        <f ca="1">IF($E87=0,OFFSET(ORÇAMENTO!C$15,$E86,0),1)</f>
        <v>1</v>
      </c>
      <c r="M86" s="211">
        <f ca="1">IF($E87=-1,0,IF(M$13&lt;=$L86,IF(ISERROR(MATCH(M$13,OFFSET($L86,1,0,ROW($L$164)-ROW($L86)-1),0)),ROW($L$164)-ROW($L86)-1,MATCH(M$13,OFFSET($L86,1,0,ROW($L$164)-ROW($L86)-1),0)-1),0))</f>
        <v>0</v>
      </c>
      <c r="N86" s="211">
        <f ca="1">IF($E87=-1,0,IF(N$13&lt;=$L86,IF(ISERROR(MATCH(N$13,OFFSET($L86,1,0,ROW($L$164)-ROW($L86)-1),0)),ROW($L$164)-ROW($L86)-1,MATCH(N$13,OFFSET($L86,1,0,ROW($L$164)-ROW($L86)-1),0)-1),0))</f>
        <v>0</v>
      </c>
      <c r="O86" s="211">
        <f ca="1">IF($E87=-1,0,IF(O$13&lt;=$L86,IF(ISERROR(MATCH(O$13,OFFSET($L86,1,0,ROW($L$164)-ROW($L86)-1),0)),ROW($L$164)-ROW($L86)-1,MATCH(O$13,OFFSET($L86,1,0,ROW($L$164)-ROW($L86)-1),0)-1),0))</f>
        <v>0</v>
      </c>
      <c r="P86" s="211">
        <f ca="1">IF($E87=-1,0,IF(P$13&lt;=$L86,IF(ISERROR(MATCH(P$13,OFFSET($L86,1,0,ROW($L$164)-ROW($L86)-1),0)),ROW($L$164)-ROW($L86)-1,MATCH(P$13,OFFSET($L86,1,0,ROW($L$164)-ROW($L86)-1),0)-1),0))</f>
        <v>0</v>
      </c>
      <c r="Q86" s="211">
        <f t="shared" ref="Q86" ca="1" si="173">MIN(OFFSET(L86,0,1,,L86))</f>
        <v>0</v>
      </c>
      <c r="R86" s="212" t="str">
        <f ca="1">IF($E87=0,OFFSET(ORÇAMENTO!X$15,$E86,0),IF($E87&lt;&gt;-1,OFFSET(QCI!$O$13,$E87,0),""))</f>
        <v/>
      </c>
      <c r="S86" s="213" t="s">
        <v>270</v>
      </c>
      <c r="T86" s="214" t="e">
        <f t="shared" ref="T86:AE86" ca="1" si="174">IF(AND($Q86=2,ACOMPANHAMENTO="BM"),T87,T88/$R86)</f>
        <v>#VALUE!</v>
      </c>
      <c r="U86" s="206" t="e">
        <f t="shared" ca="1" si="174"/>
        <v>#VALUE!</v>
      </c>
      <c r="V86" s="206" t="e">
        <f t="shared" ca="1" si="174"/>
        <v>#VALUE!</v>
      </c>
      <c r="W86" s="206" t="e">
        <f t="shared" ca="1" si="174"/>
        <v>#VALUE!</v>
      </c>
      <c r="X86" s="206" t="e">
        <f t="shared" ca="1" si="174"/>
        <v>#VALUE!</v>
      </c>
      <c r="Y86" s="206" t="e">
        <f t="shared" ca="1" si="174"/>
        <v>#VALUE!</v>
      </c>
      <c r="Z86" s="206" t="e">
        <f t="shared" ca="1" si="174"/>
        <v>#VALUE!</v>
      </c>
      <c r="AA86" s="206" t="e">
        <f t="shared" ca="1" si="174"/>
        <v>#VALUE!</v>
      </c>
      <c r="AB86" s="206" t="e">
        <f t="shared" ca="1" si="174"/>
        <v>#VALUE!</v>
      </c>
      <c r="AC86" s="206" t="e">
        <f t="shared" ca="1" si="174"/>
        <v>#VALUE!</v>
      </c>
      <c r="AD86" s="206" t="e">
        <f t="shared" ca="1" si="174"/>
        <v>#VALUE!</v>
      </c>
      <c r="AE86" s="215" t="e">
        <f t="shared" ca="1" si="174"/>
        <v>#VALUE!</v>
      </c>
    </row>
    <row r="87" spans="1:32" ht="12.75" hidden="1" customHeight="1" x14ac:dyDescent="0.25">
      <c r="D87" s="568"/>
      <c r="E87" s="203">
        <f ca="1">IF(ISERROR(E86),IF(1+COUNTIF($L$13:OFFSET(L86,-1,0),1)&lt;=MAX(QCI!$D$13:$D$24),1+COUNTIF($L$13:OFFSET(L86,-1,0),1),-1),0)</f>
        <v>-1</v>
      </c>
      <c r="F87" s="203" t="str">
        <f t="shared" ref="F87" ca="1" si="175">IF(AND($E87&lt;&gt;-1,$R86&gt;0),"F","")</f>
        <v/>
      </c>
      <c r="G87" s="216" t="str">
        <f ca="1">IF(OR(R86=0,R86=""),"vazia",IF(AND(OR(ACOMPANHAMENTO="PLE",$Q86&lt;&gt;2),$E87=0),"calculada","--&gt;"))</f>
        <v>vazia</v>
      </c>
      <c r="H87" s="217"/>
      <c r="I87" s="218" t="str">
        <f t="shared" ref="I87" ca="1" si="176">IF(AND(G86&lt;&gt;0,ISNUMBER(G86)),"PREENCHA ESTA LINHA --&gt;","")</f>
        <v/>
      </c>
      <c r="J87" s="218"/>
      <c r="K87" s="218"/>
      <c r="L87" s="219"/>
      <c r="M87" s="219"/>
      <c r="N87" s="219"/>
      <c r="O87" s="219"/>
      <c r="P87" s="219"/>
      <c r="Q87" s="219"/>
      <c r="R87" s="220"/>
      <c r="S87" s="221"/>
      <c r="T87" s="569"/>
      <c r="U87" s="568"/>
      <c r="V87" s="568"/>
      <c r="W87" s="568"/>
      <c r="X87" s="568"/>
      <c r="Y87" s="568"/>
      <c r="Z87" s="568"/>
      <c r="AA87" s="568"/>
      <c r="AB87" s="568"/>
      <c r="AC87" s="568"/>
      <c r="AD87" s="568"/>
      <c r="AE87" s="570"/>
      <c r="AF87" s="532"/>
    </row>
    <row r="88" spans="1:32" ht="0.15" hidden="1" customHeight="1" x14ac:dyDescent="0.25">
      <c r="D88" s="222">
        <f ca="1">IF($Q86=2,IF(AND(ACOMPANHAMENTO="PLE",ISNUMBER($E86)),SUMIF((OFFSET(CÁLCULO!$AM$15:$AW$15,$E86,0,OFFSET(ORÇAMENTO!$D$15,CRONO!$E86,0))),"="&amp;CRONO!D$12,OFFSET(CÁLCULO!$AB$15:$AL$15,$E86,0,OFFSET(ORÇAMENTO!$D$15,CRONO!$E86,0)))+IF(AND($E88&lt;&gt;"",$E88&lt;&gt;0),SUMIF(CÁLCULO!$AM$15:$AW$32,"="&amp;CRONO!D$12,CÁLCULO!$AB$15:$AL$32)/(ORÇAMENTO!$X$15-CÁLCULO.TotalAdmLocal)*CRONO!$E88,0),D87*$R86),SUMIF(OFFSET($R88,1,0,$Q86-2),($L86+1)&amp;"$",OFFSET(D88,1,0,$Q86-2)))</f>
        <v>0</v>
      </c>
      <c r="E88" s="203" t="str">
        <f ca="1">IF(OR($Q86&lt;&gt;2,AUTOEVENTO&lt;&gt;"manual",$E87&gt;0),"",SUMIF(OFFSET(CÁLCULO!$M$15,CRONO!$E86,0,OFFSET(ORÇAMENTO!$D$15,CRONO!$E86,0)),1,OFFSET(ORÇAMENTO!$X$15,CRONO!$E86,0,OFFSET(ORÇAMENTO!$D$15,CRONO!$E86,0))))</f>
        <v/>
      </c>
      <c r="G88" s="223"/>
      <c r="R88" s="224" t="str">
        <f t="shared" ref="R88" ca="1" si="177">L86&amp;"$"</f>
        <v>1$</v>
      </c>
      <c r="S88" s="225"/>
      <c r="T88" s="226">
        <f ca="1">IF($Q86=2,IF(AND(ACOMPANHAMENTO="PLE",ISNUMBER($E86)),SUMIF((OFFSET(CÁLCULO!$AM$15:$AW$15,$E86,0,OFFSET(ORÇAMENTO!$D$15,CRONO!$E86,0))),"&lt;="&amp;CRONO!T$12,OFFSET(CÁLCULO!$AB$15:$AL$15,$E86,0,OFFSET(ORÇAMENTO!$D$15,CRONO!$E86,0)))+IF(AND($E88&lt;&gt;"",$E88&lt;&gt;0),SUMIF(CÁLCULO!$AM$15:$AW$32,"&lt;="&amp;CRONO!T$12,CÁLCULO!$AB$15:$AL$32)/(ORÇAMENTO!$X$15-CÁLCULO.TotalAdmLocal)*CRONO!$E88,0),T87*$R86),SUMIF(OFFSET($R88,1,0,$Q86-2),($L86+1)&amp;"$",OFFSET(T88,1,0,$Q86-2)))</f>
        <v>0</v>
      </c>
      <c r="U88" s="222">
        <f ca="1">IF($Q86=2,IF(AND(ACOMPANHAMENTO="PLE",ISNUMBER($E86)),SUMIF((OFFSET(CÁLCULO!$AM$15:$AW$15,$E86,0,OFFSET(ORÇAMENTO!$D$15,CRONO!$E86,0))),"="&amp;CRONO!U$12,OFFSET(CÁLCULO!$AB$15:$AL$15,$E86,0,OFFSET(ORÇAMENTO!$D$15,CRONO!$E86,0)))+IF(AND($E88&lt;&gt;"",$E88&lt;&gt;0),SUMIF(CÁLCULO!$AM$15:$AW$32,"="&amp;CRONO!U$12,CÁLCULO!$AB$15:$AL$32)/(ORÇAMENTO!$X$15-CÁLCULO.TotalAdmLocal)*CRONO!$E88,0),U87*$R86),SUMIF(OFFSET($R88,1,0,$Q86-2),($L86+1)&amp;"$",OFFSET(U88,1,0,$Q86-2)))</f>
        <v>0</v>
      </c>
      <c r="V88" s="222">
        <f ca="1">IF($Q86=2,IF(AND(ACOMPANHAMENTO="PLE",ISNUMBER($E86)),SUMIF((OFFSET(CÁLCULO!$AM$15:$AW$15,$E86,0,OFFSET(ORÇAMENTO!$D$15,CRONO!$E86,0))),"="&amp;CRONO!V$12,OFFSET(CÁLCULO!$AB$15:$AL$15,$E86,0,OFFSET(ORÇAMENTO!$D$15,CRONO!$E86,0)))+IF(AND($E88&lt;&gt;"",$E88&lt;&gt;0),SUMIF(CÁLCULO!$AM$15:$AW$32,"="&amp;CRONO!V$12,CÁLCULO!$AB$15:$AL$32)/(ORÇAMENTO!$X$15-CÁLCULO.TotalAdmLocal)*CRONO!$E88,0),V87*$R86),SUMIF(OFFSET($R88,1,0,$Q86-2),($L86+1)&amp;"$",OFFSET(V88,1,0,$Q86-2)))</f>
        <v>0</v>
      </c>
      <c r="W88" s="222">
        <f ca="1">IF($Q86=2,IF(AND(ACOMPANHAMENTO="PLE",ISNUMBER($E86)),SUMIF((OFFSET(CÁLCULO!$AM$15:$AW$15,$E86,0,OFFSET(ORÇAMENTO!$D$15,CRONO!$E86,0))),"="&amp;CRONO!W$12,OFFSET(CÁLCULO!$AB$15:$AL$15,$E86,0,OFFSET(ORÇAMENTO!$D$15,CRONO!$E86,0)))+IF(AND($E88&lt;&gt;"",$E88&lt;&gt;0),SUMIF(CÁLCULO!$AM$15:$AW$32,"="&amp;CRONO!W$12,CÁLCULO!$AB$15:$AL$32)/(ORÇAMENTO!$X$15-CÁLCULO.TotalAdmLocal)*CRONO!$E88,0),W87*$R86),SUMIF(OFFSET($R88,1,0,$Q86-2),($L86+1)&amp;"$",OFFSET(W88,1,0,$Q86-2)))</f>
        <v>0</v>
      </c>
      <c r="X88" s="222">
        <f ca="1">IF($Q86=2,IF(AND(ACOMPANHAMENTO="PLE",ISNUMBER($E86)),SUMIF((OFFSET(CÁLCULO!$AM$15:$AW$15,$E86,0,OFFSET(ORÇAMENTO!$D$15,CRONO!$E86,0))),"="&amp;CRONO!X$12,OFFSET(CÁLCULO!$AB$15:$AL$15,$E86,0,OFFSET(ORÇAMENTO!$D$15,CRONO!$E86,0)))+IF(AND($E88&lt;&gt;"",$E88&lt;&gt;0),SUMIF(CÁLCULO!$AM$15:$AW$32,"="&amp;CRONO!X$12,CÁLCULO!$AB$15:$AL$32)/(ORÇAMENTO!$X$15-CÁLCULO.TotalAdmLocal)*CRONO!$E88,0),X87*$R86),SUMIF(OFFSET($R88,1,0,$Q86-2),($L86+1)&amp;"$",OFFSET(X88,1,0,$Q86-2)))</f>
        <v>0</v>
      </c>
      <c r="Y88" s="222">
        <f ca="1">IF($Q86=2,IF(AND(ACOMPANHAMENTO="PLE",ISNUMBER($E86)),SUMIF((OFFSET(CÁLCULO!$AM$15:$AW$15,$E86,0,OFFSET(ORÇAMENTO!$D$15,CRONO!$E86,0))),"="&amp;CRONO!Y$12,OFFSET(CÁLCULO!$AB$15:$AL$15,$E86,0,OFFSET(ORÇAMENTO!$D$15,CRONO!$E86,0)))+IF(AND($E88&lt;&gt;"",$E88&lt;&gt;0),SUMIF(CÁLCULO!$AM$15:$AW$32,"="&amp;CRONO!Y$12,CÁLCULO!$AB$15:$AL$32)/(ORÇAMENTO!$X$15-CÁLCULO.TotalAdmLocal)*CRONO!$E88,0),Y87*$R86),SUMIF(OFFSET($R88,1,0,$Q86-2),($L86+1)&amp;"$",OFFSET(Y88,1,0,$Q86-2)))</f>
        <v>0</v>
      </c>
      <c r="Z88" s="222">
        <f ca="1">IF($Q86=2,IF(AND(ACOMPANHAMENTO="PLE",ISNUMBER($E86)),SUMIF((OFFSET(CÁLCULO!$AM$15:$AW$15,$E86,0,OFFSET(ORÇAMENTO!$D$15,CRONO!$E86,0))),"="&amp;CRONO!Z$12,OFFSET(CÁLCULO!$AB$15:$AL$15,$E86,0,OFFSET(ORÇAMENTO!$D$15,CRONO!$E86,0)))+IF(AND($E88&lt;&gt;"",$E88&lt;&gt;0),SUMIF(CÁLCULO!$AM$15:$AW$32,"="&amp;CRONO!Z$12,CÁLCULO!$AB$15:$AL$32)/(ORÇAMENTO!$X$15-CÁLCULO.TotalAdmLocal)*CRONO!$E88,0),Z87*$R86),SUMIF(OFFSET($R88,1,0,$Q86-2),($L86+1)&amp;"$",OFFSET(Z88,1,0,$Q86-2)))</f>
        <v>0</v>
      </c>
      <c r="AA88" s="222">
        <f ca="1">IF($Q86=2,IF(AND(ACOMPANHAMENTO="PLE",ISNUMBER($E86)),SUMIF((OFFSET(CÁLCULO!$AM$15:$AW$15,$E86,0,OFFSET(ORÇAMENTO!$D$15,CRONO!$E86,0))),"="&amp;CRONO!AA$12,OFFSET(CÁLCULO!$AB$15:$AL$15,$E86,0,OFFSET(ORÇAMENTO!$D$15,CRONO!$E86,0)))+IF(AND($E88&lt;&gt;"",$E88&lt;&gt;0),SUMIF(CÁLCULO!$AM$15:$AW$32,"="&amp;CRONO!AA$12,CÁLCULO!$AB$15:$AL$32)/(ORÇAMENTO!$X$15-CÁLCULO.TotalAdmLocal)*CRONO!$E88,0),AA87*$R86),SUMIF(OFFSET($R88,1,0,$Q86-2),($L86+1)&amp;"$",OFFSET(AA88,1,0,$Q86-2)))</f>
        <v>0</v>
      </c>
      <c r="AB88" s="222">
        <f ca="1">IF($Q86=2,IF(AND(ACOMPANHAMENTO="PLE",ISNUMBER($E86)),SUMIF((OFFSET(CÁLCULO!$AM$15:$AW$15,$E86,0,OFFSET(ORÇAMENTO!$D$15,CRONO!$E86,0))),"="&amp;CRONO!AB$12,OFFSET(CÁLCULO!$AB$15:$AL$15,$E86,0,OFFSET(ORÇAMENTO!$D$15,CRONO!$E86,0)))+IF(AND($E88&lt;&gt;"",$E88&lt;&gt;0),SUMIF(CÁLCULO!$AM$15:$AW$32,"="&amp;CRONO!AB$12,CÁLCULO!$AB$15:$AL$32)/(ORÇAMENTO!$X$15-CÁLCULO.TotalAdmLocal)*CRONO!$E88,0),AB87*$R86),SUMIF(OFFSET($R88,1,0,$Q86-2),($L86+1)&amp;"$",OFFSET(AB88,1,0,$Q86-2)))</f>
        <v>0</v>
      </c>
      <c r="AC88" s="222">
        <f ca="1">IF($Q86=2,IF(AND(ACOMPANHAMENTO="PLE",ISNUMBER($E86)),SUMIF((OFFSET(CÁLCULO!$AM$15:$AW$15,$E86,0,OFFSET(ORÇAMENTO!$D$15,CRONO!$E86,0))),"="&amp;CRONO!AC$12,OFFSET(CÁLCULO!$AB$15:$AL$15,$E86,0,OFFSET(ORÇAMENTO!$D$15,CRONO!$E86,0)))+IF(AND($E88&lt;&gt;"",$E88&lt;&gt;0),SUMIF(CÁLCULO!$AM$15:$AW$32,"="&amp;CRONO!AC$12,CÁLCULO!$AB$15:$AL$32)/(ORÇAMENTO!$X$15-CÁLCULO.TotalAdmLocal)*CRONO!$E88,0),AC87*$R86),SUMIF(OFFSET($R88,1,0,$Q86-2),($L86+1)&amp;"$",OFFSET(AC88,1,0,$Q86-2)))</f>
        <v>0</v>
      </c>
      <c r="AD88" s="222">
        <f ca="1">IF($Q86=2,IF(AND(ACOMPANHAMENTO="PLE",ISNUMBER($E86)),SUMIF((OFFSET(CÁLCULO!$AM$15:$AW$15,$E86,0,OFFSET(ORÇAMENTO!$D$15,CRONO!$E86,0))),"="&amp;CRONO!AD$12,OFFSET(CÁLCULO!$AB$15:$AL$15,$E86,0,OFFSET(ORÇAMENTO!$D$15,CRONO!$E86,0)))+IF(AND($E88&lt;&gt;"",$E88&lt;&gt;0),SUMIF(CÁLCULO!$AM$15:$AW$32,"="&amp;CRONO!AD$12,CÁLCULO!$AB$15:$AL$32)/(ORÇAMENTO!$X$15-CÁLCULO.TotalAdmLocal)*CRONO!$E88,0),AD87*$R86),SUMIF(OFFSET($R88,1,0,$Q86-2),($L86+1)&amp;"$",OFFSET(AD88,1,0,$Q86-2)))</f>
        <v>0</v>
      </c>
      <c r="AE88" s="227">
        <f ca="1">IF($Q86=2,IF(AND(ACOMPANHAMENTO="PLE",ISNUMBER($E86)),SUMIF((OFFSET(CÁLCULO!$AM$15:$AW$15,$E86,0,OFFSET(ORÇAMENTO!$D$15,CRONO!$E86,0))),"="&amp;CRONO!AE$12,OFFSET(CÁLCULO!$AB$15:$AL$15,$E86,0,OFFSET(ORÇAMENTO!$D$15,CRONO!$E86,0)))+IF(AND($E88&lt;&gt;"",$E88&lt;&gt;0),SUMIF(CÁLCULO!$AM$15:$AW$32,"="&amp;CRONO!AE$12,CÁLCULO!$AB$15:$AL$32)/(ORÇAMENTO!$X$15-CÁLCULO.TotalAdmLocal)*CRONO!$E88,0),AE87*$R86),SUMIF(OFFSET($R88,1,0,$Q86-2),($L86+1)&amp;"$",OFFSET(AE88,1,0,$Q86-2)))</f>
        <v>0</v>
      </c>
    </row>
    <row r="89" spans="1:32" hidden="1" x14ac:dyDescent="0.25">
      <c r="A89" s="203">
        <f t="shared" ref="A89" ca="1" si="178">OFFSET(A89,-3,0)+1</f>
        <v>26</v>
      </c>
      <c r="B89" s="203">
        <f ca="1">IF($Q89&lt;&gt;2,0,IF($R89=0,1,IF(E90&gt;0,OFFSET(QCI!$M$13,SUBSTITUTE(E90,".",""),0),OFFSET(ORÇAMENTO!$AA$15,CRONO!$E89,0))/$R89))</f>
        <v>0</v>
      </c>
      <c r="C89" s="203">
        <f ca="1">IF($Q89&lt;&gt;2,0,IF($R89=0,1,IF(E90&gt;0,OFFSET(QCI!$N$13,SUBSTITUTE(E90,".",""),0),OFFSET(ORÇAMENTO!$AB$15,CRONO!$E89,0))/$R89))</f>
        <v>0</v>
      </c>
      <c r="D89" s="206" t="e">
        <f ca="1">IF(AND($Q89=2,ACOMPANHAMENTO="BM"),D90,D91/$R89)</f>
        <v>#VALUE!</v>
      </c>
      <c r="E89" s="203" t="e">
        <f ca="1">IF(A89&lt;=ORÇAMENTO.MáximoListaCrono,MATCH(A89,ORÇAMENTO.ListaCrono,0),NA())</f>
        <v>#N/A</v>
      </c>
      <c r="F89" s="203" t="str">
        <f t="shared" ref="F89" ca="1" si="179">IF(AND($E90&lt;&gt;-1,$R89&gt;0),"F","")</f>
        <v/>
      </c>
      <c r="G89" s="207" t="str">
        <f ca="1">IF(OR(R89=0,R89=""),"Linha",IF(AND(OR(ACOMPANHAMENTO="PLE",$Q89&lt;&gt;2),$E90=0),"Linha",1-SUM(T89:AF89)))</f>
        <v>Linha</v>
      </c>
      <c r="H89" s="208" t="str">
        <f ca="1">IF($E90=0,OFFSET(ORÇAMENTO!O$15,$E89,0),IF($E90&lt;&gt;-1,OFFSET(QCI!$D$13,$E90,0),""))</f>
        <v/>
      </c>
      <c r="I89" s="209" t="str">
        <f ca="1">IF($E90=0,OFFSET(ORÇAMENTO!R$15,$E89,0),IF($E90&lt;&gt;-1,OFFSET(QCI!$G$13,$E90,0),""))</f>
        <v/>
      </c>
      <c r="J89" s="209"/>
      <c r="K89" s="209"/>
      <c r="L89" s="210">
        <f ca="1">IF($E90=0,OFFSET(ORÇAMENTO!C$15,$E89,0),1)</f>
        <v>1</v>
      </c>
      <c r="M89" s="211">
        <f ca="1">IF($E90=-1,0,IF(M$13&lt;=$L89,IF(ISERROR(MATCH(M$13,OFFSET($L89,1,0,ROW($L$164)-ROW($L89)-1),0)),ROW($L$164)-ROW($L89)-1,MATCH(M$13,OFFSET($L89,1,0,ROW($L$164)-ROW($L89)-1),0)-1),0))</f>
        <v>0</v>
      </c>
      <c r="N89" s="211">
        <f ca="1">IF($E90=-1,0,IF(N$13&lt;=$L89,IF(ISERROR(MATCH(N$13,OFFSET($L89,1,0,ROW($L$164)-ROW($L89)-1),0)),ROW($L$164)-ROW($L89)-1,MATCH(N$13,OFFSET($L89,1,0,ROW($L$164)-ROW($L89)-1),0)-1),0))</f>
        <v>0</v>
      </c>
      <c r="O89" s="211">
        <f ca="1">IF($E90=-1,0,IF(O$13&lt;=$L89,IF(ISERROR(MATCH(O$13,OFFSET($L89,1,0,ROW($L$164)-ROW($L89)-1),0)),ROW($L$164)-ROW($L89)-1,MATCH(O$13,OFFSET($L89,1,0,ROW($L$164)-ROW($L89)-1),0)-1),0))</f>
        <v>0</v>
      </c>
      <c r="P89" s="211">
        <f ca="1">IF($E90=-1,0,IF(P$13&lt;=$L89,IF(ISERROR(MATCH(P$13,OFFSET($L89,1,0,ROW($L$164)-ROW($L89)-1),0)),ROW($L$164)-ROW($L89)-1,MATCH(P$13,OFFSET($L89,1,0,ROW($L$164)-ROW($L89)-1),0)-1),0))</f>
        <v>0</v>
      </c>
      <c r="Q89" s="211">
        <f t="shared" ref="Q89" ca="1" si="180">MIN(OFFSET(L89,0,1,,L89))</f>
        <v>0</v>
      </c>
      <c r="R89" s="212" t="str">
        <f ca="1">IF($E90=0,OFFSET(ORÇAMENTO!X$15,$E89,0),IF($E90&lt;&gt;-1,OFFSET(QCI!$O$13,$E90,0),""))</f>
        <v/>
      </c>
      <c r="S89" s="213" t="s">
        <v>270</v>
      </c>
      <c r="T89" s="214" t="e">
        <f t="shared" ref="T89:AE89" ca="1" si="181">IF(AND($Q89=2,ACOMPANHAMENTO="BM"),T90,T91/$R89)</f>
        <v>#VALUE!</v>
      </c>
      <c r="U89" s="206" t="e">
        <f t="shared" ca="1" si="181"/>
        <v>#VALUE!</v>
      </c>
      <c r="V89" s="206" t="e">
        <f t="shared" ca="1" si="181"/>
        <v>#VALUE!</v>
      </c>
      <c r="W89" s="206" t="e">
        <f t="shared" ca="1" si="181"/>
        <v>#VALUE!</v>
      </c>
      <c r="X89" s="206" t="e">
        <f t="shared" ca="1" si="181"/>
        <v>#VALUE!</v>
      </c>
      <c r="Y89" s="206" t="e">
        <f t="shared" ca="1" si="181"/>
        <v>#VALUE!</v>
      </c>
      <c r="Z89" s="206" t="e">
        <f t="shared" ca="1" si="181"/>
        <v>#VALUE!</v>
      </c>
      <c r="AA89" s="206" t="e">
        <f t="shared" ca="1" si="181"/>
        <v>#VALUE!</v>
      </c>
      <c r="AB89" s="206" t="e">
        <f t="shared" ca="1" si="181"/>
        <v>#VALUE!</v>
      </c>
      <c r="AC89" s="206" t="e">
        <f t="shared" ca="1" si="181"/>
        <v>#VALUE!</v>
      </c>
      <c r="AD89" s="206" t="e">
        <f t="shared" ca="1" si="181"/>
        <v>#VALUE!</v>
      </c>
      <c r="AE89" s="215" t="e">
        <f t="shared" ca="1" si="181"/>
        <v>#VALUE!</v>
      </c>
    </row>
    <row r="90" spans="1:32" ht="12.75" hidden="1" customHeight="1" x14ac:dyDescent="0.25">
      <c r="D90" s="568"/>
      <c r="E90" s="203">
        <f ca="1">IF(ISERROR(E89),IF(1+COUNTIF($L$13:OFFSET(L89,-1,0),1)&lt;=MAX(QCI!$D$13:$D$24),1+COUNTIF($L$13:OFFSET(L89,-1,0),1),-1),0)</f>
        <v>-1</v>
      </c>
      <c r="F90" s="203" t="str">
        <f t="shared" ref="F90" ca="1" si="182">IF(AND($E90&lt;&gt;-1,$R89&gt;0),"F","")</f>
        <v/>
      </c>
      <c r="G90" s="216" t="str">
        <f ca="1">IF(OR(R89=0,R89=""),"vazia",IF(AND(OR(ACOMPANHAMENTO="PLE",$Q89&lt;&gt;2),$E90=0),"calculada","--&gt;"))</f>
        <v>vazia</v>
      </c>
      <c r="H90" s="217"/>
      <c r="I90" s="218" t="str">
        <f t="shared" ref="I90" ca="1" si="183">IF(AND(G89&lt;&gt;0,ISNUMBER(G89)),"PREENCHA ESTA LINHA --&gt;","")</f>
        <v/>
      </c>
      <c r="J90" s="218"/>
      <c r="K90" s="218"/>
      <c r="L90" s="219"/>
      <c r="M90" s="219"/>
      <c r="N90" s="219"/>
      <c r="O90" s="219"/>
      <c r="P90" s="219"/>
      <c r="Q90" s="219"/>
      <c r="R90" s="220"/>
      <c r="S90" s="221"/>
      <c r="T90" s="569"/>
      <c r="U90" s="568"/>
      <c r="V90" s="568"/>
      <c r="W90" s="568"/>
      <c r="X90" s="568"/>
      <c r="Y90" s="568"/>
      <c r="Z90" s="568"/>
      <c r="AA90" s="568"/>
      <c r="AB90" s="568"/>
      <c r="AC90" s="568"/>
      <c r="AD90" s="568"/>
      <c r="AE90" s="570"/>
      <c r="AF90" s="532"/>
    </row>
    <row r="91" spans="1:32" ht="0.15" hidden="1" customHeight="1" x14ac:dyDescent="0.25">
      <c r="D91" s="222">
        <f ca="1">IF($Q89=2,IF(AND(ACOMPANHAMENTO="PLE",ISNUMBER($E89)),SUMIF((OFFSET(CÁLCULO!$AM$15:$AW$15,$E89,0,OFFSET(ORÇAMENTO!$D$15,CRONO!$E89,0))),"="&amp;CRONO!D$12,OFFSET(CÁLCULO!$AB$15:$AL$15,$E89,0,OFFSET(ORÇAMENTO!$D$15,CRONO!$E89,0)))+IF(AND($E91&lt;&gt;"",$E91&lt;&gt;0),SUMIF(CÁLCULO!$AM$15:$AW$32,"="&amp;CRONO!D$12,CÁLCULO!$AB$15:$AL$32)/(ORÇAMENTO!$X$15-CÁLCULO.TotalAdmLocal)*CRONO!$E91,0),D90*$R89),SUMIF(OFFSET($R91,1,0,$Q89-2),($L89+1)&amp;"$",OFFSET(D91,1,0,$Q89-2)))</f>
        <v>0</v>
      </c>
      <c r="E91" s="203" t="str">
        <f ca="1">IF(OR($Q89&lt;&gt;2,AUTOEVENTO&lt;&gt;"manual",$E90&gt;0),"",SUMIF(OFFSET(CÁLCULO!$M$15,CRONO!$E89,0,OFFSET(ORÇAMENTO!$D$15,CRONO!$E89,0)),1,OFFSET(ORÇAMENTO!$X$15,CRONO!$E89,0,OFFSET(ORÇAMENTO!$D$15,CRONO!$E89,0))))</f>
        <v/>
      </c>
      <c r="G91" s="223"/>
      <c r="R91" s="224" t="str">
        <f t="shared" ref="R91" ca="1" si="184">L89&amp;"$"</f>
        <v>1$</v>
      </c>
      <c r="S91" s="225"/>
      <c r="T91" s="226">
        <f ca="1">IF($Q89=2,IF(AND(ACOMPANHAMENTO="PLE",ISNUMBER($E89)),SUMIF((OFFSET(CÁLCULO!$AM$15:$AW$15,$E89,0,OFFSET(ORÇAMENTO!$D$15,CRONO!$E89,0))),"&lt;="&amp;CRONO!T$12,OFFSET(CÁLCULO!$AB$15:$AL$15,$E89,0,OFFSET(ORÇAMENTO!$D$15,CRONO!$E89,0)))+IF(AND($E91&lt;&gt;"",$E91&lt;&gt;0),SUMIF(CÁLCULO!$AM$15:$AW$32,"&lt;="&amp;CRONO!T$12,CÁLCULO!$AB$15:$AL$32)/(ORÇAMENTO!$X$15-CÁLCULO.TotalAdmLocal)*CRONO!$E91,0),T90*$R89),SUMIF(OFFSET($R91,1,0,$Q89-2),($L89+1)&amp;"$",OFFSET(T91,1,0,$Q89-2)))</f>
        <v>0</v>
      </c>
      <c r="U91" s="222">
        <f ca="1">IF($Q89=2,IF(AND(ACOMPANHAMENTO="PLE",ISNUMBER($E89)),SUMIF((OFFSET(CÁLCULO!$AM$15:$AW$15,$E89,0,OFFSET(ORÇAMENTO!$D$15,CRONO!$E89,0))),"="&amp;CRONO!U$12,OFFSET(CÁLCULO!$AB$15:$AL$15,$E89,0,OFFSET(ORÇAMENTO!$D$15,CRONO!$E89,0)))+IF(AND($E91&lt;&gt;"",$E91&lt;&gt;0),SUMIF(CÁLCULO!$AM$15:$AW$32,"="&amp;CRONO!U$12,CÁLCULO!$AB$15:$AL$32)/(ORÇAMENTO!$X$15-CÁLCULO.TotalAdmLocal)*CRONO!$E91,0),U90*$R89),SUMIF(OFFSET($R91,1,0,$Q89-2),($L89+1)&amp;"$",OFFSET(U91,1,0,$Q89-2)))</f>
        <v>0</v>
      </c>
      <c r="V91" s="222">
        <f ca="1">IF($Q89=2,IF(AND(ACOMPANHAMENTO="PLE",ISNUMBER($E89)),SUMIF((OFFSET(CÁLCULO!$AM$15:$AW$15,$E89,0,OFFSET(ORÇAMENTO!$D$15,CRONO!$E89,0))),"="&amp;CRONO!V$12,OFFSET(CÁLCULO!$AB$15:$AL$15,$E89,0,OFFSET(ORÇAMENTO!$D$15,CRONO!$E89,0)))+IF(AND($E91&lt;&gt;"",$E91&lt;&gt;0),SUMIF(CÁLCULO!$AM$15:$AW$32,"="&amp;CRONO!V$12,CÁLCULO!$AB$15:$AL$32)/(ORÇAMENTO!$X$15-CÁLCULO.TotalAdmLocal)*CRONO!$E91,0),V90*$R89),SUMIF(OFFSET($R91,1,0,$Q89-2),($L89+1)&amp;"$",OFFSET(V91,1,0,$Q89-2)))</f>
        <v>0</v>
      </c>
      <c r="W91" s="222">
        <f ca="1">IF($Q89=2,IF(AND(ACOMPANHAMENTO="PLE",ISNUMBER($E89)),SUMIF((OFFSET(CÁLCULO!$AM$15:$AW$15,$E89,0,OFFSET(ORÇAMENTO!$D$15,CRONO!$E89,0))),"="&amp;CRONO!W$12,OFFSET(CÁLCULO!$AB$15:$AL$15,$E89,0,OFFSET(ORÇAMENTO!$D$15,CRONO!$E89,0)))+IF(AND($E91&lt;&gt;"",$E91&lt;&gt;0),SUMIF(CÁLCULO!$AM$15:$AW$32,"="&amp;CRONO!W$12,CÁLCULO!$AB$15:$AL$32)/(ORÇAMENTO!$X$15-CÁLCULO.TotalAdmLocal)*CRONO!$E91,0),W90*$R89),SUMIF(OFFSET($R91,1,0,$Q89-2),($L89+1)&amp;"$",OFFSET(W91,1,0,$Q89-2)))</f>
        <v>0</v>
      </c>
      <c r="X91" s="222">
        <f ca="1">IF($Q89=2,IF(AND(ACOMPANHAMENTO="PLE",ISNUMBER($E89)),SUMIF((OFFSET(CÁLCULO!$AM$15:$AW$15,$E89,0,OFFSET(ORÇAMENTO!$D$15,CRONO!$E89,0))),"="&amp;CRONO!X$12,OFFSET(CÁLCULO!$AB$15:$AL$15,$E89,0,OFFSET(ORÇAMENTO!$D$15,CRONO!$E89,0)))+IF(AND($E91&lt;&gt;"",$E91&lt;&gt;0),SUMIF(CÁLCULO!$AM$15:$AW$32,"="&amp;CRONO!X$12,CÁLCULO!$AB$15:$AL$32)/(ORÇAMENTO!$X$15-CÁLCULO.TotalAdmLocal)*CRONO!$E91,0),X90*$R89),SUMIF(OFFSET($R91,1,0,$Q89-2),($L89+1)&amp;"$",OFFSET(X91,1,0,$Q89-2)))</f>
        <v>0</v>
      </c>
      <c r="Y91" s="222">
        <f ca="1">IF($Q89=2,IF(AND(ACOMPANHAMENTO="PLE",ISNUMBER($E89)),SUMIF((OFFSET(CÁLCULO!$AM$15:$AW$15,$E89,0,OFFSET(ORÇAMENTO!$D$15,CRONO!$E89,0))),"="&amp;CRONO!Y$12,OFFSET(CÁLCULO!$AB$15:$AL$15,$E89,0,OFFSET(ORÇAMENTO!$D$15,CRONO!$E89,0)))+IF(AND($E91&lt;&gt;"",$E91&lt;&gt;0),SUMIF(CÁLCULO!$AM$15:$AW$32,"="&amp;CRONO!Y$12,CÁLCULO!$AB$15:$AL$32)/(ORÇAMENTO!$X$15-CÁLCULO.TotalAdmLocal)*CRONO!$E91,0),Y90*$R89),SUMIF(OFFSET($R91,1,0,$Q89-2),($L89+1)&amp;"$",OFFSET(Y91,1,0,$Q89-2)))</f>
        <v>0</v>
      </c>
      <c r="Z91" s="222">
        <f ca="1">IF($Q89=2,IF(AND(ACOMPANHAMENTO="PLE",ISNUMBER($E89)),SUMIF((OFFSET(CÁLCULO!$AM$15:$AW$15,$E89,0,OFFSET(ORÇAMENTO!$D$15,CRONO!$E89,0))),"="&amp;CRONO!Z$12,OFFSET(CÁLCULO!$AB$15:$AL$15,$E89,0,OFFSET(ORÇAMENTO!$D$15,CRONO!$E89,0)))+IF(AND($E91&lt;&gt;"",$E91&lt;&gt;0),SUMIF(CÁLCULO!$AM$15:$AW$32,"="&amp;CRONO!Z$12,CÁLCULO!$AB$15:$AL$32)/(ORÇAMENTO!$X$15-CÁLCULO.TotalAdmLocal)*CRONO!$E91,0),Z90*$R89),SUMIF(OFFSET($R91,1,0,$Q89-2),($L89+1)&amp;"$",OFFSET(Z91,1,0,$Q89-2)))</f>
        <v>0</v>
      </c>
      <c r="AA91" s="222">
        <f ca="1">IF($Q89=2,IF(AND(ACOMPANHAMENTO="PLE",ISNUMBER($E89)),SUMIF((OFFSET(CÁLCULO!$AM$15:$AW$15,$E89,0,OFFSET(ORÇAMENTO!$D$15,CRONO!$E89,0))),"="&amp;CRONO!AA$12,OFFSET(CÁLCULO!$AB$15:$AL$15,$E89,0,OFFSET(ORÇAMENTO!$D$15,CRONO!$E89,0)))+IF(AND($E91&lt;&gt;"",$E91&lt;&gt;0),SUMIF(CÁLCULO!$AM$15:$AW$32,"="&amp;CRONO!AA$12,CÁLCULO!$AB$15:$AL$32)/(ORÇAMENTO!$X$15-CÁLCULO.TotalAdmLocal)*CRONO!$E91,0),AA90*$R89),SUMIF(OFFSET($R91,1,0,$Q89-2),($L89+1)&amp;"$",OFFSET(AA91,1,0,$Q89-2)))</f>
        <v>0</v>
      </c>
      <c r="AB91" s="222">
        <f ca="1">IF($Q89=2,IF(AND(ACOMPANHAMENTO="PLE",ISNUMBER($E89)),SUMIF((OFFSET(CÁLCULO!$AM$15:$AW$15,$E89,0,OFFSET(ORÇAMENTO!$D$15,CRONO!$E89,0))),"="&amp;CRONO!AB$12,OFFSET(CÁLCULO!$AB$15:$AL$15,$E89,0,OFFSET(ORÇAMENTO!$D$15,CRONO!$E89,0)))+IF(AND($E91&lt;&gt;"",$E91&lt;&gt;0),SUMIF(CÁLCULO!$AM$15:$AW$32,"="&amp;CRONO!AB$12,CÁLCULO!$AB$15:$AL$32)/(ORÇAMENTO!$X$15-CÁLCULO.TotalAdmLocal)*CRONO!$E91,0),AB90*$R89),SUMIF(OFFSET($R91,1,0,$Q89-2),($L89+1)&amp;"$",OFFSET(AB91,1,0,$Q89-2)))</f>
        <v>0</v>
      </c>
      <c r="AC91" s="222">
        <f ca="1">IF($Q89=2,IF(AND(ACOMPANHAMENTO="PLE",ISNUMBER($E89)),SUMIF((OFFSET(CÁLCULO!$AM$15:$AW$15,$E89,0,OFFSET(ORÇAMENTO!$D$15,CRONO!$E89,0))),"="&amp;CRONO!AC$12,OFFSET(CÁLCULO!$AB$15:$AL$15,$E89,0,OFFSET(ORÇAMENTO!$D$15,CRONO!$E89,0)))+IF(AND($E91&lt;&gt;"",$E91&lt;&gt;0),SUMIF(CÁLCULO!$AM$15:$AW$32,"="&amp;CRONO!AC$12,CÁLCULO!$AB$15:$AL$32)/(ORÇAMENTO!$X$15-CÁLCULO.TotalAdmLocal)*CRONO!$E91,0),AC90*$R89),SUMIF(OFFSET($R91,1,0,$Q89-2),($L89+1)&amp;"$",OFFSET(AC91,1,0,$Q89-2)))</f>
        <v>0</v>
      </c>
      <c r="AD91" s="222">
        <f ca="1">IF($Q89=2,IF(AND(ACOMPANHAMENTO="PLE",ISNUMBER($E89)),SUMIF((OFFSET(CÁLCULO!$AM$15:$AW$15,$E89,0,OFFSET(ORÇAMENTO!$D$15,CRONO!$E89,0))),"="&amp;CRONO!AD$12,OFFSET(CÁLCULO!$AB$15:$AL$15,$E89,0,OFFSET(ORÇAMENTO!$D$15,CRONO!$E89,0)))+IF(AND($E91&lt;&gt;"",$E91&lt;&gt;0),SUMIF(CÁLCULO!$AM$15:$AW$32,"="&amp;CRONO!AD$12,CÁLCULO!$AB$15:$AL$32)/(ORÇAMENTO!$X$15-CÁLCULO.TotalAdmLocal)*CRONO!$E91,0),AD90*$R89),SUMIF(OFFSET($R91,1,0,$Q89-2),($L89+1)&amp;"$",OFFSET(AD91,1,0,$Q89-2)))</f>
        <v>0</v>
      </c>
      <c r="AE91" s="227">
        <f ca="1">IF($Q89=2,IF(AND(ACOMPANHAMENTO="PLE",ISNUMBER($E89)),SUMIF((OFFSET(CÁLCULO!$AM$15:$AW$15,$E89,0,OFFSET(ORÇAMENTO!$D$15,CRONO!$E89,0))),"="&amp;CRONO!AE$12,OFFSET(CÁLCULO!$AB$15:$AL$15,$E89,0,OFFSET(ORÇAMENTO!$D$15,CRONO!$E89,0)))+IF(AND($E91&lt;&gt;"",$E91&lt;&gt;0),SUMIF(CÁLCULO!$AM$15:$AW$32,"="&amp;CRONO!AE$12,CÁLCULO!$AB$15:$AL$32)/(ORÇAMENTO!$X$15-CÁLCULO.TotalAdmLocal)*CRONO!$E91,0),AE90*$R89),SUMIF(OFFSET($R91,1,0,$Q89-2),($L89+1)&amp;"$",OFFSET(AE91,1,0,$Q89-2)))</f>
        <v>0</v>
      </c>
    </row>
    <row r="92" spans="1:32" hidden="1" x14ac:dyDescent="0.25">
      <c r="A92" s="203">
        <f t="shared" ref="A92" ca="1" si="185">OFFSET(A92,-3,0)+1</f>
        <v>27</v>
      </c>
      <c r="B92" s="203">
        <f ca="1">IF($Q92&lt;&gt;2,0,IF($R92=0,1,IF(E93&gt;0,OFFSET(QCI!$M$13,SUBSTITUTE(E93,".",""),0),OFFSET(ORÇAMENTO!$AA$15,CRONO!$E92,0))/$R92))</f>
        <v>0</v>
      </c>
      <c r="C92" s="203">
        <f ca="1">IF($Q92&lt;&gt;2,0,IF($R92=0,1,IF(E93&gt;0,OFFSET(QCI!$N$13,SUBSTITUTE(E93,".",""),0),OFFSET(ORÇAMENTO!$AB$15,CRONO!$E92,0))/$R92))</f>
        <v>0</v>
      </c>
      <c r="D92" s="206" t="e">
        <f ca="1">IF(AND($Q92=2,ACOMPANHAMENTO="BM"),D93,D94/$R92)</f>
        <v>#VALUE!</v>
      </c>
      <c r="E92" s="203" t="e">
        <f ca="1">IF(A92&lt;=ORÇAMENTO.MáximoListaCrono,MATCH(A92,ORÇAMENTO.ListaCrono,0),NA())</f>
        <v>#N/A</v>
      </c>
      <c r="F92" s="203" t="str">
        <f t="shared" ref="F92" ca="1" si="186">IF(AND($E93&lt;&gt;-1,$R92&gt;0),"F","")</f>
        <v/>
      </c>
      <c r="G92" s="207" t="str">
        <f ca="1">IF(OR(R92=0,R92=""),"Linha",IF(AND(OR(ACOMPANHAMENTO="PLE",$Q92&lt;&gt;2),$E93=0),"Linha",1-SUM(T92:AF92)))</f>
        <v>Linha</v>
      </c>
      <c r="H92" s="208" t="str">
        <f ca="1">IF($E93=0,OFFSET(ORÇAMENTO!O$15,$E92,0),IF($E93&lt;&gt;-1,OFFSET(QCI!$D$13,$E93,0),""))</f>
        <v/>
      </c>
      <c r="I92" s="209" t="str">
        <f ca="1">IF($E93=0,OFFSET(ORÇAMENTO!R$15,$E92,0),IF($E93&lt;&gt;-1,OFFSET(QCI!$G$13,$E93,0),""))</f>
        <v/>
      </c>
      <c r="J92" s="209"/>
      <c r="K92" s="209"/>
      <c r="L92" s="210">
        <f ca="1">IF($E93=0,OFFSET(ORÇAMENTO!C$15,$E92,0),1)</f>
        <v>1</v>
      </c>
      <c r="M92" s="211">
        <f ca="1">IF($E93=-1,0,IF(M$13&lt;=$L92,IF(ISERROR(MATCH(M$13,OFFSET($L92,1,0,ROW($L$164)-ROW($L92)-1),0)),ROW($L$164)-ROW($L92)-1,MATCH(M$13,OFFSET($L92,1,0,ROW($L$164)-ROW($L92)-1),0)-1),0))</f>
        <v>0</v>
      </c>
      <c r="N92" s="211">
        <f ca="1">IF($E93=-1,0,IF(N$13&lt;=$L92,IF(ISERROR(MATCH(N$13,OFFSET($L92,1,0,ROW($L$164)-ROW($L92)-1),0)),ROW($L$164)-ROW($L92)-1,MATCH(N$13,OFFSET($L92,1,0,ROW($L$164)-ROW($L92)-1),0)-1),0))</f>
        <v>0</v>
      </c>
      <c r="O92" s="211">
        <f ca="1">IF($E93=-1,0,IF(O$13&lt;=$L92,IF(ISERROR(MATCH(O$13,OFFSET($L92,1,0,ROW($L$164)-ROW($L92)-1),0)),ROW($L$164)-ROW($L92)-1,MATCH(O$13,OFFSET($L92,1,0,ROW($L$164)-ROW($L92)-1),0)-1),0))</f>
        <v>0</v>
      </c>
      <c r="P92" s="211">
        <f ca="1">IF($E93=-1,0,IF(P$13&lt;=$L92,IF(ISERROR(MATCH(P$13,OFFSET($L92,1,0,ROW($L$164)-ROW($L92)-1),0)),ROW($L$164)-ROW($L92)-1,MATCH(P$13,OFFSET($L92,1,0,ROW($L$164)-ROW($L92)-1),0)-1),0))</f>
        <v>0</v>
      </c>
      <c r="Q92" s="211">
        <f t="shared" ref="Q92" ca="1" si="187">MIN(OFFSET(L92,0,1,,L92))</f>
        <v>0</v>
      </c>
      <c r="R92" s="212" t="str">
        <f ca="1">IF($E93=0,OFFSET(ORÇAMENTO!X$15,$E92,0),IF($E93&lt;&gt;-1,OFFSET(QCI!$O$13,$E93,0),""))</f>
        <v/>
      </c>
      <c r="S92" s="213" t="s">
        <v>270</v>
      </c>
      <c r="T92" s="214" t="e">
        <f t="shared" ref="T92:AE92" ca="1" si="188">IF(AND($Q92=2,ACOMPANHAMENTO="BM"),T93,T94/$R92)</f>
        <v>#VALUE!</v>
      </c>
      <c r="U92" s="206" t="e">
        <f t="shared" ca="1" si="188"/>
        <v>#VALUE!</v>
      </c>
      <c r="V92" s="206" t="e">
        <f t="shared" ca="1" si="188"/>
        <v>#VALUE!</v>
      </c>
      <c r="W92" s="206" t="e">
        <f t="shared" ca="1" si="188"/>
        <v>#VALUE!</v>
      </c>
      <c r="X92" s="206" t="e">
        <f t="shared" ca="1" si="188"/>
        <v>#VALUE!</v>
      </c>
      <c r="Y92" s="206" t="e">
        <f t="shared" ca="1" si="188"/>
        <v>#VALUE!</v>
      </c>
      <c r="Z92" s="206" t="e">
        <f t="shared" ca="1" si="188"/>
        <v>#VALUE!</v>
      </c>
      <c r="AA92" s="206" t="e">
        <f t="shared" ca="1" si="188"/>
        <v>#VALUE!</v>
      </c>
      <c r="AB92" s="206" t="e">
        <f t="shared" ca="1" si="188"/>
        <v>#VALUE!</v>
      </c>
      <c r="AC92" s="206" t="e">
        <f t="shared" ca="1" si="188"/>
        <v>#VALUE!</v>
      </c>
      <c r="AD92" s="206" t="e">
        <f t="shared" ca="1" si="188"/>
        <v>#VALUE!</v>
      </c>
      <c r="AE92" s="215" t="e">
        <f t="shared" ca="1" si="188"/>
        <v>#VALUE!</v>
      </c>
    </row>
    <row r="93" spans="1:32" ht="12.75" hidden="1" customHeight="1" x14ac:dyDescent="0.25">
      <c r="D93" s="568"/>
      <c r="E93" s="203">
        <f ca="1">IF(ISERROR(E92),IF(1+COUNTIF($L$13:OFFSET(L92,-1,0),1)&lt;=MAX(QCI!$D$13:$D$24),1+COUNTIF($L$13:OFFSET(L92,-1,0),1),-1),0)</f>
        <v>-1</v>
      </c>
      <c r="F93" s="203" t="str">
        <f t="shared" ref="F93" ca="1" si="189">IF(AND($E93&lt;&gt;-1,$R92&gt;0),"F","")</f>
        <v/>
      </c>
      <c r="G93" s="216" t="str">
        <f ca="1">IF(OR(R92=0,R92=""),"vazia",IF(AND(OR(ACOMPANHAMENTO="PLE",$Q92&lt;&gt;2),$E93=0),"calculada","--&gt;"))</f>
        <v>vazia</v>
      </c>
      <c r="H93" s="217"/>
      <c r="I93" s="218" t="str">
        <f t="shared" ref="I93" ca="1" si="190">IF(AND(G92&lt;&gt;0,ISNUMBER(G92)),"PREENCHA ESTA LINHA --&gt;","")</f>
        <v/>
      </c>
      <c r="J93" s="218"/>
      <c r="K93" s="218"/>
      <c r="L93" s="219"/>
      <c r="M93" s="219"/>
      <c r="N93" s="219"/>
      <c r="O93" s="219"/>
      <c r="P93" s="219"/>
      <c r="Q93" s="219"/>
      <c r="R93" s="220"/>
      <c r="S93" s="221"/>
      <c r="T93" s="569"/>
      <c r="U93" s="568"/>
      <c r="V93" s="568"/>
      <c r="W93" s="568"/>
      <c r="X93" s="568"/>
      <c r="Y93" s="568"/>
      <c r="Z93" s="568"/>
      <c r="AA93" s="568"/>
      <c r="AB93" s="568"/>
      <c r="AC93" s="568"/>
      <c r="AD93" s="568"/>
      <c r="AE93" s="570"/>
      <c r="AF93" s="532"/>
    </row>
    <row r="94" spans="1:32" ht="0.15" hidden="1" customHeight="1" x14ac:dyDescent="0.25">
      <c r="D94" s="222">
        <f ca="1">IF($Q92=2,IF(AND(ACOMPANHAMENTO="PLE",ISNUMBER($E92)),SUMIF((OFFSET(CÁLCULO!$AM$15:$AW$15,$E92,0,OFFSET(ORÇAMENTO!$D$15,CRONO!$E92,0))),"="&amp;CRONO!D$12,OFFSET(CÁLCULO!$AB$15:$AL$15,$E92,0,OFFSET(ORÇAMENTO!$D$15,CRONO!$E92,0)))+IF(AND($E94&lt;&gt;"",$E94&lt;&gt;0),SUMIF(CÁLCULO!$AM$15:$AW$32,"="&amp;CRONO!D$12,CÁLCULO!$AB$15:$AL$32)/(ORÇAMENTO!$X$15-CÁLCULO.TotalAdmLocal)*CRONO!$E94,0),D93*$R92),SUMIF(OFFSET($R94,1,0,$Q92-2),($L92+1)&amp;"$",OFFSET(D94,1,0,$Q92-2)))</f>
        <v>0</v>
      </c>
      <c r="E94" s="203" t="str">
        <f ca="1">IF(OR($Q92&lt;&gt;2,AUTOEVENTO&lt;&gt;"manual",$E93&gt;0),"",SUMIF(OFFSET(CÁLCULO!$M$15,CRONO!$E92,0,OFFSET(ORÇAMENTO!$D$15,CRONO!$E92,0)),1,OFFSET(ORÇAMENTO!$X$15,CRONO!$E92,0,OFFSET(ORÇAMENTO!$D$15,CRONO!$E92,0))))</f>
        <v/>
      </c>
      <c r="G94" s="223"/>
      <c r="R94" s="224" t="str">
        <f t="shared" ref="R94" ca="1" si="191">L92&amp;"$"</f>
        <v>1$</v>
      </c>
      <c r="S94" s="225"/>
      <c r="T94" s="226">
        <f ca="1">IF($Q92=2,IF(AND(ACOMPANHAMENTO="PLE",ISNUMBER($E92)),SUMIF((OFFSET(CÁLCULO!$AM$15:$AW$15,$E92,0,OFFSET(ORÇAMENTO!$D$15,CRONO!$E92,0))),"&lt;="&amp;CRONO!T$12,OFFSET(CÁLCULO!$AB$15:$AL$15,$E92,0,OFFSET(ORÇAMENTO!$D$15,CRONO!$E92,0)))+IF(AND($E94&lt;&gt;"",$E94&lt;&gt;0),SUMIF(CÁLCULO!$AM$15:$AW$32,"&lt;="&amp;CRONO!T$12,CÁLCULO!$AB$15:$AL$32)/(ORÇAMENTO!$X$15-CÁLCULO.TotalAdmLocal)*CRONO!$E94,0),T93*$R92),SUMIF(OFFSET($R94,1,0,$Q92-2),($L92+1)&amp;"$",OFFSET(T94,1,0,$Q92-2)))</f>
        <v>0</v>
      </c>
      <c r="U94" s="222">
        <f ca="1">IF($Q92=2,IF(AND(ACOMPANHAMENTO="PLE",ISNUMBER($E92)),SUMIF((OFFSET(CÁLCULO!$AM$15:$AW$15,$E92,0,OFFSET(ORÇAMENTO!$D$15,CRONO!$E92,0))),"="&amp;CRONO!U$12,OFFSET(CÁLCULO!$AB$15:$AL$15,$E92,0,OFFSET(ORÇAMENTO!$D$15,CRONO!$E92,0)))+IF(AND($E94&lt;&gt;"",$E94&lt;&gt;0),SUMIF(CÁLCULO!$AM$15:$AW$32,"="&amp;CRONO!U$12,CÁLCULO!$AB$15:$AL$32)/(ORÇAMENTO!$X$15-CÁLCULO.TotalAdmLocal)*CRONO!$E94,0),U93*$R92),SUMIF(OFFSET($R94,1,0,$Q92-2),($L92+1)&amp;"$",OFFSET(U94,1,0,$Q92-2)))</f>
        <v>0</v>
      </c>
      <c r="V94" s="222">
        <f ca="1">IF($Q92=2,IF(AND(ACOMPANHAMENTO="PLE",ISNUMBER($E92)),SUMIF((OFFSET(CÁLCULO!$AM$15:$AW$15,$E92,0,OFFSET(ORÇAMENTO!$D$15,CRONO!$E92,0))),"="&amp;CRONO!V$12,OFFSET(CÁLCULO!$AB$15:$AL$15,$E92,0,OFFSET(ORÇAMENTO!$D$15,CRONO!$E92,0)))+IF(AND($E94&lt;&gt;"",$E94&lt;&gt;0),SUMIF(CÁLCULO!$AM$15:$AW$32,"="&amp;CRONO!V$12,CÁLCULO!$AB$15:$AL$32)/(ORÇAMENTO!$X$15-CÁLCULO.TotalAdmLocal)*CRONO!$E94,0),V93*$R92),SUMIF(OFFSET($R94,1,0,$Q92-2),($L92+1)&amp;"$",OFFSET(V94,1,0,$Q92-2)))</f>
        <v>0</v>
      </c>
      <c r="W94" s="222">
        <f ca="1">IF($Q92=2,IF(AND(ACOMPANHAMENTO="PLE",ISNUMBER($E92)),SUMIF((OFFSET(CÁLCULO!$AM$15:$AW$15,$E92,0,OFFSET(ORÇAMENTO!$D$15,CRONO!$E92,0))),"="&amp;CRONO!W$12,OFFSET(CÁLCULO!$AB$15:$AL$15,$E92,0,OFFSET(ORÇAMENTO!$D$15,CRONO!$E92,0)))+IF(AND($E94&lt;&gt;"",$E94&lt;&gt;0),SUMIF(CÁLCULO!$AM$15:$AW$32,"="&amp;CRONO!W$12,CÁLCULO!$AB$15:$AL$32)/(ORÇAMENTO!$X$15-CÁLCULO.TotalAdmLocal)*CRONO!$E94,0),W93*$R92),SUMIF(OFFSET($R94,1,0,$Q92-2),($L92+1)&amp;"$",OFFSET(W94,1,0,$Q92-2)))</f>
        <v>0</v>
      </c>
      <c r="X94" s="222">
        <f ca="1">IF($Q92=2,IF(AND(ACOMPANHAMENTO="PLE",ISNUMBER($E92)),SUMIF((OFFSET(CÁLCULO!$AM$15:$AW$15,$E92,0,OFFSET(ORÇAMENTO!$D$15,CRONO!$E92,0))),"="&amp;CRONO!X$12,OFFSET(CÁLCULO!$AB$15:$AL$15,$E92,0,OFFSET(ORÇAMENTO!$D$15,CRONO!$E92,0)))+IF(AND($E94&lt;&gt;"",$E94&lt;&gt;0),SUMIF(CÁLCULO!$AM$15:$AW$32,"="&amp;CRONO!X$12,CÁLCULO!$AB$15:$AL$32)/(ORÇAMENTO!$X$15-CÁLCULO.TotalAdmLocal)*CRONO!$E94,0),X93*$R92),SUMIF(OFFSET($R94,1,0,$Q92-2),($L92+1)&amp;"$",OFFSET(X94,1,0,$Q92-2)))</f>
        <v>0</v>
      </c>
      <c r="Y94" s="222">
        <f ca="1">IF($Q92=2,IF(AND(ACOMPANHAMENTO="PLE",ISNUMBER($E92)),SUMIF((OFFSET(CÁLCULO!$AM$15:$AW$15,$E92,0,OFFSET(ORÇAMENTO!$D$15,CRONO!$E92,0))),"="&amp;CRONO!Y$12,OFFSET(CÁLCULO!$AB$15:$AL$15,$E92,0,OFFSET(ORÇAMENTO!$D$15,CRONO!$E92,0)))+IF(AND($E94&lt;&gt;"",$E94&lt;&gt;0),SUMIF(CÁLCULO!$AM$15:$AW$32,"="&amp;CRONO!Y$12,CÁLCULO!$AB$15:$AL$32)/(ORÇAMENTO!$X$15-CÁLCULO.TotalAdmLocal)*CRONO!$E94,0),Y93*$R92),SUMIF(OFFSET($R94,1,0,$Q92-2),($L92+1)&amp;"$",OFFSET(Y94,1,0,$Q92-2)))</f>
        <v>0</v>
      </c>
      <c r="Z94" s="222">
        <f ca="1">IF($Q92=2,IF(AND(ACOMPANHAMENTO="PLE",ISNUMBER($E92)),SUMIF((OFFSET(CÁLCULO!$AM$15:$AW$15,$E92,0,OFFSET(ORÇAMENTO!$D$15,CRONO!$E92,0))),"="&amp;CRONO!Z$12,OFFSET(CÁLCULO!$AB$15:$AL$15,$E92,0,OFFSET(ORÇAMENTO!$D$15,CRONO!$E92,0)))+IF(AND($E94&lt;&gt;"",$E94&lt;&gt;0),SUMIF(CÁLCULO!$AM$15:$AW$32,"="&amp;CRONO!Z$12,CÁLCULO!$AB$15:$AL$32)/(ORÇAMENTO!$X$15-CÁLCULO.TotalAdmLocal)*CRONO!$E94,0),Z93*$R92),SUMIF(OFFSET($R94,1,0,$Q92-2),($L92+1)&amp;"$",OFFSET(Z94,1,0,$Q92-2)))</f>
        <v>0</v>
      </c>
      <c r="AA94" s="222">
        <f ca="1">IF($Q92=2,IF(AND(ACOMPANHAMENTO="PLE",ISNUMBER($E92)),SUMIF((OFFSET(CÁLCULO!$AM$15:$AW$15,$E92,0,OFFSET(ORÇAMENTO!$D$15,CRONO!$E92,0))),"="&amp;CRONO!AA$12,OFFSET(CÁLCULO!$AB$15:$AL$15,$E92,0,OFFSET(ORÇAMENTO!$D$15,CRONO!$E92,0)))+IF(AND($E94&lt;&gt;"",$E94&lt;&gt;0),SUMIF(CÁLCULO!$AM$15:$AW$32,"="&amp;CRONO!AA$12,CÁLCULO!$AB$15:$AL$32)/(ORÇAMENTO!$X$15-CÁLCULO.TotalAdmLocal)*CRONO!$E94,0),AA93*$R92),SUMIF(OFFSET($R94,1,0,$Q92-2),($L92+1)&amp;"$",OFFSET(AA94,1,0,$Q92-2)))</f>
        <v>0</v>
      </c>
      <c r="AB94" s="222">
        <f ca="1">IF($Q92=2,IF(AND(ACOMPANHAMENTO="PLE",ISNUMBER($E92)),SUMIF((OFFSET(CÁLCULO!$AM$15:$AW$15,$E92,0,OFFSET(ORÇAMENTO!$D$15,CRONO!$E92,0))),"="&amp;CRONO!AB$12,OFFSET(CÁLCULO!$AB$15:$AL$15,$E92,0,OFFSET(ORÇAMENTO!$D$15,CRONO!$E92,0)))+IF(AND($E94&lt;&gt;"",$E94&lt;&gt;0),SUMIF(CÁLCULO!$AM$15:$AW$32,"="&amp;CRONO!AB$12,CÁLCULO!$AB$15:$AL$32)/(ORÇAMENTO!$X$15-CÁLCULO.TotalAdmLocal)*CRONO!$E94,0),AB93*$R92),SUMIF(OFFSET($R94,1,0,$Q92-2),($L92+1)&amp;"$",OFFSET(AB94,1,0,$Q92-2)))</f>
        <v>0</v>
      </c>
      <c r="AC94" s="222">
        <f ca="1">IF($Q92=2,IF(AND(ACOMPANHAMENTO="PLE",ISNUMBER($E92)),SUMIF((OFFSET(CÁLCULO!$AM$15:$AW$15,$E92,0,OFFSET(ORÇAMENTO!$D$15,CRONO!$E92,0))),"="&amp;CRONO!AC$12,OFFSET(CÁLCULO!$AB$15:$AL$15,$E92,0,OFFSET(ORÇAMENTO!$D$15,CRONO!$E92,0)))+IF(AND($E94&lt;&gt;"",$E94&lt;&gt;0),SUMIF(CÁLCULO!$AM$15:$AW$32,"="&amp;CRONO!AC$12,CÁLCULO!$AB$15:$AL$32)/(ORÇAMENTO!$X$15-CÁLCULO.TotalAdmLocal)*CRONO!$E94,0),AC93*$R92),SUMIF(OFFSET($R94,1,0,$Q92-2),($L92+1)&amp;"$",OFFSET(AC94,1,0,$Q92-2)))</f>
        <v>0</v>
      </c>
      <c r="AD94" s="222">
        <f ca="1">IF($Q92=2,IF(AND(ACOMPANHAMENTO="PLE",ISNUMBER($E92)),SUMIF((OFFSET(CÁLCULO!$AM$15:$AW$15,$E92,0,OFFSET(ORÇAMENTO!$D$15,CRONO!$E92,0))),"="&amp;CRONO!AD$12,OFFSET(CÁLCULO!$AB$15:$AL$15,$E92,0,OFFSET(ORÇAMENTO!$D$15,CRONO!$E92,0)))+IF(AND($E94&lt;&gt;"",$E94&lt;&gt;0),SUMIF(CÁLCULO!$AM$15:$AW$32,"="&amp;CRONO!AD$12,CÁLCULO!$AB$15:$AL$32)/(ORÇAMENTO!$X$15-CÁLCULO.TotalAdmLocal)*CRONO!$E94,0),AD93*$R92),SUMIF(OFFSET($R94,1,0,$Q92-2),($L92+1)&amp;"$",OFFSET(AD94,1,0,$Q92-2)))</f>
        <v>0</v>
      </c>
      <c r="AE94" s="227">
        <f ca="1">IF($Q92=2,IF(AND(ACOMPANHAMENTO="PLE",ISNUMBER($E92)),SUMIF((OFFSET(CÁLCULO!$AM$15:$AW$15,$E92,0,OFFSET(ORÇAMENTO!$D$15,CRONO!$E92,0))),"="&amp;CRONO!AE$12,OFFSET(CÁLCULO!$AB$15:$AL$15,$E92,0,OFFSET(ORÇAMENTO!$D$15,CRONO!$E92,0)))+IF(AND($E94&lt;&gt;"",$E94&lt;&gt;0),SUMIF(CÁLCULO!$AM$15:$AW$32,"="&amp;CRONO!AE$12,CÁLCULO!$AB$15:$AL$32)/(ORÇAMENTO!$X$15-CÁLCULO.TotalAdmLocal)*CRONO!$E94,0),AE93*$R92),SUMIF(OFFSET($R94,1,0,$Q92-2),($L92+1)&amp;"$",OFFSET(AE94,1,0,$Q92-2)))</f>
        <v>0</v>
      </c>
    </row>
    <row r="95" spans="1:32" hidden="1" x14ac:dyDescent="0.25">
      <c r="A95" s="203">
        <f t="shared" ref="A95" ca="1" si="192">OFFSET(A95,-3,0)+1</f>
        <v>28</v>
      </c>
      <c r="B95" s="203">
        <f ca="1">IF($Q95&lt;&gt;2,0,IF($R95=0,1,IF(E96&gt;0,OFFSET(QCI!$M$13,SUBSTITUTE(E96,".",""),0),OFFSET(ORÇAMENTO!$AA$15,CRONO!$E95,0))/$R95))</f>
        <v>0</v>
      </c>
      <c r="C95" s="203">
        <f ca="1">IF($Q95&lt;&gt;2,0,IF($R95=0,1,IF(E96&gt;0,OFFSET(QCI!$N$13,SUBSTITUTE(E96,".",""),0),OFFSET(ORÇAMENTO!$AB$15,CRONO!$E95,0))/$R95))</f>
        <v>0</v>
      </c>
      <c r="D95" s="206" t="e">
        <f ca="1">IF(AND($Q95=2,ACOMPANHAMENTO="BM"),D96,D97/$R95)</f>
        <v>#VALUE!</v>
      </c>
      <c r="E95" s="203" t="e">
        <f ca="1">IF(A95&lt;=ORÇAMENTO.MáximoListaCrono,MATCH(A95,ORÇAMENTO.ListaCrono,0),NA())</f>
        <v>#N/A</v>
      </c>
      <c r="F95" s="203" t="str">
        <f t="shared" ref="F95" ca="1" si="193">IF(AND($E96&lt;&gt;-1,$R95&gt;0),"F","")</f>
        <v/>
      </c>
      <c r="G95" s="207" t="str">
        <f ca="1">IF(OR(R95=0,R95=""),"Linha",IF(AND(OR(ACOMPANHAMENTO="PLE",$Q95&lt;&gt;2),$E96=0),"Linha",1-SUM(T95:AF95)))</f>
        <v>Linha</v>
      </c>
      <c r="H95" s="208" t="str">
        <f ca="1">IF($E96=0,OFFSET(ORÇAMENTO!O$15,$E95,0),IF($E96&lt;&gt;-1,OFFSET(QCI!$D$13,$E96,0),""))</f>
        <v/>
      </c>
      <c r="I95" s="209" t="str">
        <f ca="1">IF($E96=0,OFFSET(ORÇAMENTO!R$15,$E95,0),IF($E96&lt;&gt;-1,OFFSET(QCI!$G$13,$E96,0),""))</f>
        <v/>
      </c>
      <c r="J95" s="209"/>
      <c r="K95" s="209"/>
      <c r="L95" s="210">
        <f ca="1">IF($E96=0,OFFSET(ORÇAMENTO!C$15,$E95,0),1)</f>
        <v>1</v>
      </c>
      <c r="M95" s="211">
        <f ca="1">IF($E96=-1,0,IF(M$13&lt;=$L95,IF(ISERROR(MATCH(M$13,OFFSET($L95,1,0,ROW($L$164)-ROW($L95)-1),0)),ROW($L$164)-ROW($L95)-1,MATCH(M$13,OFFSET($L95,1,0,ROW($L$164)-ROW($L95)-1),0)-1),0))</f>
        <v>0</v>
      </c>
      <c r="N95" s="211">
        <f ca="1">IF($E96=-1,0,IF(N$13&lt;=$L95,IF(ISERROR(MATCH(N$13,OFFSET($L95,1,0,ROW($L$164)-ROW($L95)-1),0)),ROW($L$164)-ROW($L95)-1,MATCH(N$13,OFFSET($L95,1,0,ROW($L$164)-ROW($L95)-1),0)-1),0))</f>
        <v>0</v>
      </c>
      <c r="O95" s="211">
        <f ca="1">IF($E96=-1,0,IF(O$13&lt;=$L95,IF(ISERROR(MATCH(O$13,OFFSET($L95,1,0,ROW($L$164)-ROW($L95)-1),0)),ROW($L$164)-ROW($L95)-1,MATCH(O$13,OFFSET($L95,1,0,ROW($L$164)-ROW($L95)-1),0)-1),0))</f>
        <v>0</v>
      </c>
      <c r="P95" s="211">
        <f ca="1">IF($E96=-1,0,IF(P$13&lt;=$L95,IF(ISERROR(MATCH(P$13,OFFSET($L95,1,0,ROW($L$164)-ROW($L95)-1),0)),ROW($L$164)-ROW($L95)-1,MATCH(P$13,OFFSET($L95,1,0,ROW($L$164)-ROW($L95)-1),0)-1),0))</f>
        <v>0</v>
      </c>
      <c r="Q95" s="211">
        <f t="shared" ref="Q95" ca="1" si="194">MIN(OFFSET(L95,0,1,,L95))</f>
        <v>0</v>
      </c>
      <c r="R95" s="212" t="str">
        <f ca="1">IF($E96=0,OFFSET(ORÇAMENTO!X$15,$E95,0),IF($E96&lt;&gt;-1,OFFSET(QCI!$O$13,$E96,0),""))</f>
        <v/>
      </c>
      <c r="S95" s="213" t="s">
        <v>270</v>
      </c>
      <c r="T95" s="214" t="e">
        <f t="shared" ref="T95:AE95" ca="1" si="195">IF(AND($Q95=2,ACOMPANHAMENTO="BM"),T96,T97/$R95)</f>
        <v>#VALUE!</v>
      </c>
      <c r="U95" s="206" t="e">
        <f t="shared" ca="1" si="195"/>
        <v>#VALUE!</v>
      </c>
      <c r="V95" s="206" t="e">
        <f t="shared" ca="1" si="195"/>
        <v>#VALUE!</v>
      </c>
      <c r="W95" s="206" t="e">
        <f t="shared" ca="1" si="195"/>
        <v>#VALUE!</v>
      </c>
      <c r="X95" s="206" t="e">
        <f t="shared" ca="1" si="195"/>
        <v>#VALUE!</v>
      </c>
      <c r="Y95" s="206" t="e">
        <f t="shared" ca="1" si="195"/>
        <v>#VALUE!</v>
      </c>
      <c r="Z95" s="206" t="e">
        <f t="shared" ca="1" si="195"/>
        <v>#VALUE!</v>
      </c>
      <c r="AA95" s="206" t="e">
        <f t="shared" ca="1" si="195"/>
        <v>#VALUE!</v>
      </c>
      <c r="AB95" s="206" t="e">
        <f t="shared" ca="1" si="195"/>
        <v>#VALUE!</v>
      </c>
      <c r="AC95" s="206" t="e">
        <f t="shared" ca="1" si="195"/>
        <v>#VALUE!</v>
      </c>
      <c r="AD95" s="206" t="e">
        <f t="shared" ca="1" si="195"/>
        <v>#VALUE!</v>
      </c>
      <c r="AE95" s="215" t="e">
        <f t="shared" ca="1" si="195"/>
        <v>#VALUE!</v>
      </c>
    </row>
    <row r="96" spans="1:32" ht="12.75" hidden="1" customHeight="1" x14ac:dyDescent="0.25">
      <c r="D96" s="568"/>
      <c r="E96" s="203">
        <f ca="1">IF(ISERROR(E95),IF(1+COUNTIF($L$13:OFFSET(L95,-1,0),1)&lt;=MAX(QCI!$D$13:$D$24),1+COUNTIF($L$13:OFFSET(L95,-1,0),1),-1),0)</f>
        <v>-1</v>
      </c>
      <c r="F96" s="203" t="str">
        <f t="shared" ref="F96" ca="1" si="196">IF(AND($E96&lt;&gt;-1,$R95&gt;0),"F","")</f>
        <v/>
      </c>
      <c r="G96" s="216" t="str">
        <f ca="1">IF(OR(R95=0,R95=""),"vazia",IF(AND(OR(ACOMPANHAMENTO="PLE",$Q95&lt;&gt;2),$E96=0),"calculada","--&gt;"))</f>
        <v>vazia</v>
      </c>
      <c r="H96" s="217"/>
      <c r="I96" s="218" t="str">
        <f t="shared" ref="I96" ca="1" si="197">IF(AND(G95&lt;&gt;0,ISNUMBER(G95)),"PREENCHA ESTA LINHA --&gt;","")</f>
        <v/>
      </c>
      <c r="J96" s="218"/>
      <c r="K96" s="218"/>
      <c r="L96" s="219"/>
      <c r="M96" s="219"/>
      <c r="N96" s="219"/>
      <c r="O96" s="219"/>
      <c r="P96" s="219"/>
      <c r="Q96" s="219"/>
      <c r="R96" s="220"/>
      <c r="S96" s="221"/>
      <c r="T96" s="569"/>
      <c r="U96" s="568"/>
      <c r="V96" s="568"/>
      <c r="W96" s="568"/>
      <c r="X96" s="568"/>
      <c r="Y96" s="568"/>
      <c r="Z96" s="568"/>
      <c r="AA96" s="568"/>
      <c r="AB96" s="568"/>
      <c r="AC96" s="568"/>
      <c r="AD96" s="568"/>
      <c r="AE96" s="570"/>
      <c r="AF96" s="532"/>
    </row>
    <row r="97" spans="1:32" ht="0.15" hidden="1" customHeight="1" x14ac:dyDescent="0.25">
      <c r="D97" s="222">
        <f ca="1">IF($Q95=2,IF(AND(ACOMPANHAMENTO="PLE",ISNUMBER($E95)),SUMIF((OFFSET(CÁLCULO!$AM$15:$AW$15,$E95,0,OFFSET(ORÇAMENTO!$D$15,CRONO!$E95,0))),"="&amp;CRONO!D$12,OFFSET(CÁLCULO!$AB$15:$AL$15,$E95,0,OFFSET(ORÇAMENTO!$D$15,CRONO!$E95,0)))+IF(AND($E97&lt;&gt;"",$E97&lt;&gt;0),SUMIF(CÁLCULO!$AM$15:$AW$32,"="&amp;CRONO!D$12,CÁLCULO!$AB$15:$AL$32)/(ORÇAMENTO!$X$15-CÁLCULO.TotalAdmLocal)*CRONO!$E97,0),D96*$R95),SUMIF(OFFSET($R97,1,0,$Q95-2),($L95+1)&amp;"$",OFFSET(D97,1,0,$Q95-2)))</f>
        <v>0</v>
      </c>
      <c r="E97" s="203" t="str">
        <f ca="1">IF(OR($Q95&lt;&gt;2,AUTOEVENTO&lt;&gt;"manual",$E96&gt;0),"",SUMIF(OFFSET(CÁLCULO!$M$15,CRONO!$E95,0,OFFSET(ORÇAMENTO!$D$15,CRONO!$E95,0)),1,OFFSET(ORÇAMENTO!$X$15,CRONO!$E95,0,OFFSET(ORÇAMENTO!$D$15,CRONO!$E95,0))))</f>
        <v/>
      </c>
      <c r="G97" s="223"/>
      <c r="R97" s="224" t="str">
        <f t="shared" ref="R97" ca="1" si="198">L95&amp;"$"</f>
        <v>1$</v>
      </c>
      <c r="S97" s="225"/>
      <c r="T97" s="226">
        <f ca="1">IF($Q95=2,IF(AND(ACOMPANHAMENTO="PLE",ISNUMBER($E95)),SUMIF((OFFSET(CÁLCULO!$AM$15:$AW$15,$E95,0,OFFSET(ORÇAMENTO!$D$15,CRONO!$E95,0))),"&lt;="&amp;CRONO!T$12,OFFSET(CÁLCULO!$AB$15:$AL$15,$E95,0,OFFSET(ORÇAMENTO!$D$15,CRONO!$E95,0)))+IF(AND($E97&lt;&gt;"",$E97&lt;&gt;0),SUMIF(CÁLCULO!$AM$15:$AW$32,"&lt;="&amp;CRONO!T$12,CÁLCULO!$AB$15:$AL$32)/(ORÇAMENTO!$X$15-CÁLCULO.TotalAdmLocal)*CRONO!$E97,0),T96*$R95),SUMIF(OFFSET($R97,1,0,$Q95-2),($L95+1)&amp;"$",OFFSET(T97,1,0,$Q95-2)))</f>
        <v>0</v>
      </c>
      <c r="U97" s="222">
        <f ca="1">IF($Q95=2,IF(AND(ACOMPANHAMENTO="PLE",ISNUMBER($E95)),SUMIF((OFFSET(CÁLCULO!$AM$15:$AW$15,$E95,0,OFFSET(ORÇAMENTO!$D$15,CRONO!$E95,0))),"="&amp;CRONO!U$12,OFFSET(CÁLCULO!$AB$15:$AL$15,$E95,0,OFFSET(ORÇAMENTO!$D$15,CRONO!$E95,0)))+IF(AND($E97&lt;&gt;"",$E97&lt;&gt;0),SUMIF(CÁLCULO!$AM$15:$AW$32,"="&amp;CRONO!U$12,CÁLCULO!$AB$15:$AL$32)/(ORÇAMENTO!$X$15-CÁLCULO.TotalAdmLocal)*CRONO!$E97,0),U96*$R95),SUMIF(OFFSET($R97,1,0,$Q95-2),($L95+1)&amp;"$",OFFSET(U97,1,0,$Q95-2)))</f>
        <v>0</v>
      </c>
      <c r="V97" s="222">
        <f ca="1">IF($Q95=2,IF(AND(ACOMPANHAMENTO="PLE",ISNUMBER($E95)),SUMIF((OFFSET(CÁLCULO!$AM$15:$AW$15,$E95,0,OFFSET(ORÇAMENTO!$D$15,CRONO!$E95,0))),"="&amp;CRONO!V$12,OFFSET(CÁLCULO!$AB$15:$AL$15,$E95,0,OFFSET(ORÇAMENTO!$D$15,CRONO!$E95,0)))+IF(AND($E97&lt;&gt;"",$E97&lt;&gt;0),SUMIF(CÁLCULO!$AM$15:$AW$32,"="&amp;CRONO!V$12,CÁLCULO!$AB$15:$AL$32)/(ORÇAMENTO!$X$15-CÁLCULO.TotalAdmLocal)*CRONO!$E97,0),V96*$R95),SUMIF(OFFSET($R97,1,0,$Q95-2),($L95+1)&amp;"$",OFFSET(V97,1,0,$Q95-2)))</f>
        <v>0</v>
      </c>
      <c r="W97" s="222">
        <f ca="1">IF($Q95=2,IF(AND(ACOMPANHAMENTO="PLE",ISNUMBER($E95)),SUMIF((OFFSET(CÁLCULO!$AM$15:$AW$15,$E95,0,OFFSET(ORÇAMENTO!$D$15,CRONO!$E95,0))),"="&amp;CRONO!W$12,OFFSET(CÁLCULO!$AB$15:$AL$15,$E95,0,OFFSET(ORÇAMENTO!$D$15,CRONO!$E95,0)))+IF(AND($E97&lt;&gt;"",$E97&lt;&gt;0),SUMIF(CÁLCULO!$AM$15:$AW$32,"="&amp;CRONO!W$12,CÁLCULO!$AB$15:$AL$32)/(ORÇAMENTO!$X$15-CÁLCULO.TotalAdmLocal)*CRONO!$E97,0),W96*$R95),SUMIF(OFFSET($R97,1,0,$Q95-2),($L95+1)&amp;"$",OFFSET(W97,1,0,$Q95-2)))</f>
        <v>0</v>
      </c>
      <c r="X97" s="222">
        <f ca="1">IF($Q95=2,IF(AND(ACOMPANHAMENTO="PLE",ISNUMBER($E95)),SUMIF((OFFSET(CÁLCULO!$AM$15:$AW$15,$E95,0,OFFSET(ORÇAMENTO!$D$15,CRONO!$E95,0))),"="&amp;CRONO!X$12,OFFSET(CÁLCULO!$AB$15:$AL$15,$E95,0,OFFSET(ORÇAMENTO!$D$15,CRONO!$E95,0)))+IF(AND($E97&lt;&gt;"",$E97&lt;&gt;0),SUMIF(CÁLCULO!$AM$15:$AW$32,"="&amp;CRONO!X$12,CÁLCULO!$AB$15:$AL$32)/(ORÇAMENTO!$X$15-CÁLCULO.TotalAdmLocal)*CRONO!$E97,0),X96*$R95),SUMIF(OFFSET($R97,1,0,$Q95-2),($L95+1)&amp;"$",OFFSET(X97,1,0,$Q95-2)))</f>
        <v>0</v>
      </c>
      <c r="Y97" s="222">
        <f ca="1">IF($Q95=2,IF(AND(ACOMPANHAMENTO="PLE",ISNUMBER($E95)),SUMIF((OFFSET(CÁLCULO!$AM$15:$AW$15,$E95,0,OFFSET(ORÇAMENTO!$D$15,CRONO!$E95,0))),"="&amp;CRONO!Y$12,OFFSET(CÁLCULO!$AB$15:$AL$15,$E95,0,OFFSET(ORÇAMENTO!$D$15,CRONO!$E95,0)))+IF(AND($E97&lt;&gt;"",$E97&lt;&gt;0),SUMIF(CÁLCULO!$AM$15:$AW$32,"="&amp;CRONO!Y$12,CÁLCULO!$AB$15:$AL$32)/(ORÇAMENTO!$X$15-CÁLCULO.TotalAdmLocal)*CRONO!$E97,0),Y96*$R95),SUMIF(OFFSET($R97,1,0,$Q95-2),($L95+1)&amp;"$",OFFSET(Y97,1,0,$Q95-2)))</f>
        <v>0</v>
      </c>
      <c r="Z97" s="222">
        <f ca="1">IF($Q95=2,IF(AND(ACOMPANHAMENTO="PLE",ISNUMBER($E95)),SUMIF((OFFSET(CÁLCULO!$AM$15:$AW$15,$E95,0,OFFSET(ORÇAMENTO!$D$15,CRONO!$E95,0))),"="&amp;CRONO!Z$12,OFFSET(CÁLCULO!$AB$15:$AL$15,$E95,0,OFFSET(ORÇAMENTO!$D$15,CRONO!$E95,0)))+IF(AND($E97&lt;&gt;"",$E97&lt;&gt;0),SUMIF(CÁLCULO!$AM$15:$AW$32,"="&amp;CRONO!Z$12,CÁLCULO!$AB$15:$AL$32)/(ORÇAMENTO!$X$15-CÁLCULO.TotalAdmLocal)*CRONO!$E97,0),Z96*$R95),SUMIF(OFFSET($R97,1,0,$Q95-2),($L95+1)&amp;"$",OFFSET(Z97,1,0,$Q95-2)))</f>
        <v>0</v>
      </c>
      <c r="AA97" s="222">
        <f ca="1">IF($Q95=2,IF(AND(ACOMPANHAMENTO="PLE",ISNUMBER($E95)),SUMIF((OFFSET(CÁLCULO!$AM$15:$AW$15,$E95,0,OFFSET(ORÇAMENTO!$D$15,CRONO!$E95,0))),"="&amp;CRONO!AA$12,OFFSET(CÁLCULO!$AB$15:$AL$15,$E95,0,OFFSET(ORÇAMENTO!$D$15,CRONO!$E95,0)))+IF(AND($E97&lt;&gt;"",$E97&lt;&gt;0),SUMIF(CÁLCULO!$AM$15:$AW$32,"="&amp;CRONO!AA$12,CÁLCULO!$AB$15:$AL$32)/(ORÇAMENTO!$X$15-CÁLCULO.TotalAdmLocal)*CRONO!$E97,0),AA96*$R95),SUMIF(OFFSET($R97,1,0,$Q95-2),($L95+1)&amp;"$",OFFSET(AA97,1,0,$Q95-2)))</f>
        <v>0</v>
      </c>
      <c r="AB97" s="222">
        <f ca="1">IF($Q95=2,IF(AND(ACOMPANHAMENTO="PLE",ISNUMBER($E95)),SUMIF((OFFSET(CÁLCULO!$AM$15:$AW$15,$E95,0,OFFSET(ORÇAMENTO!$D$15,CRONO!$E95,0))),"="&amp;CRONO!AB$12,OFFSET(CÁLCULO!$AB$15:$AL$15,$E95,0,OFFSET(ORÇAMENTO!$D$15,CRONO!$E95,0)))+IF(AND($E97&lt;&gt;"",$E97&lt;&gt;0),SUMIF(CÁLCULO!$AM$15:$AW$32,"="&amp;CRONO!AB$12,CÁLCULO!$AB$15:$AL$32)/(ORÇAMENTO!$X$15-CÁLCULO.TotalAdmLocal)*CRONO!$E97,0),AB96*$R95),SUMIF(OFFSET($R97,1,0,$Q95-2),($L95+1)&amp;"$",OFFSET(AB97,1,0,$Q95-2)))</f>
        <v>0</v>
      </c>
      <c r="AC97" s="222">
        <f ca="1">IF($Q95=2,IF(AND(ACOMPANHAMENTO="PLE",ISNUMBER($E95)),SUMIF((OFFSET(CÁLCULO!$AM$15:$AW$15,$E95,0,OFFSET(ORÇAMENTO!$D$15,CRONO!$E95,0))),"="&amp;CRONO!AC$12,OFFSET(CÁLCULO!$AB$15:$AL$15,$E95,0,OFFSET(ORÇAMENTO!$D$15,CRONO!$E95,0)))+IF(AND($E97&lt;&gt;"",$E97&lt;&gt;0),SUMIF(CÁLCULO!$AM$15:$AW$32,"="&amp;CRONO!AC$12,CÁLCULO!$AB$15:$AL$32)/(ORÇAMENTO!$X$15-CÁLCULO.TotalAdmLocal)*CRONO!$E97,0),AC96*$R95),SUMIF(OFFSET($R97,1,0,$Q95-2),($L95+1)&amp;"$",OFFSET(AC97,1,0,$Q95-2)))</f>
        <v>0</v>
      </c>
      <c r="AD97" s="222">
        <f ca="1">IF($Q95=2,IF(AND(ACOMPANHAMENTO="PLE",ISNUMBER($E95)),SUMIF((OFFSET(CÁLCULO!$AM$15:$AW$15,$E95,0,OFFSET(ORÇAMENTO!$D$15,CRONO!$E95,0))),"="&amp;CRONO!AD$12,OFFSET(CÁLCULO!$AB$15:$AL$15,$E95,0,OFFSET(ORÇAMENTO!$D$15,CRONO!$E95,0)))+IF(AND($E97&lt;&gt;"",$E97&lt;&gt;0),SUMIF(CÁLCULO!$AM$15:$AW$32,"="&amp;CRONO!AD$12,CÁLCULO!$AB$15:$AL$32)/(ORÇAMENTO!$X$15-CÁLCULO.TotalAdmLocal)*CRONO!$E97,0),AD96*$R95),SUMIF(OFFSET($R97,1,0,$Q95-2),($L95+1)&amp;"$",OFFSET(AD97,1,0,$Q95-2)))</f>
        <v>0</v>
      </c>
      <c r="AE97" s="227">
        <f ca="1">IF($Q95=2,IF(AND(ACOMPANHAMENTO="PLE",ISNUMBER($E95)),SUMIF((OFFSET(CÁLCULO!$AM$15:$AW$15,$E95,0,OFFSET(ORÇAMENTO!$D$15,CRONO!$E95,0))),"="&amp;CRONO!AE$12,OFFSET(CÁLCULO!$AB$15:$AL$15,$E95,0,OFFSET(ORÇAMENTO!$D$15,CRONO!$E95,0)))+IF(AND($E97&lt;&gt;"",$E97&lt;&gt;0),SUMIF(CÁLCULO!$AM$15:$AW$32,"="&amp;CRONO!AE$12,CÁLCULO!$AB$15:$AL$32)/(ORÇAMENTO!$X$15-CÁLCULO.TotalAdmLocal)*CRONO!$E97,0),AE96*$R95),SUMIF(OFFSET($R97,1,0,$Q95-2),($L95+1)&amp;"$",OFFSET(AE97,1,0,$Q95-2)))</f>
        <v>0</v>
      </c>
    </row>
    <row r="98" spans="1:32" hidden="1" x14ac:dyDescent="0.25">
      <c r="A98" s="203">
        <f t="shared" ref="A98" ca="1" si="199">OFFSET(A98,-3,0)+1</f>
        <v>29</v>
      </c>
      <c r="B98" s="203">
        <f ca="1">IF($Q98&lt;&gt;2,0,IF($R98=0,1,IF(E99&gt;0,OFFSET(QCI!$M$13,SUBSTITUTE(E99,".",""),0),OFFSET(ORÇAMENTO!$AA$15,CRONO!$E98,0))/$R98))</f>
        <v>0</v>
      </c>
      <c r="C98" s="203">
        <f ca="1">IF($Q98&lt;&gt;2,0,IF($R98=0,1,IF(E99&gt;0,OFFSET(QCI!$N$13,SUBSTITUTE(E99,".",""),0),OFFSET(ORÇAMENTO!$AB$15,CRONO!$E98,0))/$R98))</f>
        <v>0</v>
      </c>
      <c r="D98" s="206" t="e">
        <f ca="1">IF(AND($Q98=2,ACOMPANHAMENTO="BM"),D99,D100/$R98)</f>
        <v>#VALUE!</v>
      </c>
      <c r="E98" s="203" t="e">
        <f ca="1">IF(A98&lt;=ORÇAMENTO.MáximoListaCrono,MATCH(A98,ORÇAMENTO.ListaCrono,0),NA())</f>
        <v>#N/A</v>
      </c>
      <c r="F98" s="203" t="str">
        <f t="shared" ref="F98" ca="1" si="200">IF(AND($E99&lt;&gt;-1,$R98&gt;0),"F","")</f>
        <v/>
      </c>
      <c r="G98" s="207" t="str">
        <f ca="1">IF(OR(R98=0,R98=""),"Linha",IF(AND(OR(ACOMPANHAMENTO="PLE",$Q98&lt;&gt;2),$E99=0),"Linha",1-SUM(T98:AF98)))</f>
        <v>Linha</v>
      </c>
      <c r="H98" s="208" t="str">
        <f ca="1">IF($E99=0,OFFSET(ORÇAMENTO!O$15,$E98,0),IF($E99&lt;&gt;-1,OFFSET(QCI!$D$13,$E99,0),""))</f>
        <v/>
      </c>
      <c r="I98" s="209" t="str">
        <f ca="1">IF($E99=0,OFFSET(ORÇAMENTO!R$15,$E98,0),IF($E99&lt;&gt;-1,OFFSET(QCI!$G$13,$E99,0),""))</f>
        <v/>
      </c>
      <c r="J98" s="209"/>
      <c r="K98" s="209"/>
      <c r="L98" s="210">
        <f ca="1">IF($E99=0,OFFSET(ORÇAMENTO!C$15,$E98,0),1)</f>
        <v>1</v>
      </c>
      <c r="M98" s="211">
        <f ca="1">IF($E99=-1,0,IF(M$13&lt;=$L98,IF(ISERROR(MATCH(M$13,OFFSET($L98,1,0,ROW($L$164)-ROW($L98)-1),0)),ROW($L$164)-ROW($L98)-1,MATCH(M$13,OFFSET($L98,1,0,ROW($L$164)-ROW($L98)-1),0)-1),0))</f>
        <v>0</v>
      </c>
      <c r="N98" s="211">
        <f ca="1">IF($E99=-1,0,IF(N$13&lt;=$L98,IF(ISERROR(MATCH(N$13,OFFSET($L98,1,0,ROW($L$164)-ROW($L98)-1),0)),ROW($L$164)-ROW($L98)-1,MATCH(N$13,OFFSET($L98,1,0,ROW($L$164)-ROW($L98)-1),0)-1),0))</f>
        <v>0</v>
      </c>
      <c r="O98" s="211">
        <f ca="1">IF($E99=-1,0,IF(O$13&lt;=$L98,IF(ISERROR(MATCH(O$13,OFFSET($L98,1,0,ROW($L$164)-ROW($L98)-1),0)),ROW($L$164)-ROW($L98)-1,MATCH(O$13,OFFSET($L98,1,0,ROW($L$164)-ROW($L98)-1),0)-1),0))</f>
        <v>0</v>
      </c>
      <c r="P98" s="211">
        <f ca="1">IF($E99=-1,0,IF(P$13&lt;=$L98,IF(ISERROR(MATCH(P$13,OFFSET($L98,1,0,ROW($L$164)-ROW($L98)-1),0)),ROW($L$164)-ROW($L98)-1,MATCH(P$13,OFFSET($L98,1,0,ROW($L$164)-ROW($L98)-1),0)-1),0))</f>
        <v>0</v>
      </c>
      <c r="Q98" s="211">
        <f t="shared" ref="Q98" ca="1" si="201">MIN(OFFSET(L98,0,1,,L98))</f>
        <v>0</v>
      </c>
      <c r="R98" s="212" t="str">
        <f ca="1">IF($E99=0,OFFSET(ORÇAMENTO!X$15,$E98,0),IF($E99&lt;&gt;-1,OFFSET(QCI!$O$13,$E99,0),""))</f>
        <v/>
      </c>
      <c r="S98" s="213" t="s">
        <v>270</v>
      </c>
      <c r="T98" s="214" t="e">
        <f t="shared" ref="T98:AE98" ca="1" si="202">IF(AND($Q98=2,ACOMPANHAMENTO="BM"),T99,T100/$R98)</f>
        <v>#VALUE!</v>
      </c>
      <c r="U98" s="206" t="e">
        <f t="shared" ca="1" si="202"/>
        <v>#VALUE!</v>
      </c>
      <c r="V98" s="206" t="e">
        <f t="shared" ca="1" si="202"/>
        <v>#VALUE!</v>
      </c>
      <c r="W98" s="206" t="e">
        <f t="shared" ca="1" si="202"/>
        <v>#VALUE!</v>
      </c>
      <c r="X98" s="206" t="e">
        <f t="shared" ca="1" si="202"/>
        <v>#VALUE!</v>
      </c>
      <c r="Y98" s="206" t="e">
        <f t="shared" ca="1" si="202"/>
        <v>#VALUE!</v>
      </c>
      <c r="Z98" s="206" t="e">
        <f t="shared" ca="1" si="202"/>
        <v>#VALUE!</v>
      </c>
      <c r="AA98" s="206" t="e">
        <f t="shared" ca="1" si="202"/>
        <v>#VALUE!</v>
      </c>
      <c r="AB98" s="206" t="e">
        <f t="shared" ca="1" si="202"/>
        <v>#VALUE!</v>
      </c>
      <c r="AC98" s="206" t="e">
        <f t="shared" ca="1" si="202"/>
        <v>#VALUE!</v>
      </c>
      <c r="AD98" s="206" t="e">
        <f t="shared" ca="1" si="202"/>
        <v>#VALUE!</v>
      </c>
      <c r="AE98" s="215" t="e">
        <f t="shared" ca="1" si="202"/>
        <v>#VALUE!</v>
      </c>
    </row>
    <row r="99" spans="1:32" ht="12.75" hidden="1" customHeight="1" x14ac:dyDescent="0.25">
      <c r="D99" s="568"/>
      <c r="E99" s="203">
        <f ca="1">IF(ISERROR(E98),IF(1+COUNTIF($L$13:OFFSET(L98,-1,0),1)&lt;=MAX(QCI!$D$13:$D$24),1+COUNTIF($L$13:OFFSET(L98,-1,0),1),-1),0)</f>
        <v>-1</v>
      </c>
      <c r="F99" s="203" t="str">
        <f t="shared" ref="F99" ca="1" si="203">IF(AND($E99&lt;&gt;-1,$R98&gt;0),"F","")</f>
        <v/>
      </c>
      <c r="G99" s="216" t="str">
        <f ca="1">IF(OR(R98=0,R98=""),"vazia",IF(AND(OR(ACOMPANHAMENTO="PLE",$Q98&lt;&gt;2),$E99=0),"calculada","--&gt;"))</f>
        <v>vazia</v>
      </c>
      <c r="H99" s="217"/>
      <c r="I99" s="218" t="str">
        <f t="shared" ref="I99" ca="1" si="204">IF(AND(G98&lt;&gt;0,ISNUMBER(G98)),"PREENCHA ESTA LINHA --&gt;","")</f>
        <v/>
      </c>
      <c r="J99" s="218"/>
      <c r="K99" s="218"/>
      <c r="L99" s="219"/>
      <c r="M99" s="219"/>
      <c r="N99" s="219"/>
      <c r="O99" s="219"/>
      <c r="P99" s="219"/>
      <c r="Q99" s="219"/>
      <c r="R99" s="220"/>
      <c r="S99" s="221"/>
      <c r="T99" s="569"/>
      <c r="U99" s="568"/>
      <c r="V99" s="568"/>
      <c r="W99" s="568"/>
      <c r="X99" s="568"/>
      <c r="Y99" s="568"/>
      <c r="Z99" s="568"/>
      <c r="AA99" s="568"/>
      <c r="AB99" s="568"/>
      <c r="AC99" s="568"/>
      <c r="AD99" s="568"/>
      <c r="AE99" s="570"/>
      <c r="AF99" s="532"/>
    </row>
    <row r="100" spans="1:32" ht="0.15" hidden="1" customHeight="1" x14ac:dyDescent="0.25">
      <c r="D100" s="222">
        <f ca="1">IF($Q98=2,IF(AND(ACOMPANHAMENTO="PLE",ISNUMBER($E98)),SUMIF((OFFSET(CÁLCULO!$AM$15:$AW$15,$E98,0,OFFSET(ORÇAMENTO!$D$15,CRONO!$E98,0))),"="&amp;CRONO!D$12,OFFSET(CÁLCULO!$AB$15:$AL$15,$E98,0,OFFSET(ORÇAMENTO!$D$15,CRONO!$E98,0)))+IF(AND($E100&lt;&gt;"",$E100&lt;&gt;0),SUMIF(CÁLCULO!$AM$15:$AW$32,"="&amp;CRONO!D$12,CÁLCULO!$AB$15:$AL$32)/(ORÇAMENTO!$X$15-CÁLCULO.TotalAdmLocal)*CRONO!$E100,0),D99*$R98),SUMIF(OFFSET($R100,1,0,$Q98-2),($L98+1)&amp;"$",OFFSET(D100,1,0,$Q98-2)))</f>
        <v>0</v>
      </c>
      <c r="E100" s="203" t="str">
        <f ca="1">IF(OR($Q98&lt;&gt;2,AUTOEVENTO&lt;&gt;"manual",$E99&gt;0),"",SUMIF(OFFSET(CÁLCULO!$M$15,CRONO!$E98,0,OFFSET(ORÇAMENTO!$D$15,CRONO!$E98,0)),1,OFFSET(ORÇAMENTO!$X$15,CRONO!$E98,0,OFFSET(ORÇAMENTO!$D$15,CRONO!$E98,0))))</f>
        <v/>
      </c>
      <c r="G100" s="223"/>
      <c r="R100" s="224" t="str">
        <f t="shared" ref="R100" ca="1" si="205">L98&amp;"$"</f>
        <v>1$</v>
      </c>
      <c r="S100" s="225"/>
      <c r="T100" s="226">
        <f ca="1">IF($Q98=2,IF(AND(ACOMPANHAMENTO="PLE",ISNUMBER($E98)),SUMIF((OFFSET(CÁLCULO!$AM$15:$AW$15,$E98,0,OFFSET(ORÇAMENTO!$D$15,CRONO!$E98,0))),"&lt;="&amp;CRONO!T$12,OFFSET(CÁLCULO!$AB$15:$AL$15,$E98,0,OFFSET(ORÇAMENTO!$D$15,CRONO!$E98,0)))+IF(AND($E100&lt;&gt;"",$E100&lt;&gt;0),SUMIF(CÁLCULO!$AM$15:$AW$32,"&lt;="&amp;CRONO!T$12,CÁLCULO!$AB$15:$AL$32)/(ORÇAMENTO!$X$15-CÁLCULO.TotalAdmLocal)*CRONO!$E100,0),T99*$R98),SUMIF(OFFSET($R100,1,0,$Q98-2),($L98+1)&amp;"$",OFFSET(T100,1,0,$Q98-2)))</f>
        <v>0</v>
      </c>
      <c r="U100" s="222">
        <f ca="1">IF($Q98=2,IF(AND(ACOMPANHAMENTO="PLE",ISNUMBER($E98)),SUMIF((OFFSET(CÁLCULO!$AM$15:$AW$15,$E98,0,OFFSET(ORÇAMENTO!$D$15,CRONO!$E98,0))),"="&amp;CRONO!U$12,OFFSET(CÁLCULO!$AB$15:$AL$15,$E98,0,OFFSET(ORÇAMENTO!$D$15,CRONO!$E98,0)))+IF(AND($E100&lt;&gt;"",$E100&lt;&gt;0),SUMIF(CÁLCULO!$AM$15:$AW$32,"="&amp;CRONO!U$12,CÁLCULO!$AB$15:$AL$32)/(ORÇAMENTO!$X$15-CÁLCULO.TotalAdmLocal)*CRONO!$E100,0),U99*$R98),SUMIF(OFFSET($R100,1,0,$Q98-2),($L98+1)&amp;"$",OFFSET(U100,1,0,$Q98-2)))</f>
        <v>0</v>
      </c>
      <c r="V100" s="222">
        <f ca="1">IF($Q98=2,IF(AND(ACOMPANHAMENTO="PLE",ISNUMBER($E98)),SUMIF((OFFSET(CÁLCULO!$AM$15:$AW$15,$E98,0,OFFSET(ORÇAMENTO!$D$15,CRONO!$E98,0))),"="&amp;CRONO!V$12,OFFSET(CÁLCULO!$AB$15:$AL$15,$E98,0,OFFSET(ORÇAMENTO!$D$15,CRONO!$E98,0)))+IF(AND($E100&lt;&gt;"",$E100&lt;&gt;0),SUMIF(CÁLCULO!$AM$15:$AW$32,"="&amp;CRONO!V$12,CÁLCULO!$AB$15:$AL$32)/(ORÇAMENTO!$X$15-CÁLCULO.TotalAdmLocal)*CRONO!$E100,0),V99*$R98),SUMIF(OFFSET($R100,1,0,$Q98-2),($L98+1)&amp;"$",OFFSET(V100,1,0,$Q98-2)))</f>
        <v>0</v>
      </c>
      <c r="W100" s="222">
        <f ca="1">IF($Q98=2,IF(AND(ACOMPANHAMENTO="PLE",ISNUMBER($E98)),SUMIF((OFFSET(CÁLCULO!$AM$15:$AW$15,$E98,0,OFFSET(ORÇAMENTO!$D$15,CRONO!$E98,0))),"="&amp;CRONO!W$12,OFFSET(CÁLCULO!$AB$15:$AL$15,$E98,0,OFFSET(ORÇAMENTO!$D$15,CRONO!$E98,0)))+IF(AND($E100&lt;&gt;"",$E100&lt;&gt;0),SUMIF(CÁLCULO!$AM$15:$AW$32,"="&amp;CRONO!W$12,CÁLCULO!$AB$15:$AL$32)/(ORÇAMENTO!$X$15-CÁLCULO.TotalAdmLocal)*CRONO!$E100,0),W99*$R98),SUMIF(OFFSET($R100,1,0,$Q98-2),($L98+1)&amp;"$",OFFSET(W100,1,0,$Q98-2)))</f>
        <v>0</v>
      </c>
      <c r="X100" s="222">
        <f ca="1">IF($Q98=2,IF(AND(ACOMPANHAMENTO="PLE",ISNUMBER($E98)),SUMIF((OFFSET(CÁLCULO!$AM$15:$AW$15,$E98,0,OFFSET(ORÇAMENTO!$D$15,CRONO!$E98,0))),"="&amp;CRONO!X$12,OFFSET(CÁLCULO!$AB$15:$AL$15,$E98,0,OFFSET(ORÇAMENTO!$D$15,CRONO!$E98,0)))+IF(AND($E100&lt;&gt;"",$E100&lt;&gt;0),SUMIF(CÁLCULO!$AM$15:$AW$32,"="&amp;CRONO!X$12,CÁLCULO!$AB$15:$AL$32)/(ORÇAMENTO!$X$15-CÁLCULO.TotalAdmLocal)*CRONO!$E100,0),X99*$R98),SUMIF(OFFSET($R100,1,0,$Q98-2),($L98+1)&amp;"$",OFFSET(X100,1,0,$Q98-2)))</f>
        <v>0</v>
      </c>
      <c r="Y100" s="222">
        <f ca="1">IF($Q98=2,IF(AND(ACOMPANHAMENTO="PLE",ISNUMBER($E98)),SUMIF((OFFSET(CÁLCULO!$AM$15:$AW$15,$E98,0,OFFSET(ORÇAMENTO!$D$15,CRONO!$E98,0))),"="&amp;CRONO!Y$12,OFFSET(CÁLCULO!$AB$15:$AL$15,$E98,0,OFFSET(ORÇAMENTO!$D$15,CRONO!$E98,0)))+IF(AND($E100&lt;&gt;"",$E100&lt;&gt;0),SUMIF(CÁLCULO!$AM$15:$AW$32,"="&amp;CRONO!Y$12,CÁLCULO!$AB$15:$AL$32)/(ORÇAMENTO!$X$15-CÁLCULO.TotalAdmLocal)*CRONO!$E100,0),Y99*$R98),SUMIF(OFFSET($R100,1,0,$Q98-2),($L98+1)&amp;"$",OFFSET(Y100,1,0,$Q98-2)))</f>
        <v>0</v>
      </c>
      <c r="Z100" s="222">
        <f ca="1">IF($Q98=2,IF(AND(ACOMPANHAMENTO="PLE",ISNUMBER($E98)),SUMIF((OFFSET(CÁLCULO!$AM$15:$AW$15,$E98,0,OFFSET(ORÇAMENTO!$D$15,CRONO!$E98,0))),"="&amp;CRONO!Z$12,OFFSET(CÁLCULO!$AB$15:$AL$15,$E98,0,OFFSET(ORÇAMENTO!$D$15,CRONO!$E98,0)))+IF(AND($E100&lt;&gt;"",$E100&lt;&gt;0),SUMIF(CÁLCULO!$AM$15:$AW$32,"="&amp;CRONO!Z$12,CÁLCULO!$AB$15:$AL$32)/(ORÇAMENTO!$X$15-CÁLCULO.TotalAdmLocal)*CRONO!$E100,0),Z99*$R98),SUMIF(OFFSET($R100,1,0,$Q98-2),($L98+1)&amp;"$",OFFSET(Z100,1,0,$Q98-2)))</f>
        <v>0</v>
      </c>
      <c r="AA100" s="222">
        <f ca="1">IF($Q98=2,IF(AND(ACOMPANHAMENTO="PLE",ISNUMBER($E98)),SUMIF((OFFSET(CÁLCULO!$AM$15:$AW$15,$E98,0,OFFSET(ORÇAMENTO!$D$15,CRONO!$E98,0))),"="&amp;CRONO!AA$12,OFFSET(CÁLCULO!$AB$15:$AL$15,$E98,0,OFFSET(ORÇAMENTO!$D$15,CRONO!$E98,0)))+IF(AND($E100&lt;&gt;"",$E100&lt;&gt;0),SUMIF(CÁLCULO!$AM$15:$AW$32,"="&amp;CRONO!AA$12,CÁLCULO!$AB$15:$AL$32)/(ORÇAMENTO!$X$15-CÁLCULO.TotalAdmLocal)*CRONO!$E100,0),AA99*$R98),SUMIF(OFFSET($R100,1,0,$Q98-2),($L98+1)&amp;"$",OFFSET(AA100,1,0,$Q98-2)))</f>
        <v>0</v>
      </c>
      <c r="AB100" s="222">
        <f ca="1">IF($Q98=2,IF(AND(ACOMPANHAMENTO="PLE",ISNUMBER($E98)),SUMIF((OFFSET(CÁLCULO!$AM$15:$AW$15,$E98,0,OFFSET(ORÇAMENTO!$D$15,CRONO!$E98,0))),"="&amp;CRONO!AB$12,OFFSET(CÁLCULO!$AB$15:$AL$15,$E98,0,OFFSET(ORÇAMENTO!$D$15,CRONO!$E98,0)))+IF(AND($E100&lt;&gt;"",$E100&lt;&gt;0),SUMIF(CÁLCULO!$AM$15:$AW$32,"="&amp;CRONO!AB$12,CÁLCULO!$AB$15:$AL$32)/(ORÇAMENTO!$X$15-CÁLCULO.TotalAdmLocal)*CRONO!$E100,0),AB99*$R98),SUMIF(OFFSET($R100,1,0,$Q98-2),($L98+1)&amp;"$",OFFSET(AB100,1,0,$Q98-2)))</f>
        <v>0</v>
      </c>
      <c r="AC100" s="222">
        <f ca="1">IF($Q98=2,IF(AND(ACOMPANHAMENTO="PLE",ISNUMBER($E98)),SUMIF((OFFSET(CÁLCULO!$AM$15:$AW$15,$E98,0,OFFSET(ORÇAMENTO!$D$15,CRONO!$E98,0))),"="&amp;CRONO!AC$12,OFFSET(CÁLCULO!$AB$15:$AL$15,$E98,0,OFFSET(ORÇAMENTO!$D$15,CRONO!$E98,0)))+IF(AND($E100&lt;&gt;"",$E100&lt;&gt;0),SUMIF(CÁLCULO!$AM$15:$AW$32,"="&amp;CRONO!AC$12,CÁLCULO!$AB$15:$AL$32)/(ORÇAMENTO!$X$15-CÁLCULO.TotalAdmLocal)*CRONO!$E100,0),AC99*$R98),SUMIF(OFFSET($R100,1,0,$Q98-2),($L98+1)&amp;"$",OFFSET(AC100,1,0,$Q98-2)))</f>
        <v>0</v>
      </c>
      <c r="AD100" s="222">
        <f ca="1">IF($Q98=2,IF(AND(ACOMPANHAMENTO="PLE",ISNUMBER($E98)),SUMIF((OFFSET(CÁLCULO!$AM$15:$AW$15,$E98,0,OFFSET(ORÇAMENTO!$D$15,CRONO!$E98,0))),"="&amp;CRONO!AD$12,OFFSET(CÁLCULO!$AB$15:$AL$15,$E98,0,OFFSET(ORÇAMENTO!$D$15,CRONO!$E98,0)))+IF(AND($E100&lt;&gt;"",$E100&lt;&gt;0),SUMIF(CÁLCULO!$AM$15:$AW$32,"="&amp;CRONO!AD$12,CÁLCULO!$AB$15:$AL$32)/(ORÇAMENTO!$X$15-CÁLCULO.TotalAdmLocal)*CRONO!$E100,0),AD99*$R98),SUMIF(OFFSET($R100,1,0,$Q98-2),($L98+1)&amp;"$",OFFSET(AD100,1,0,$Q98-2)))</f>
        <v>0</v>
      </c>
      <c r="AE100" s="227">
        <f ca="1">IF($Q98=2,IF(AND(ACOMPANHAMENTO="PLE",ISNUMBER($E98)),SUMIF((OFFSET(CÁLCULO!$AM$15:$AW$15,$E98,0,OFFSET(ORÇAMENTO!$D$15,CRONO!$E98,0))),"="&amp;CRONO!AE$12,OFFSET(CÁLCULO!$AB$15:$AL$15,$E98,0,OFFSET(ORÇAMENTO!$D$15,CRONO!$E98,0)))+IF(AND($E100&lt;&gt;"",$E100&lt;&gt;0),SUMIF(CÁLCULO!$AM$15:$AW$32,"="&amp;CRONO!AE$12,CÁLCULO!$AB$15:$AL$32)/(ORÇAMENTO!$X$15-CÁLCULO.TotalAdmLocal)*CRONO!$E100,0),AE99*$R98),SUMIF(OFFSET($R100,1,0,$Q98-2),($L98+1)&amp;"$",OFFSET(AE100,1,0,$Q98-2)))</f>
        <v>0</v>
      </c>
    </row>
    <row r="101" spans="1:32" hidden="1" x14ac:dyDescent="0.25">
      <c r="A101" s="203">
        <f t="shared" ref="A101" ca="1" si="206">OFFSET(A101,-3,0)+1</f>
        <v>30</v>
      </c>
      <c r="B101" s="203">
        <f ca="1">IF($Q101&lt;&gt;2,0,IF($R101=0,1,IF(E102&gt;0,OFFSET(QCI!$M$13,SUBSTITUTE(E102,".",""),0),OFFSET(ORÇAMENTO!$AA$15,CRONO!$E101,0))/$R101))</f>
        <v>0</v>
      </c>
      <c r="C101" s="203">
        <f ca="1">IF($Q101&lt;&gt;2,0,IF($R101=0,1,IF(E102&gt;0,OFFSET(QCI!$N$13,SUBSTITUTE(E102,".",""),0),OFFSET(ORÇAMENTO!$AB$15,CRONO!$E101,0))/$R101))</f>
        <v>0</v>
      </c>
      <c r="D101" s="206" t="e">
        <f ca="1">IF(AND($Q101=2,ACOMPANHAMENTO="BM"),D102,D103/$R101)</f>
        <v>#VALUE!</v>
      </c>
      <c r="E101" s="203" t="e">
        <f ca="1">IF(A101&lt;=ORÇAMENTO.MáximoListaCrono,MATCH(A101,ORÇAMENTO.ListaCrono,0),NA())</f>
        <v>#N/A</v>
      </c>
      <c r="F101" s="203" t="str">
        <f t="shared" ref="F101" ca="1" si="207">IF(AND($E102&lt;&gt;-1,$R101&gt;0),"F","")</f>
        <v/>
      </c>
      <c r="G101" s="207" t="str">
        <f ca="1">IF(OR(R101=0,R101=""),"Linha",IF(AND(OR(ACOMPANHAMENTO="PLE",$Q101&lt;&gt;2),$E102=0),"Linha",1-SUM(T101:AF101)))</f>
        <v>Linha</v>
      </c>
      <c r="H101" s="208" t="str">
        <f ca="1">IF($E102=0,OFFSET(ORÇAMENTO!O$15,$E101,0),IF($E102&lt;&gt;-1,OFFSET(QCI!$D$13,$E102,0),""))</f>
        <v/>
      </c>
      <c r="I101" s="209" t="str">
        <f ca="1">IF($E102=0,OFFSET(ORÇAMENTO!R$15,$E101,0),IF($E102&lt;&gt;-1,OFFSET(QCI!$G$13,$E102,0),""))</f>
        <v/>
      </c>
      <c r="J101" s="209"/>
      <c r="K101" s="209"/>
      <c r="L101" s="210">
        <f ca="1">IF($E102=0,OFFSET(ORÇAMENTO!C$15,$E101,0),1)</f>
        <v>1</v>
      </c>
      <c r="M101" s="211">
        <f ca="1">IF($E102=-1,0,IF(M$13&lt;=$L101,IF(ISERROR(MATCH(M$13,OFFSET($L101,1,0,ROW($L$164)-ROW($L101)-1),0)),ROW($L$164)-ROW($L101)-1,MATCH(M$13,OFFSET($L101,1,0,ROW($L$164)-ROW($L101)-1),0)-1),0))</f>
        <v>0</v>
      </c>
      <c r="N101" s="211">
        <f ca="1">IF($E102=-1,0,IF(N$13&lt;=$L101,IF(ISERROR(MATCH(N$13,OFFSET($L101,1,0,ROW($L$164)-ROW($L101)-1),0)),ROW($L$164)-ROW($L101)-1,MATCH(N$13,OFFSET($L101,1,0,ROW($L$164)-ROW($L101)-1),0)-1),0))</f>
        <v>0</v>
      </c>
      <c r="O101" s="211">
        <f ca="1">IF($E102=-1,0,IF(O$13&lt;=$L101,IF(ISERROR(MATCH(O$13,OFFSET($L101,1,0,ROW($L$164)-ROW($L101)-1),0)),ROW($L$164)-ROW($L101)-1,MATCH(O$13,OFFSET($L101,1,0,ROW($L$164)-ROW($L101)-1),0)-1),0))</f>
        <v>0</v>
      </c>
      <c r="P101" s="211">
        <f ca="1">IF($E102=-1,0,IF(P$13&lt;=$L101,IF(ISERROR(MATCH(P$13,OFFSET($L101,1,0,ROW($L$164)-ROW($L101)-1),0)),ROW($L$164)-ROW($L101)-1,MATCH(P$13,OFFSET($L101,1,0,ROW($L$164)-ROW($L101)-1),0)-1),0))</f>
        <v>0</v>
      </c>
      <c r="Q101" s="211">
        <f t="shared" ref="Q101" ca="1" si="208">MIN(OFFSET(L101,0,1,,L101))</f>
        <v>0</v>
      </c>
      <c r="R101" s="212" t="str">
        <f ca="1">IF($E102=0,OFFSET(ORÇAMENTO!X$15,$E101,0),IF($E102&lt;&gt;-1,OFFSET(QCI!$O$13,$E102,0),""))</f>
        <v/>
      </c>
      <c r="S101" s="213" t="s">
        <v>270</v>
      </c>
      <c r="T101" s="214" t="e">
        <f t="shared" ref="T101:AE101" ca="1" si="209">IF(AND($Q101=2,ACOMPANHAMENTO="BM"),T102,T103/$R101)</f>
        <v>#VALUE!</v>
      </c>
      <c r="U101" s="206" t="e">
        <f t="shared" ca="1" si="209"/>
        <v>#VALUE!</v>
      </c>
      <c r="V101" s="206" t="e">
        <f t="shared" ca="1" si="209"/>
        <v>#VALUE!</v>
      </c>
      <c r="W101" s="206" t="e">
        <f t="shared" ca="1" si="209"/>
        <v>#VALUE!</v>
      </c>
      <c r="X101" s="206" t="e">
        <f t="shared" ca="1" si="209"/>
        <v>#VALUE!</v>
      </c>
      <c r="Y101" s="206" t="e">
        <f t="shared" ca="1" si="209"/>
        <v>#VALUE!</v>
      </c>
      <c r="Z101" s="206" t="e">
        <f t="shared" ca="1" si="209"/>
        <v>#VALUE!</v>
      </c>
      <c r="AA101" s="206" t="e">
        <f t="shared" ca="1" si="209"/>
        <v>#VALUE!</v>
      </c>
      <c r="AB101" s="206" t="e">
        <f t="shared" ca="1" si="209"/>
        <v>#VALUE!</v>
      </c>
      <c r="AC101" s="206" t="e">
        <f t="shared" ca="1" si="209"/>
        <v>#VALUE!</v>
      </c>
      <c r="AD101" s="206" t="e">
        <f t="shared" ca="1" si="209"/>
        <v>#VALUE!</v>
      </c>
      <c r="AE101" s="215" t="e">
        <f t="shared" ca="1" si="209"/>
        <v>#VALUE!</v>
      </c>
    </row>
    <row r="102" spans="1:32" ht="12.75" hidden="1" customHeight="1" x14ac:dyDescent="0.25">
      <c r="D102" s="568"/>
      <c r="E102" s="203">
        <f ca="1">IF(ISERROR(E101),IF(1+COUNTIF($L$13:OFFSET(L101,-1,0),1)&lt;=MAX(QCI!$D$13:$D$24),1+COUNTIF($L$13:OFFSET(L101,-1,0),1),-1),0)</f>
        <v>-1</v>
      </c>
      <c r="F102" s="203" t="str">
        <f t="shared" ref="F102" ca="1" si="210">IF(AND($E102&lt;&gt;-1,$R101&gt;0),"F","")</f>
        <v/>
      </c>
      <c r="G102" s="216" t="str">
        <f ca="1">IF(OR(R101=0,R101=""),"vazia",IF(AND(OR(ACOMPANHAMENTO="PLE",$Q101&lt;&gt;2),$E102=0),"calculada","--&gt;"))</f>
        <v>vazia</v>
      </c>
      <c r="H102" s="217"/>
      <c r="I102" s="218" t="str">
        <f t="shared" ref="I102" ca="1" si="211">IF(AND(G101&lt;&gt;0,ISNUMBER(G101)),"PREENCHA ESTA LINHA --&gt;","")</f>
        <v/>
      </c>
      <c r="J102" s="218"/>
      <c r="K102" s="218"/>
      <c r="L102" s="219"/>
      <c r="M102" s="219"/>
      <c r="N102" s="219"/>
      <c r="O102" s="219"/>
      <c r="P102" s="219"/>
      <c r="Q102" s="219"/>
      <c r="R102" s="220"/>
      <c r="S102" s="221"/>
      <c r="T102" s="569"/>
      <c r="U102" s="568"/>
      <c r="V102" s="568"/>
      <c r="W102" s="568"/>
      <c r="X102" s="568"/>
      <c r="Y102" s="568"/>
      <c r="Z102" s="568"/>
      <c r="AA102" s="568"/>
      <c r="AB102" s="568"/>
      <c r="AC102" s="568"/>
      <c r="AD102" s="568"/>
      <c r="AE102" s="570"/>
      <c r="AF102" s="532"/>
    </row>
    <row r="103" spans="1:32" ht="0.15" hidden="1" customHeight="1" x14ac:dyDescent="0.25">
      <c r="D103" s="222">
        <f ca="1">IF($Q101=2,IF(AND(ACOMPANHAMENTO="PLE",ISNUMBER($E101)),SUMIF((OFFSET(CÁLCULO!$AM$15:$AW$15,$E101,0,OFFSET(ORÇAMENTO!$D$15,CRONO!$E101,0))),"="&amp;CRONO!D$12,OFFSET(CÁLCULO!$AB$15:$AL$15,$E101,0,OFFSET(ORÇAMENTO!$D$15,CRONO!$E101,0)))+IF(AND($E103&lt;&gt;"",$E103&lt;&gt;0),SUMIF(CÁLCULO!$AM$15:$AW$32,"="&amp;CRONO!D$12,CÁLCULO!$AB$15:$AL$32)/(ORÇAMENTO!$X$15-CÁLCULO.TotalAdmLocal)*CRONO!$E103,0),D102*$R101),SUMIF(OFFSET($R103,1,0,$Q101-2),($L101+1)&amp;"$",OFFSET(D103,1,0,$Q101-2)))</f>
        <v>0</v>
      </c>
      <c r="E103" s="203" t="str">
        <f ca="1">IF(OR($Q101&lt;&gt;2,AUTOEVENTO&lt;&gt;"manual",$E102&gt;0),"",SUMIF(OFFSET(CÁLCULO!$M$15,CRONO!$E101,0,OFFSET(ORÇAMENTO!$D$15,CRONO!$E101,0)),1,OFFSET(ORÇAMENTO!$X$15,CRONO!$E101,0,OFFSET(ORÇAMENTO!$D$15,CRONO!$E101,0))))</f>
        <v/>
      </c>
      <c r="G103" s="223"/>
      <c r="R103" s="224" t="str">
        <f t="shared" ref="R103" ca="1" si="212">L101&amp;"$"</f>
        <v>1$</v>
      </c>
      <c r="S103" s="225"/>
      <c r="T103" s="226">
        <f ca="1">IF($Q101=2,IF(AND(ACOMPANHAMENTO="PLE",ISNUMBER($E101)),SUMIF((OFFSET(CÁLCULO!$AM$15:$AW$15,$E101,0,OFFSET(ORÇAMENTO!$D$15,CRONO!$E101,0))),"&lt;="&amp;CRONO!T$12,OFFSET(CÁLCULO!$AB$15:$AL$15,$E101,0,OFFSET(ORÇAMENTO!$D$15,CRONO!$E101,0)))+IF(AND($E103&lt;&gt;"",$E103&lt;&gt;0),SUMIF(CÁLCULO!$AM$15:$AW$32,"&lt;="&amp;CRONO!T$12,CÁLCULO!$AB$15:$AL$32)/(ORÇAMENTO!$X$15-CÁLCULO.TotalAdmLocal)*CRONO!$E103,0),T102*$R101),SUMIF(OFFSET($R103,1,0,$Q101-2),($L101+1)&amp;"$",OFFSET(T103,1,0,$Q101-2)))</f>
        <v>0</v>
      </c>
      <c r="U103" s="222">
        <f ca="1">IF($Q101=2,IF(AND(ACOMPANHAMENTO="PLE",ISNUMBER($E101)),SUMIF((OFFSET(CÁLCULO!$AM$15:$AW$15,$E101,0,OFFSET(ORÇAMENTO!$D$15,CRONO!$E101,0))),"="&amp;CRONO!U$12,OFFSET(CÁLCULO!$AB$15:$AL$15,$E101,0,OFFSET(ORÇAMENTO!$D$15,CRONO!$E101,0)))+IF(AND($E103&lt;&gt;"",$E103&lt;&gt;0),SUMIF(CÁLCULO!$AM$15:$AW$32,"="&amp;CRONO!U$12,CÁLCULO!$AB$15:$AL$32)/(ORÇAMENTO!$X$15-CÁLCULO.TotalAdmLocal)*CRONO!$E103,0),U102*$R101),SUMIF(OFFSET($R103,1,0,$Q101-2),($L101+1)&amp;"$",OFFSET(U103,1,0,$Q101-2)))</f>
        <v>0</v>
      </c>
      <c r="V103" s="222">
        <f ca="1">IF($Q101=2,IF(AND(ACOMPANHAMENTO="PLE",ISNUMBER($E101)),SUMIF((OFFSET(CÁLCULO!$AM$15:$AW$15,$E101,0,OFFSET(ORÇAMENTO!$D$15,CRONO!$E101,0))),"="&amp;CRONO!V$12,OFFSET(CÁLCULO!$AB$15:$AL$15,$E101,0,OFFSET(ORÇAMENTO!$D$15,CRONO!$E101,0)))+IF(AND($E103&lt;&gt;"",$E103&lt;&gt;0),SUMIF(CÁLCULO!$AM$15:$AW$32,"="&amp;CRONO!V$12,CÁLCULO!$AB$15:$AL$32)/(ORÇAMENTO!$X$15-CÁLCULO.TotalAdmLocal)*CRONO!$E103,0),V102*$R101),SUMIF(OFFSET($R103,1,0,$Q101-2),($L101+1)&amp;"$",OFFSET(V103,1,0,$Q101-2)))</f>
        <v>0</v>
      </c>
      <c r="W103" s="222">
        <f ca="1">IF($Q101=2,IF(AND(ACOMPANHAMENTO="PLE",ISNUMBER($E101)),SUMIF((OFFSET(CÁLCULO!$AM$15:$AW$15,$E101,0,OFFSET(ORÇAMENTO!$D$15,CRONO!$E101,0))),"="&amp;CRONO!W$12,OFFSET(CÁLCULO!$AB$15:$AL$15,$E101,0,OFFSET(ORÇAMENTO!$D$15,CRONO!$E101,0)))+IF(AND($E103&lt;&gt;"",$E103&lt;&gt;0),SUMIF(CÁLCULO!$AM$15:$AW$32,"="&amp;CRONO!W$12,CÁLCULO!$AB$15:$AL$32)/(ORÇAMENTO!$X$15-CÁLCULO.TotalAdmLocal)*CRONO!$E103,0),W102*$R101),SUMIF(OFFSET($R103,1,0,$Q101-2),($L101+1)&amp;"$",OFFSET(W103,1,0,$Q101-2)))</f>
        <v>0</v>
      </c>
      <c r="X103" s="222">
        <f ca="1">IF($Q101=2,IF(AND(ACOMPANHAMENTO="PLE",ISNUMBER($E101)),SUMIF((OFFSET(CÁLCULO!$AM$15:$AW$15,$E101,0,OFFSET(ORÇAMENTO!$D$15,CRONO!$E101,0))),"="&amp;CRONO!X$12,OFFSET(CÁLCULO!$AB$15:$AL$15,$E101,0,OFFSET(ORÇAMENTO!$D$15,CRONO!$E101,0)))+IF(AND($E103&lt;&gt;"",$E103&lt;&gt;0),SUMIF(CÁLCULO!$AM$15:$AW$32,"="&amp;CRONO!X$12,CÁLCULO!$AB$15:$AL$32)/(ORÇAMENTO!$X$15-CÁLCULO.TotalAdmLocal)*CRONO!$E103,0),X102*$R101),SUMIF(OFFSET($R103,1,0,$Q101-2),($L101+1)&amp;"$",OFFSET(X103,1,0,$Q101-2)))</f>
        <v>0</v>
      </c>
      <c r="Y103" s="222">
        <f ca="1">IF($Q101=2,IF(AND(ACOMPANHAMENTO="PLE",ISNUMBER($E101)),SUMIF((OFFSET(CÁLCULO!$AM$15:$AW$15,$E101,0,OFFSET(ORÇAMENTO!$D$15,CRONO!$E101,0))),"="&amp;CRONO!Y$12,OFFSET(CÁLCULO!$AB$15:$AL$15,$E101,0,OFFSET(ORÇAMENTO!$D$15,CRONO!$E101,0)))+IF(AND($E103&lt;&gt;"",$E103&lt;&gt;0),SUMIF(CÁLCULO!$AM$15:$AW$32,"="&amp;CRONO!Y$12,CÁLCULO!$AB$15:$AL$32)/(ORÇAMENTO!$X$15-CÁLCULO.TotalAdmLocal)*CRONO!$E103,0),Y102*$R101),SUMIF(OFFSET($R103,1,0,$Q101-2),($L101+1)&amp;"$",OFFSET(Y103,1,0,$Q101-2)))</f>
        <v>0</v>
      </c>
      <c r="Z103" s="222">
        <f ca="1">IF($Q101=2,IF(AND(ACOMPANHAMENTO="PLE",ISNUMBER($E101)),SUMIF((OFFSET(CÁLCULO!$AM$15:$AW$15,$E101,0,OFFSET(ORÇAMENTO!$D$15,CRONO!$E101,0))),"="&amp;CRONO!Z$12,OFFSET(CÁLCULO!$AB$15:$AL$15,$E101,0,OFFSET(ORÇAMENTO!$D$15,CRONO!$E101,0)))+IF(AND($E103&lt;&gt;"",$E103&lt;&gt;0),SUMIF(CÁLCULO!$AM$15:$AW$32,"="&amp;CRONO!Z$12,CÁLCULO!$AB$15:$AL$32)/(ORÇAMENTO!$X$15-CÁLCULO.TotalAdmLocal)*CRONO!$E103,0),Z102*$R101),SUMIF(OFFSET($R103,1,0,$Q101-2),($L101+1)&amp;"$",OFFSET(Z103,1,0,$Q101-2)))</f>
        <v>0</v>
      </c>
      <c r="AA103" s="222">
        <f ca="1">IF($Q101=2,IF(AND(ACOMPANHAMENTO="PLE",ISNUMBER($E101)),SUMIF((OFFSET(CÁLCULO!$AM$15:$AW$15,$E101,0,OFFSET(ORÇAMENTO!$D$15,CRONO!$E101,0))),"="&amp;CRONO!AA$12,OFFSET(CÁLCULO!$AB$15:$AL$15,$E101,0,OFFSET(ORÇAMENTO!$D$15,CRONO!$E101,0)))+IF(AND($E103&lt;&gt;"",$E103&lt;&gt;0),SUMIF(CÁLCULO!$AM$15:$AW$32,"="&amp;CRONO!AA$12,CÁLCULO!$AB$15:$AL$32)/(ORÇAMENTO!$X$15-CÁLCULO.TotalAdmLocal)*CRONO!$E103,0),AA102*$R101),SUMIF(OFFSET($R103,1,0,$Q101-2),($L101+1)&amp;"$",OFFSET(AA103,1,0,$Q101-2)))</f>
        <v>0</v>
      </c>
      <c r="AB103" s="222">
        <f ca="1">IF($Q101=2,IF(AND(ACOMPANHAMENTO="PLE",ISNUMBER($E101)),SUMIF((OFFSET(CÁLCULO!$AM$15:$AW$15,$E101,0,OFFSET(ORÇAMENTO!$D$15,CRONO!$E101,0))),"="&amp;CRONO!AB$12,OFFSET(CÁLCULO!$AB$15:$AL$15,$E101,0,OFFSET(ORÇAMENTO!$D$15,CRONO!$E101,0)))+IF(AND($E103&lt;&gt;"",$E103&lt;&gt;0),SUMIF(CÁLCULO!$AM$15:$AW$32,"="&amp;CRONO!AB$12,CÁLCULO!$AB$15:$AL$32)/(ORÇAMENTO!$X$15-CÁLCULO.TotalAdmLocal)*CRONO!$E103,0),AB102*$R101),SUMIF(OFFSET($R103,1,0,$Q101-2),($L101+1)&amp;"$",OFFSET(AB103,1,0,$Q101-2)))</f>
        <v>0</v>
      </c>
      <c r="AC103" s="222">
        <f ca="1">IF($Q101=2,IF(AND(ACOMPANHAMENTO="PLE",ISNUMBER($E101)),SUMIF((OFFSET(CÁLCULO!$AM$15:$AW$15,$E101,0,OFFSET(ORÇAMENTO!$D$15,CRONO!$E101,0))),"="&amp;CRONO!AC$12,OFFSET(CÁLCULO!$AB$15:$AL$15,$E101,0,OFFSET(ORÇAMENTO!$D$15,CRONO!$E101,0)))+IF(AND($E103&lt;&gt;"",$E103&lt;&gt;0),SUMIF(CÁLCULO!$AM$15:$AW$32,"="&amp;CRONO!AC$12,CÁLCULO!$AB$15:$AL$32)/(ORÇAMENTO!$X$15-CÁLCULO.TotalAdmLocal)*CRONO!$E103,0),AC102*$R101),SUMIF(OFFSET($R103,1,0,$Q101-2),($L101+1)&amp;"$",OFFSET(AC103,1,0,$Q101-2)))</f>
        <v>0</v>
      </c>
      <c r="AD103" s="222">
        <f ca="1">IF($Q101=2,IF(AND(ACOMPANHAMENTO="PLE",ISNUMBER($E101)),SUMIF((OFFSET(CÁLCULO!$AM$15:$AW$15,$E101,0,OFFSET(ORÇAMENTO!$D$15,CRONO!$E101,0))),"="&amp;CRONO!AD$12,OFFSET(CÁLCULO!$AB$15:$AL$15,$E101,0,OFFSET(ORÇAMENTO!$D$15,CRONO!$E101,0)))+IF(AND($E103&lt;&gt;"",$E103&lt;&gt;0),SUMIF(CÁLCULO!$AM$15:$AW$32,"="&amp;CRONO!AD$12,CÁLCULO!$AB$15:$AL$32)/(ORÇAMENTO!$X$15-CÁLCULO.TotalAdmLocal)*CRONO!$E103,0),AD102*$R101),SUMIF(OFFSET($R103,1,0,$Q101-2),($L101+1)&amp;"$",OFFSET(AD103,1,0,$Q101-2)))</f>
        <v>0</v>
      </c>
      <c r="AE103" s="227">
        <f ca="1">IF($Q101=2,IF(AND(ACOMPANHAMENTO="PLE",ISNUMBER($E101)),SUMIF((OFFSET(CÁLCULO!$AM$15:$AW$15,$E101,0,OFFSET(ORÇAMENTO!$D$15,CRONO!$E101,0))),"="&amp;CRONO!AE$12,OFFSET(CÁLCULO!$AB$15:$AL$15,$E101,0,OFFSET(ORÇAMENTO!$D$15,CRONO!$E101,0)))+IF(AND($E103&lt;&gt;"",$E103&lt;&gt;0),SUMIF(CÁLCULO!$AM$15:$AW$32,"="&amp;CRONO!AE$12,CÁLCULO!$AB$15:$AL$32)/(ORÇAMENTO!$X$15-CÁLCULO.TotalAdmLocal)*CRONO!$E103,0),AE102*$R101),SUMIF(OFFSET($R103,1,0,$Q101-2),($L101+1)&amp;"$",OFFSET(AE103,1,0,$Q101-2)))</f>
        <v>0</v>
      </c>
    </row>
    <row r="104" spans="1:32" hidden="1" x14ac:dyDescent="0.25">
      <c r="A104" s="203">
        <f t="shared" ref="A104" ca="1" si="213">OFFSET(A104,-3,0)+1</f>
        <v>31</v>
      </c>
      <c r="B104" s="203">
        <f ca="1">IF($Q104&lt;&gt;2,0,IF($R104=0,1,IF(E105&gt;0,OFFSET(QCI!$M$13,SUBSTITUTE(E105,".",""),0),OFFSET(ORÇAMENTO!$AA$15,CRONO!$E104,0))/$R104))</f>
        <v>0</v>
      </c>
      <c r="C104" s="203">
        <f ca="1">IF($Q104&lt;&gt;2,0,IF($R104=0,1,IF(E105&gt;0,OFFSET(QCI!$N$13,SUBSTITUTE(E105,".",""),0),OFFSET(ORÇAMENTO!$AB$15,CRONO!$E104,0))/$R104))</f>
        <v>0</v>
      </c>
      <c r="D104" s="206" t="e">
        <f ca="1">IF(AND($Q104=2,ACOMPANHAMENTO="BM"),D105,D106/$R104)</f>
        <v>#VALUE!</v>
      </c>
      <c r="E104" s="203" t="e">
        <f ca="1">IF(A104&lt;=ORÇAMENTO.MáximoListaCrono,MATCH(A104,ORÇAMENTO.ListaCrono,0),NA())</f>
        <v>#N/A</v>
      </c>
      <c r="F104" s="203" t="str">
        <f t="shared" ref="F104" ca="1" si="214">IF(AND($E105&lt;&gt;-1,$R104&gt;0),"F","")</f>
        <v/>
      </c>
      <c r="G104" s="207" t="str">
        <f ca="1">IF(OR(R104=0,R104=""),"Linha",IF(AND(OR(ACOMPANHAMENTO="PLE",$Q104&lt;&gt;2),$E105=0),"Linha",1-SUM(T104:AF104)))</f>
        <v>Linha</v>
      </c>
      <c r="H104" s="208" t="str">
        <f ca="1">IF($E105=0,OFFSET(ORÇAMENTO!O$15,$E104,0),IF($E105&lt;&gt;-1,OFFSET(QCI!$D$13,$E105,0),""))</f>
        <v/>
      </c>
      <c r="I104" s="209" t="str">
        <f ca="1">IF($E105=0,OFFSET(ORÇAMENTO!R$15,$E104,0),IF($E105&lt;&gt;-1,OFFSET(QCI!$G$13,$E105,0),""))</f>
        <v/>
      </c>
      <c r="J104" s="209"/>
      <c r="K104" s="209"/>
      <c r="L104" s="210">
        <f ca="1">IF($E105=0,OFFSET(ORÇAMENTO!C$15,$E104,0),1)</f>
        <v>1</v>
      </c>
      <c r="M104" s="211">
        <f ca="1">IF($E105=-1,0,IF(M$13&lt;=$L104,IF(ISERROR(MATCH(M$13,OFFSET($L104,1,0,ROW($L$164)-ROW($L104)-1),0)),ROW($L$164)-ROW($L104)-1,MATCH(M$13,OFFSET($L104,1,0,ROW($L$164)-ROW($L104)-1),0)-1),0))</f>
        <v>0</v>
      </c>
      <c r="N104" s="211">
        <f ca="1">IF($E105=-1,0,IF(N$13&lt;=$L104,IF(ISERROR(MATCH(N$13,OFFSET($L104,1,0,ROW($L$164)-ROW($L104)-1),0)),ROW($L$164)-ROW($L104)-1,MATCH(N$13,OFFSET($L104,1,0,ROW($L$164)-ROW($L104)-1),0)-1),0))</f>
        <v>0</v>
      </c>
      <c r="O104" s="211">
        <f ca="1">IF($E105=-1,0,IF(O$13&lt;=$L104,IF(ISERROR(MATCH(O$13,OFFSET($L104,1,0,ROW($L$164)-ROW($L104)-1),0)),ROW($L$164)-ROW($L104)-1,MATCH(O$13,OFFSET($L104,1,0,ROW($L$164)-ROW($L104)-1),0)-1),0))</f>
        <v>0</v>
      </c>
      <c r="P104" s="211">
        <f ca="1">IF($E105=-1,0,IF(P$13&lt;=$L104,IF(ISERROR(MATCH(P$13,OFFSET($L104,1,0,ROW($L$164)-ROW($L104)-1),0)),ROW($L$164)-ROW($L104)-1,MATCH(P$13,OFFSET($L104,1,0,ROW($L$164)-ROW($L104)-1),0)-1),0))</f>
        <v>0</v>
      </c>
      <c r="Q104" s="211">
        <f t="shared" ref="Q104" ca="1" si="215">MIN(OFFSET(L104,0,1,,L104))</f>
        <v>0</v>
      </c>
      <c r="R104" s="212" t="str">
        <f ca="1">IF($E105=0,OFFSET(ORÇAMENTO!X$15,$E104,0),IF($E105&lt;&gt;-1,OFFSET(QCI!$O$13,$E105,0),""))</f>
        <v/>
      </c>
      <c r="S104" s="213" t="s">
        <v>270</v>
      </c>
      <c r="T104" s="214" t="e">
        <f t="shared" ref="T104:AE104" ca="1" si="216">IF(AND($Q104=2,ACOMPANHAMENTO="BM"),T105,T106/$R104)</f>
        <v>#VALUE!</v>
      </c>
      <c r="U104" s="206" t="e">
        <f t="shared" ca="1" si="216"/>
        <v>#VALUE!</v>
      </c>
      <c r="V104" s="206" t="e">
        <f t="shared" ca="1" si="216"/>
        <v>#VALUE!</v>
      </c>
      <c r="W104" s="206" t="e">
        <f t="shared" ca="1" si="216"/>
        <v>#VALUE!</v>
      </c>
      <c r="X104" s="206" t="e">
        <f t="shared" ca="1" si="216"/>
        <v>#VALUE!</v>
      </c>
      <c r="Y104" s="206" t="e">
        <f t="shared" ca="1" si="216"/>
        <v>#VALUE!</v>
      </c>
      <c r="Z104" s="206" t="e">
        <f t="shared" ca="1" si="216"/>
        <v>#VALUE!</v>
      </c>
      <c r="AA104" s="206" t="e">
        <f t="shared" ca="1" si="216"/>
        <v>#VALUE!</v>
      </c>
      <c r="AB104" s="206" t="e">
        <f t="shared" ca="1" si="216"/>
        <v>#VALUE!</v>
      </c>
      <c r="AC104" s="206" t="e">
        <f t="shared" ca="1" si="216"/>
        <v>#VALUE!</v>
      </c>
      <c r="AD104" s="206" t="e">
        <f t="shared" ca="1" si="216"/>
        <v>#VALUE!</v>
      </c>
      <c r="AE104" s="215" t="e">
        <f t="shared" ca="1" si="216"/>
        <v>#VALUE!</v>
      </c>
    </row>
    <row r="105" spans="1:32" ht="12.75" hidden="1" customHeight="1" x14ac:dyDescent="0.25">
      <c r="D105" s="568"/>
      <c r="E105" s="203">
        <f ca="1">IF(ISERROR(E104),IF(1+COUNTIF($L$13:OFFSET(L104,-1,0),1)&lt;=MAX(QCI!$D$13:$D$24),1+COUNTIF($L$13:OFFSET(L104,-1,0),1),-1),0)</f>
        <v>-1</v>
      </c>
      <c r="F105" s="203" t="str">
        <f t="shared" ref="F105" ca="1" si="217">IF(AND($E105&lt;&gt;-1,$R104&gt;0),"F","")</f>
        <v/>
      </c>
      <c r="G105" s="216" t="str">
        <f ca="1">IF(OR(R104=0,R104=""),"vazia",IF(AND(OR(ACOMPANHAMENTO="PLE",$Q104&lt;&gt;2),$E105=0),"calculada","--&gt;"))</f>
        <v>vazia</v>
      </c>
      <c r="H105" s="217"/>
      <c r="I105" s="218" t="str">
        <f t="shared" ref="I105" ca="1" si="218">IF(AND(G104&lt;&gt;0,ISNUMBER(G104)),"PREENCHA ESTA LINHA --&gt;","")</f>
        <v/>
      </c>
      <c r="J105" s="218"/>
      <c r="K105" s="218"/>
      <c r="L105" s="219"/>
      <c r="M105" s="219"/>
      <c r="N105" s="219"/>
      <c r="O105" s="219"/>
      <c r="P105" s="219"/>
      <c r="Q105" s="219"/>
      <c r="R105" s="220"/>
      <c r="S105" s="221"/>
      <c r="T105" s="569"/>
      <c r="U105" s="568"/>
      <c r="V105" s="568"/>
      <c r="W105" s="568"/>
      <c r="X105" s="568"/>
      <c r="Y105" s="568"/>
      <c r="Z105" s="568"/>
      <c r="AA105" s="568"/>
      <c r="AB105" s="568"/>
      <c r="AC105" s="568"/>
      <c r="AD105" s="568"/>
      <c r="AE105" s="570"/>
      <c r="AF105" s="532"/>
    </row>
    <row r="106" spans="1:32" ht="0.15" hidden="1" customHeight="1" x14ac:dyDescent="0.25">
      <c r="D106" s="222">
        <f ca="1">IF($Q104=2,IF(AND(ACOMPANHAMENTO="PLE",ISNUMBER($E104)),SUMIF((OFFSET(CÁLCULO!$AM$15:$AW$15,$E104,0,OFFSET(ORÇAMENTO!$D$15,CRONO!$E104,0))),"="&amp;CRONO!D$12,OFFSET(CÁLCULO!$AB$15:$AL$15,$E104,0,OFFSET(ORÇAMENTO!$D$15,CRONO!$E104,0)))+IF(AND($E106&lt;&gt;"",$E106&lt;&gt;0),SUMIF(CÁLCULO!$AM$15:$AW$32,"="&amp;CRONO!D$12,CÁLCULO!$AB$15:$AL$32)/(ORÇAMENTO!$X$15-CÁLCULO.TotalAdmLocal)*CRONO!$E106,0),D105*$R104),SUMIF(OFFSET($R106,1,0,$Q104-2),($L104+1)&amp;"$",OFFSET(D106,1,0,$Q104-2)))</f>
        <v>0</v>
      </c>
      <c r="E106" s="203" t="str">
        <f ca="1">IF(OR($Q104&lt;&gt;2,AUTOEVENTO&lt;&gt;"manual",$E105&gt;0),"",SUMIF(OFFSET(CÁLCULO!$M$15,CRONO!$E104,0,OFFSET(ORÇAMENTO!$D$15,CRONO!$E104,0)),1,OFFSET(ORÇAMENTO!$X$15,CRONO!$E104,0,OFFSET(ORÇAMENTO!$D$15,CRONO!$E104,0))))</f>
        <v/>
      </c>
      <c r="G106" s="223"/>
      <c r="R106" s="224" t="str">
        <f t="shared" ref="R106" ca="1" si="219">L104&amp;"$"</f>
        <v>1$</v>
      </c>
      <c r="S106" s="225"/>
      <c r="T106" s="226">
        <f ca="1">IF($Q104=2,IF(AND(ACOMPANHAMENTO="PLE",ISNUMBER($E104)),SUMIF((OFFSET(CÁLCULO!$AM$15:$AW$15,$E104,0,OFFSET(ORÇAMENTO!$D$15,CRONO!$E104,0))),"&lt;="&amp;CRONO!T$12,OFFSET(CÁLCULO!$AB$15:$AL$15,$E104,0,OFFSET(ORÇAMENTO!$D$15,CRONO!$E104,0)))+IF(AND($E106&lt;&gt;"",$E106&lt;&gt;0),SUMIF(CÁLCULO!$AM$15:$AW$32,"&lt;="&amp;CRONO!T$12,CÁLCULO!$AB$15:$AL$32)/(ORÇAMENTO!$X$15-CÁLCULO.TotalAdmLocal)*CRONO!$E106,0),T105*$R104),SUMIF(OFFSET($R106,1,0,$Q104-2),($L104+1)&amp;"$",OFFSET(T106,1,0,$Q104-2)))</f>
        <v>0</v>
      </c>
      <c r="U106" s="222">
        <f ca="1">IF($Q104=2,IF(AND(ACOMPANHAMENTO="PLE",ISNUMBER($E104)),SUMIF((OFFSET(CÁLCULO!$AM$15:$AW$15,$E104,0,OFFSET(ORÇAMENTO!$D$15,CRONO!$E104,0))),"="&amp;CRONO!U$12,OFFSET(CÁLCULO!$AB$15:$AL$15,$E104,0,OFFSET(ORÇAMENTO!$D$15,CRONO!$E104,0)))+IF(AND($E106&lt;&gt;"",$E106&lt;&gt;0),SUMIF(CÁLCULO!$AM$15:$AW$32,"="&amp;CRONO!U$12,CÁLCULO!$AB$15:$AL$32)/(ORÇAMENTO!$X$15-CÁLCULO.TotalAdmLocal)*CRONO!$E106,0),U105*$R104),SUMIF(OFFSET($R106,1,0,$Q104-2),($L104+1)&amp;"$",OFFSET(U106,1,0,$Q104-2)))</f>
        <v>0</v>
      </c>
      <c r="V106" s="222">
        <f ca="1">IF($Q104=2,IF(AND(ACOMPANHAMENTO="PLE",ISNUMBER($E104)),SUMIF((OFFSET(CÁLCULO!$AM$15:$AW$15,$E104,0,OFFSET(ORÇAMENTO!$D$15,CRONO!$E104,0))),"="&amp;CRONO!V$12,OFFSET(CÁLCULO!$AB$15:$AL$15,$E104,0,OFFSET(ORÇAMENTO!$D$15,CRONO!$E104,0)))+IF(AND($E106&lt;&gt;"",$E106&lt;&gt;0),SUMIF(CÁLCULO!$AM$15:$AW$32,"="&amp;CRONO!V$12,CÁLCULO!$AB$15:$AL$32)/(ORÇAMENTO!$X$15-CÁLCULO.TotalAdmLocal)*CRONO!$E106,0),V105*$R104),SUMIF(OFFSET($R106,1,0,$Q104-2),($L104+1)&amp;"$",OFFSET(V106,1,0,$Q104-2)))</f>
        <v>0</v>
      </c>
      <c r="W106" s="222">
        <f ca="1">IF($Q104=2,IF(AND(ACOMPANHAMENTO="PLE",ISNUMBER($E104)),SUMIF((OFFSET(CÁLCULO!$AM$15:$AW$15,$E104,0,OFFSET(ORÇAMENTO!$D$15,CRONO!$E104,0))),"="&amp;CRONO!W$12,OFFSET(CÁLCULO!$AB$15:$AL$15,$E104,0,OFFSET(ORÇAMENTO!$D$15,CRONO!$E104,0)))+IF(AND($E106&lt;&gt;"",$E106&lt;&gt;0),SUMIF(CÁLCULO!$AM$15:$AW$32,"="&amp;CRONO!W$12,CÁLCULO!$AB$15:$AL$32)/(ORÇAMENTO!$X$15-CÁLCULO.TotalAdmLocal)*CRONO!$E106,0),W105*$R104),SUMIF(OFFSET($R106,1,0,$Q104-2),($L104+1)&amp;"$",OFFSET(W106,1,0,$Q104-2)))</f>
        <v>0</v>
      </c>
      <c r="X106" s="222">
        <f ca="1">IF($Q104=2,IF(AND(ACOMPANHAMENTO="PLE",ISNUMBER($E104)),SUMIF((OFFSET(CÁLCULO!$AM$15:$AW$15,$E104,0,OFFSET(ORÇAMENTO!$D$15,CRONO!$E104,0))),"="&amp;CRONO!X$12,OFFSET(CÁLCULO!$AB$15:$AL$15,$E104,0,OFFSET(ORÇAMENTO!$D$15,CRONO!$E104,0)))+IF(AND($E106&lt;&gt;"",$E106&lt;&gt;0),SUMIF(CÁLCULO!$AM$15:$AW$32,"="&amp;CRONO!X$12,CÁLCULO!$AB$15:$AL$32)/(ORÇAMENTO!$X$15-CÁLCULO.TotalAdmLocal)*CRONO!$E106,0),X105*$R104),SUMIF(OFFSET($R106,1,0,$Q104-2),($L104+1)&amp;"$",OFFSET(X106,1,0,$Q104-2)))</f>
        <v>0</v>
      </c>
      <c r="Y106" s="222">
        <f ca="1">IF($Q104=2,IF(AND(ACOMPANHAMENTO="PLE",ISNUMBER($E104)),SUMIF((OFFSET(CÁLCULO!$AM$15:$AW$15,$E104,0,OFFSET(ORÇAMENTO!$D$15,CRONO!$E104,0))),"="&amp;CRONO!Y$12,OFFSET(CÁLCULO!$AB$15:$AL$15,$E104,0,OFFSET(ORÇAMENTO!$D$15,CRONO!$E104,0)))+IF(AND($E106&lt;&gt;"",$E106&lt;&gt;0),SUMIF(CÁLCULO!$AM$15:$AW$32,"="&amp;CRONO!Y$12,CÁLCULO!$AB$15:$AL$32)/(ORÇAMENTO!$X$15-CÁLCULO.TotalAdmLocal)*CRONO!$E106,0),Y105*$R104),SUMIF(OFFSET($R106,1,0,$Q104-2),($L104+1)&amp;"$",OFFSET(Y106,1,0,$Q104-2)))</f>
        <v>0</v>
      </c>
      <c r="Z106" s="222">
        <f ca="1">IF($Q104=2,IF(AND(ACOMPANHAMENTO="PLE",ISNUMBER($E104)),SUMIF((OFFSET(CÁLCULO!$AM$15:$AW$15,$E104,0,OFFSET(ORÇAMENTO!$D$15,CRONO!$E104,0))),"="&amp;CRONO!Z$12,OFFSET(CÁLCULO!$AB$15:$AL$15,$E104,0,OFFSET(ORÇAMENTO!$D$15,CRONO!$E104,0)))+IF(AND($E106&lt;&gt;"",$E106&lt;&gt;0),SUMIF(CÁLCULO!$AM$15:$AW$32,"="&amp;CRONO!Z$12,CÁLCULO!$AB$15:$AL$32)/(ORÇAMENTO!$X$15-CÁLCULO.TotalAdmLocal)*CRONO!$E106,0),Z105*$R104),SUMIF(OFFSET($R106,1,0,$Q104-2),($L104+1)&amp;"$",OFFSET(Z106,1,0,$Q104-2)))</f>
        <v>0</v>
      </c>
      <c r="AA106" s="222">
        <f ca="1">IF($Q104=2,IF(AND(ACOMPANHAMENTO="PLE",ISNUMBER($E104)),SUMIF((OFFSET(CÁLCULO!$AM$15:$AW$15,$E104,0,OFFSET(ORÇAMENTO!$D$15,CRONO!$E104,0))),"="&amp;CRONO!AA$12,OFFSET(CÁLCULO!$AB$15:$AL$15,$E104,0,OFFSET(ORÇAMENTO!$D$15,CRONO!$E104,0)))+IF(AND($E106&lt;&gt;"",$E106&lt;&gt;0),SUMIF(CÁLCULO!$AM$15:$AW$32,"="&amp;CRONO!AA$12,CÁLCULO!$AB$15:$AL$32)/(ORÇAMENTO!$X$15-CÁLCULO.TotalAdmLocal)*CRONO!$E106,0),AA105*$R104),SUMIF(OFFSET($R106,1,0,$Q104-2),($L104+1)&amp;"$",OFFSET(AA106,1,0,$Q104-2)))</f>
        <v>0</v>
      </c>
      <c r="AB106" s="222">
        <f ca="1">IF($Q104=2,IF(AND(ACOMPANHAMENTO="PLE",ISNUMBER($E104)),SUMIF((OFFSET(CÁLCULO!$AM$15:$AW$15,$E104,0,OFFSET(ORÇAMENTO!$D$15,CRONO!$E104,0))),"="&amp;CRONO!AB$12,OFFSET(CÁLCULO!$AB$15:$AL$15,$E104,0,OFFSET(ORÇAMENTO!$D$15,CRONO!$E104,0)))+IF(AND($E106&lt;&gt;"",$E106&lt;&gt;0),SUMIF(CÁLCULO!$AM$15:$AW$32,"="&amp;CRONO!AB$12,CÁLCULO!$AB$15:$AL$32)/(ORÇAMENTO!$X$15-CÁLCULO.TotalAdmLocal)*CRONO!$E106,0),AB105*$R104),SUMIF(OFFSET($R106,1,0,$Q104-2),($L104+1)&amp;"$",OFFSET(AB106,1,0,$Q104-2)))</f>
        <v>0</v>
      </c>
      <c r="AC106" s="222">
        <f ca="1">IF($Q104=2,IF(AND(ACOMPANHAMENTO="PLE",ISNUMBER($E104)),SUMIF((OFFSET(CÁLCULO!$AM$15:$AW$15,$E104,0,OFFSET(ORÇAMENTO!$D$15,CRONO!$E104,0))),"="&amp;CRONO!AC$12,OFFSET(CÁLCULO!$AB$15:$AL$15,$E104,0,OFFSET(ORÇAMENTO!$D$15,CRONO!$E104,0)))+IF(AND($E106&lt;&gt;"",$E106&lt;&gt;0),SUMIF(CÁLCULO!$AM$15:$AW$32,"="&amp;CRONO!AC$12,CÁLCULO!$AB$15:$AL$32)/(ORÇAMENTO!$X$15-CÁLCULO.TotalAdmLocal)*CRONO!$E106,0),AC105*$R104),SUMIF(OFFSET($R106,1,0,$Q104-2),($L104+1)&amp;"$",OFFSET(AC106,1,0,$Q104-2)))</f>
        <v>0</v>
      </c>
      <c r="AD106" s="222">
        <f ca="1">IF($Q104=2,IF(AND(ACOMPANHAMENTO="PLE",ISNUMBER($E104)),SUMIF((OFFSET(CÁLCULO!$AM$15:$AW$15,$E104,0,OFFSET(ORÇAMENTO!$D$15,CRONO!$E104,0))),"="&amp;CRONO!AD$12,OFFSET(CÁLCULO!$AB$15:$AL$15,$E104,0,OFFSET(ORÇAMENTO!$D$15,CRONO!$E104,0)))+IF(AND($E106&lt;&gt;"",$E106&lt;&gt;0),SUMIF(CÁLCULO!$AM$15:$AW$32,"="&amp;CRONO!AD$12,CÁLCULO!$AB$15:$AL$32)/(ORÇAMENTO!$X$15-CÁLCULO.TotalAdmLocal)*CRONO!$E106,0),AD105*$R104),SUMIF(OFFSET($R106,1,0,$Q104-2),($L104+1)&amp;"$",OFFSET(AD106,1,0,$Q104-2)))</f>
        <v>0</v>
      </c>
      <c r="AE106" s="227">
        <f ca="1">IF($Q104=2,IF(AND(ACOMPANHAMENTO="PLE",ISNUMBER($E104)),SUMIF((OFFSET(CÁLCULO!$AM$15:$AW$15,$E104,0,OFFSET(ORÇAMENTO!$D$15,CRONO!$E104,0))),"="&amp;CRONO!AE$12,OFFSET(CÁLCULO!$AB$15:$AL$15,$E104,0,OFFSET(ORÇAMENTO!$D$15,CRONO!$E104,0)))+IF(AND($E106&lt;&gt;"",$E106&lt;&gt;0),SUMIF(CÁLCULO!$AM$15:$AW$32,"="&amp;CRONO!AE$12,CÁLCULO!$AB$15:$AL$32)/(ORÇAMENTO!$X$15-CÁLCULO.TotalAdmLocal)*CRONO!$E106,0),AE105*$R104),SUMIF(OFFSET($R106,1,0,$Q104-2),($L104+1)&amp;"$",OFFSET(AE106,1,0,$Q104-2)))</f>
        <v>0</v>
      </c>
    </row>
    <row r="107" spans="1:32" hidden="1" x14ac:dyDescent="0.25">
      <c r="A107" s="203">
        <f t="shared" ref="A107" ca="1" si="220">OFFSET(A107,-3,0)+1</f>
        <v>32</v>
      </c>
      <c r="B107" s="203">
        <f ca="1">IF($Q107&lt;&gt;2,0,IF($R107=0,1,IF(E108&gt;0,OFFSET(QCI!$M$13,SUBSTITUTE(E108,".",""),0),OFFSET(ORÇAMENTO!$AA$15,CRONO!$E107,0))/$R107))</f>
        <v>0</v>
      </c>
      <c r="C107" s="203">
        <f ca="1">IF($Q107&lt;&gt;2,0,IF($R107=0,1,IF(E108&gt;0,OFFSET(QCI!$N$13,SUBSTITUTE(E108,".",""),0),OFFSET(ORÇAMENTO!$AB$15,CRONO!$E107,0))/$R107))</f>
        <v>0</v>
      </c>
      <c r="D107" s="206" t="e">
        <f ca="1">IF(AND($Q107=2,ACOMPANHAMENTO="BM"),D108,D109/$R107)</f>
        <v>#VALUE!</v>
      </c>
      <c r="E107" s="203" t="e">
        <f ca="1">IF(A107&lt;=ORÇAMENTO.MáximoListaCrono,MATCH(A107,ORÇAMENTO.ListaCrono,0),NA())</f>
        <v>#N/A</v>
      </c>
      <c r="F107" s="203" t="str">
        <f t="shared" ref="F107" ca="1" si="221">IF(AND($E108&lt;&gt;-1,$R107&gt;0),"F","")</f>
        <v/>
      </c>
      <c r="G107" s="207" t="str">
        <f ca="1">IF(OR(R107=0,R107=""),"Linha",IF(AND(OR(ACOMPANHAMENTO="PLE",$Q107&lt;&gt;2),$E108=0),"Linha",1-SUM(T107:AF107)))</f>
        <v>Linha</v>
      </c>
      <c r="H107" s="208" t="str">
        <f ca="1">IF($E108=0,OFFSET(ORÇAMENTO!O$15,$E107,0),IF($E108&lt;&gt;-1,OFFSET(QCI!$D$13,$E108,0),""))</f>
        <v/>
      </c>
      <c r="I107" s="209" t="str">
        <f ca="1">IF($E108=0,OFFSET(ORÇAMENTO!R$15,$E107,0),IF($E108&lt;&gt;-1,OFFSET(QCI!$G$13,$E108,0),""))</f>
        <v/>
      </c>
      <c r="J107" s="209"/>
      <c r="K107" s="209"/>
      <c r="L107" s="210">
        <f ca="1">IF($E108=0,OFFSET(ORÇAMENTO!C$15,$E107,0),1)</f>
        <v>1</v>
      </c>
      <c r="M107" s="211">
        <f ca="1">IF($E108=-1,0,IF(M$13&lt;=$L107,IF(ISERROR(MATCH(M$13,OFFSET($L107,1,0,ROW($L$164)-ROW($L107)-1),0)),ROW($L$164)-ROW($L107)-1,MATCH(M$13,OFFSET($L107,1,0,ROW($L$164)-ROW($L107)-1),0)-1),0))</f>
        <v>0</v>
      </c>
      <c r="N107" s="211">
        <f ca="1">IF($E108=-1,0,IF(N$13&lt;=$L107,IF(ISERROR(MATCH(N$13,OFFSET($L107,1,0,ROW($L$164)-ROW($L107)-1),0)),ROW($L$164)-ROW($L107)-1,MATCH(N$13,OFFSET($L107,1,0,ROW($L$164)-ROW($L107)-1),0)-1),0))</f>
        <v>0</v>
      </c>
      <c r="O107" s="211">
        <f ca="1">IF($E108=-1,0,IF(O$13&lt;=$L107,IF(ISERROR(MATCH(O$13,OFFSET($L107,1,0,ROW($L$164)-ROW($L107)-1),0)),ROW($L$164)-ROW($L107)-1,MATCH(O$13,OFFSET($L107,1,0,ROW($L$164)-ROW($L107)-1),0)-1),0))</f>
        <v>0</v>
      </c>
      <c r="P107" s="211">
        <f ca="1">IF($E108=-1,0,IF(P$13&lt;=$L107,IF(ISERROR(MATCH(P$13,OFFSET($L107,1,0,ROW($L$164)-ROW($L107)-1),0)),ROW($L$164)-ROW($L107)-1,MATCH(P$13,OFFSET($L107,1,0,ROW($L$164)-ROW($L107)-1),0)-1),0))</f>
        <v>0</v>
      </c>
      <c r="Q107" s="211">
        <f t="shared" ref="Q107" ca="1" si="222">MIN(OFFSET(L107,0,1,,L107))</f>
        <v>0</v>
      </c>
      <c r="R107" s="212" t="str">
        <f ca="1">IF($E108=0,OFFSET(ORÇAMENTO!X$15,$E107,0),IF($E108&lt;&gt;-1,OFFSET(QCI!$O$13,$E108,0),""))</f>
        <v/>
      </c>
      <c r="S107" s="213" t="s">
        <v>270</v>
      </c>
      <c r="T107" s="214" t="e">
        <f t="shared" ref="T107:AE107" ca="1" si="223">IF(AND($Q107=2,ACOMPANHAMENTO="BM"),T108,T109/$R107)</f>
        <v>#VALUE!</v>
      </c>
      <c r="U107" s="206" t="e">
        <f t="shared" ca="1" si="223"/>
        <v>#VALUE!</v>
      </c>
      <c r="V107" s="206" t="e">
        <f t="shared" ca="1" si="223"/>
        <v>#VALUE!</v>
      </c>
      <c r="W107" s="206" t="e">
        <f t="shared" ca="1" si="223"/>
        <v>#VALUE!</v>
      </c>
      <c r="X107" s="206" t="e">
        <f t="shared" ca="1" si="223"/>
        <v>#VALUE!</v>
      </c>
      <c r="Y107" s="206" t="e">
        <f t="shared" ca="1" si="223"/>
        <v>#VALUE!</v>
      </c>
      <c r="Z107" s="206" t="e">
        <f t="shared" ca="1" si="223"/>
        <v>#VALUE!</v>
      </c>
      <c r="AA107" s="206" t="e">
        <f t="shared" ca="1" si="223"/>
        <v>#VALUE!</v>
      </c>
      <c r="AB107" s="206" t="e">
        <f t="shared" ca="1" si="223"/>
        <v>#VALUE!</v>
      </c>
      <c r="AC107" s="206" t="e">
        <f t="shared" ca="1" si="223"/>
        <v>#VALUE!</v>
      </c>
      <c r="AD107" s="206" t="e">
        <f t="shared" ca="1" si="223"/>
        <v>#VALUE!</v>
      </c>
      <c r="AE107" s="215" t="e">
        <f t="shared" ca="1" si="223"/>
        <v>#VALUE!</v>
      </c>
    </row>
    <row r="108" spans="1:32" ht="12.75" hidden="1" customHeight="1" x14ac:dyDescent="0.25">
      <c r="D108" s="568"/>
      <c r="E108" s="203">
        <f ca="1">IF(ISERROR(E107),IF(1+COUNTIF($L$13:OFFSET(L107,-1,0),1)&lt;=MAX(QCI!$D$13:$D$24),1+COUNTIF($L$13:OFFSET(L107,-1,0),1),-1),0)</f>
        <v>-1</v>
      </c>
      <c r="F108" s="203" t="str">
        <f t="shared" ref="F108" ca="1" si="224">IF(AND($E108&lt;&gt;-1,$R107&gt;0),"F","")</f>
        <v/>
      </c>
      <c r="G108" s="216" t="str">
        <f ca="1">IF(OR(R107=0,R107=""),"vazia",IF(AND(OR(ACOMPANHAMENTO="PLE",$Q107&lt;&gt;2),$E108=0),"calculada","--&gt;"))</f>
        <v>vazia</v>
      </c>
      <c r="H108" s="217"/>
      <c r="I108" s="218" t="str">
        <f t="shared" ref="I108" ca="1" si="225">IF(AND(G107&lt;&gt;0,ISNUMBER(G107)),"PREENCHA ESTA LINHA --&gt;","")</f>
        <v/>
      </c>
      <c r="J108" s="218"/>
      <c r="K108" s="218"/>
      <c r="L108" s="219"/>
      <c r="M108" s="219"/>
      <c r="N108" s="219"/>
      <c r="O108" s="219"/>
      <c r="P108" s="219"/>
      <c r="Q108" s="219"/>
      <c r="R108" s="220"/>
      <c r="S108" s="221"/>
      <c r="T108" s="569"/>
      <c r="U108" s="568"/>
      <c r="V108" s="568"/>
      <c r="W108" s="568"/>
      <c r="X108" s="568"/>
      <c r="Y108" s="568"/>
      <c r="Z108" s="568"/>
      <c r="AA108" s="568"/>
      <c r="AB108" s="568"/>
      <c r="AC108" s="568"/>
      <c r="AD108" s="568"/>
      <c r="AE108" s="570"/>
      <c r="AF108" s="532"/>
    </row>
    <row r="109" spans="1:32" ht="0.15" hidden="1" customHeight="1" x14ac:dyDescent="0.25">
      <c r="D109" s="222">
        <f ca="1">IF($Q107=2,IF(AND(ACOMPANHAMENTO="PLE",ISNUMBER($E107)),SUMIF((OFFSET(CÁLCULO!$AM$15:$AW$15,$E107,0,OFFSET(ORÇAMENTO!$D$15,CRONO!$E107,0))),"="&amp;CRONO!D$12,OFFSET(CÁLCULO!$AB$15:$AL$15,$E107,0,OFFSET(ORÇAMENTO!$D$15,CRONO!$E107,0)))+IF(AND($E109&lt;&gt;"",$E109&lt;&gt;0),SUMIF(CÁLCULO!$AM$15:$AW$32,"="&amp;CRONO!D$12,CÁLCULO!$AB$15:$AL$32)/(ORÇAMENTO!$X$15-CÁLCULO.TotalAdmLocal)*CRONO!$E109,0),D108*$R107),SUMIF(OFFSET($R109,1,0,$Q107-2),($L107+1)&amp;"$",OFFSET(D109,1,0,$Q107-2)))</f>
        <v>0</v>
      </c>
      <c r="E109" s="203" t="str">
        <f ca="1">IF(OR($Q107&lt;&gt;2,AUTOEVENTO&lt;&gt;"manual",$E108&gt;0),"",SUMIF(OFFSET(CÁLCULO!$M$15,CRONO!$E107,0,OFFSET(ORÇAMENTO!$D$15,CRONO!$E107,0)),1,OFFSET(ORÇAMENTO!$X$15,CRONO!$E107,0,OFFSET(ORÇAMENTO!$D$15,CRONO!$E107,0))))</f>
        <v/>
      </c>
      <c r="G109" s="223"/>
      <c r="R109" s="224" t="str">
        <f t="shared" ref="R109" ca="1" si="226">L107&amp;"$"</f>
        <v>1$</v>
      </c>
      <c r="S109" s="225"/>
      <c r="T109" s="226">
        <f ca="1">IF($Q107=2,IF(AND(ACOMPANHAMENTO="PLE",ISNUMBER($E107)),SUMIF((OFFSET(CÁLCULO!$AM$15:$AW$15,$E107,0,OFFSET(ORÇAMENTO!$D$15,CRONO!$E107,0))),"&lt;="&amp;CRONO!T$12,OFFSET(CÁLCULO!$AB$15:$AL$15,$E107,0,OFFSET(ORÇAMENTO!$D$15,CRONO!$E107,0)))+IF(AND($E109&lt;&gt;"",$E109&lt;&gt;0),SUMIF(CÁLCULO!$AM$15:$AW$32,"&lt;="&amp;CRONO!T$12,CÁLCULO!$AB$15:$AL$32)/(ORÇAMENTO!$X$15-CÁLCULO.TotalAdmLocal)*CRONO!$E109,0),T108*$R107),SUMIF(OFFSET($R109,1,0,$Q107-2),($L107+1)&amp;"$",OFFSET(T109,1,0,$Q107-2)))</f>
        <v>0</v>
      </c>
      <c r="U109" s="222">
        <f ca="1">IF($Q107=2,IF(AND(ACOMPANHAMENTO="PLE",ISNUMBER($E107)),SUMIF((OFFSET(CÁLCULO!$AM$15:$AW$15,$E107,0,OFFSET(ORÇAMENTO!$D$15,CRONO!$E107,0))),"="&amp;CRONO!U$12,OFFSET(CÁLCULO!$AB$15:$AL$15,$E107,0,OFFSET(ORÇAMENTO!$D$15,CRONO!$E107,0)))+IF(AND($E109&lt;&gt;"",$E109&lt;&gt;0),SUMIF(CÁLCULO!$AM$15:$AW$32,"="&amp;CRONO!U$12,CÁLCULO!$AB$15:$AL$32)/(ORÇAMENTO!$X$15-CÁLCULO.TotalAdmLocal)*CRONO!$E109,0),U108*$R107),SUMIF(OFFSET($R109,1,0,$Q107-2),($L107+1)&amp;"$",OFFSET(U109,1,0,$Q107-2)))</f>
        <v>0</v>
      </c>
      <c r="V109" s="222">
        <f ca="1">IF($Q107=2,IF(AND(ACOMPANHAMENTO="PLE",ISNUMBER($E107)),SUMIF((OFFSET(CÁLCULO!$AM$15:$AW$15,$E107,0,OFFSET(ORÇAMENTO!$D$15,CRONO!$E107,0))),"="&amp;CRONO!V$12,OFFSET(CÁLCULO!$AB$15:$AL$15,$E107,0,OFFSET(ORÇAMENTO!$D$15,CRONO!$E107,0)))+IF(AND($E109&lt;&gt;"",$E109&lt;&gt;0),SUMIF(CÁLCULO!$AM$15:$AW$32,"="&amp;CRONO!V$12,CÁLCULO!$AB$15:$AL$32)/(ORÇAMENTO!$X$15-CÁLCULO.TotalAdmLocal)*CRONO!$E109,0),V108*$R107),SUMIF(OFFSET($R109,1,0,$Q107-2),($L107+1)&amp;"$",OFFSET(V109,1,0,$Q107-2)))</f>
        <v>0</v>
      </c>
      <c r="W109" s="222">
        <f ca="1">IF($Q107=2,IF(AND(ACOMPANHAMENTO="PLE",ISNUMBER($E107)),SUMIF((OFFSET(CÁLCULO!$AM$15:$AW$15,$E107,0,OFFSET(ORÇAMENTO!$D$15,CRONO!$E107,0))),"="&amp;CRONO!W$12,OFFSET(CÁLCULO!$AB$15:$AL$15,$E107,0,OFFSET(ORÇAMENTO!$D$15,CRONO!$E107,0)))+IF(AND($E109&lt;&gt;"",$E109&lt;&gt;0),SUMIF(CÁLCULO!$AM$15:$AW$32,"="&amp;CRONO!W$12,CÁLCULO!$AB$15:$AL$32)/(ORÇAMENTO!$X$15-CÁLCULO.TotalAdmLocal)*CRONO!$E109,0),W108*$R107),SUMIF(OFFSET($R109,1,0,$Q107-2),($L107+1)&amp;"$",OFFSET(W109,1,0,$Q107-2)))</f>
        <v>0</v>
      </c>
      <c r="X109" s="222">
        <f ca="1">IF($Q107=2,IF(AND(ACOMPANHAMENTO="PLE",ISNUMBER($E107)),SUMIF((OFFSET(CÁLCULO!$AM$15:$AW$15,$E107,0,OFFSET(ORÇAMENTO!$D$15,CRONO!$E107,0))),"="&amp;CRONO!X$12,OFFSET(CÁLCULO!$AB$15:$AL$15,$E107,0,OFFSET(ORÇAMENTO!$D$15,CRONO!$E107,0)))+IF(AND($E109&lt;&gt;"",$E109&lt;&gt;0),SUMIF(CÁLCULO!$AM$15:$AW$32,"="&amp;CRONO!X$12,CÁLCULO!$AB$15:$AL$32)/(ORÇAMENTO!$X$15-CÁLCULO.TotalAdmLocal)*CRONO!$E109,0),X108*$R107),SUMIF(OFFSET($R109,1,0,$Q107-2),($L107+1)&amp;"$",OFFSET(X109,1,0,$Q107-2)))</f>
        <v>0</v>
      </c>
      <c r="Y109" s="222">
        <f ca="1">IF($Q107=2,IF(AND(ACOMPANHAMENTO="PLE",ISNUMBER($E107)),SUMIF((OFFSET(CÁLCULO!$AM$15:$AW$15,$E107,0,OFFSET(ORÇAMENTO!$D$15,CRONO!$E107,0))),"="&amp;CRONO!Y$12,OFFSET(CÁLCULO!$AB$15:$AL$15,$E107,0,OFFSET(ORÇAMENTO!$D$15,CRONO!$E107,0)))+IF(AND($E109&lt;&gt;"",$E109&lt;&gt;0),SUMIF(CÁLCULO!$AM$15:$AW$32,"="&amp;CRONO!Y$12,CÁLCULO!$AB$15:$AL$32)/(ORÇAMENTO!$X$15-CÁLCULO.TotalAdmLocal)*CRONO!$E109,0),Y108*$R107),SUMIF(OFFSET($R109,1,0,$Q107-2),($L107+1)&amp;"$",OFFSET(Y109,1,0,$Q107-2)))</f>
        <v>0</v>
      </c>
      <c r="Z109" s="222">
        <f ca="1">IF($Q107=2,IF(AND(ACOMPANHAMENTO="PLE",ISNUMBER($E107)),SUMIF((OFFSET(CÁLCULO!$AM$15:$AW$15,$E107,0,OFFSET(ORÇAMENTO!$D$15,CRONO!$E107,0))),"="&amp;CRONO!Z$12,OFFSET(CÁLCULO!$AB$15:$AL$15,$E107,0,OFFSET(ORÇAMENTO!$D$15,CRONO!$E107,0)))+IF(AND($E109&lt;&gt;"",$E109&lt;&gt;0),SUMIF(CÁLCULO!$AM$15:$AW$32,"="&amp;CRONO!Z$12,CÁLCULO!$AB$15:$AL$32)/(ORÇAMENTO!$X$15-CÁLCULO.TotalAdmLocal)*CRONO!$E109,0),Z108*$R107),SUMIF(OFFSET($R109,1,0,$Q107-2),($L107+1)&amp;"$",OFFSET(Z109,1,0,$Q107-2)))</f>
        <v>0</v>
      </c>
      <c r="AA109" s="222">
        <f ca="1">IF($Q107=2,IF(AND(ACOMPANHAMENTO="PLE",ISNUMBER($E107)),SUMIF((OFFSET(CÁLCULO!$AM$15:$AW$15,$E107,0,OFFSET(ORÇAMENTO!$D$15,CRONO!$E107,0))),"="&amp;CRONO!AA$12,OFFSET(CÁLCULO!$AB$15:$AL$15,$E107,0,OFFSET(ORÇAMENTO!$D$15,CRONO!$E107,0)))+IF(AND($E109&lt;&gt;"",$E109&lt;&gt;0),SUMIF(CÁLCULO!$AM$15:$AW$32,"="&amp;CRONO!AA$12,CÁLCULO!$AB$15:$AL$32)/(ORÇAMENTO!$X$15-CÁLCULO.TotalAdmLocal)*CRONO!$E109,0),AA108*$R107),SUMIF(OFFSET($R109,1,0,$Q107-2),($L107+1)&amp;"$",OFFSET(AA109,1,0,$Q107-2)))</f>
        <v>0</v>
      </c>
      <c r="AB109" s="222">
        <f ca="1">IF($Q107=2,IF(AND(ACOMPANHAMENTO="PLE",ISNUMBER($E107)),SUMIF((OFFSET(CÁLCULO!$AM$15:$AW$15,$E107,0,OFFSET(ORÇAMENTO!$D$15,CRONO!$E107,0))),"="&amp;CRONO!AB$12,OFFSET(CÁLCULO!$AB$15:$AL$15,$E107,0,OFFSET(ORÇAMENTO!$D$15,CRONO!$E107,0)))+IF(AND($E109&lt;&gt;"",$E109&lt;&gt;0),SUMIF(CÁLCULO!$AM$15:$AW$32,"="&amp;CRONO!AB$12,CÁLCULO!$AB$15:$AL$32)/(ORÇAMENTO!$X$15-CÁLCULO.TotalAdmLocal)*CRONO!$E109,0),AB108*$R107),SUMIF(OFFSET($R109,1,0,$Q107-2),($L107+1)&amp;"$",OFFSET(AB109,1,0,$Q107-2)))</f>
        <v>0</v>
      </c>
      <c r="AC109" s="222">
        <f ca="1">IF($Q107=2,IF(AND(ACOMPANHAMENTO="PLE",ISNUMBER($E107)),SUMIF((OFFSET(CÁLCULO!$AM$15:$AW$15,$E107,0,OFFSET(ORÇAMENTO!$D$15,CRONO!$E107,0))),"="&amp;CRONO!AC$12,OFFSET(CÁLCULO!$AB$15:$AL$15,$E107,0,OFFSET(ORÇAMENTO!$D$15,CRONO!$E107,0)))+IF(AND($E109&lt;&gt;"",$E109&lt;&gt;0),SUMIF(CÁLCULO!$AM$15:$AW$32,"="&amp;CRONO!AC$12,CÁLCULO!$AB$15:$AL$32)/(ORÇAMENTO!$X$15-CÁLCULO.TotalAdmLocal)*CRONO!$E109,0),AC108*$R107),SUMIF(OFFSET($R109,1,0,$Q107-2),($L107+1)&amp;"$",OFFSET(AC109,1,0,$Q107-2)))</f>
        <v>0</v>
      </c>
      <c r="AD109" s="222">
        <f ca="1">IF($Q107=2,IF(AND(ACOMPANHAMENTO="PLE",ISNUMBER($E107)),SUMIF((OFFSET(CÁLCULO!$AM$15:$AW$15,$E107,0,OFFSET(ORÇAMENTO!$D$15,CRONO!$E107,0))),"="&amp;CRONO!AD$12,OFFSET(CÁLCULO!$AB$15:$AL$15,$E107,0,OFFSET(ORÇAMENTO!$D$15,CRONO!$E107,0)))+IF(AND($E109&lt;&gt;"",$E109&lt;&gt;0),SUMIF(CÁLCULO!$AM$15:$AW$32,"="&amp;CRONO!AD$12,CÁLCULO!$AB$15:$AL$32)/(ORÇAMENTO!$X$15-CÁLCULO.TotalAdmLocal)*CRONO!$E109,0),AD108*$R107),SUMIF(OFFSET($R109,1,0,$Q107-2),($L107+1)&amp;"$",OFFSET(AD109,1,0,$Q107-2)))</f>
        <v>0</v>
      </c>
      <c r="AE109" s="227">
        <f ca="1">IF($Q107=2,IF(AND(ACOMPANHAMENTO="PLE",ISNUMBER($E107)),SUMIF((OFFSET(CÁLCULO!$AM$15:$AW$15,$E107,0,OFFSET(ORÇAMENTO!$D$15,CRONO!$E107,0))),"="&amp;CRONO!AE$12,OFFSET(CÁLCULO!$AB$15:$AL$15,$E107,0,OFFSET(ORÇAMENTO!$D$15,CRONO!$E107,0)))+IF(AND($E109&lt;&gt;"",$E109&lt;&gt;0),SUMIF(CÁLCULO!$AM$15:$AW$32,"="&amp;CRONO!AE$12,CÁLCULO!$AB$15:$AL$32)/(ORÇAMENTO!$X$15-CÁLCULO.TotalAdmLocal)*CRONO!$E109,0),AE108*$R107),SUMIF(OFFSET($R109,1,0,$Q107-2),($L107+1)&amp;"$",OFFSET(AE109,1,0,$Q107-2)))</f>
        <v>0</v>
      </c>
    </row>
    <row r="110" spans="1:32" hidden="1" x14ac:dyDescent="0.25">
      <c r="A110" s="203">
        <f t="shared" ref="A110" ca="1" si="227">OFFSET(A110,-3,0)+1</f>
        <v>33</v>
      </c>
      <c r="B110" s="203">
        <f ca="1">IF($Q110&lt;&gt;2,0,IF($R110=0,1,IF(E111&gt;0,OFFSET(QCI!$M$13,SUBSTITUTE(E111,".",""),0),OFFSET(ORÇAMENTO!$AA$15,CRONO!$E110,0))/$R110))</f>
        <v>0</v>
      </c>
      <c r="C110" s="203">
        <f ca="1">IF($Q110&lt;&gt;2,0,IF($R110=0,1,IF(E111&gt;0,OFFSET(QCI!$N$13,SUBSTITUTE(E111,".",""),0),OFFSET(ORÇAMENTO!$AB$15,CRONO!$E110,0))/$R110))</f>
        <v>0</v>
      </c>
      <c r="D110" s="206" t="e">
        <f ca="1">IF(AND($Q110=2,ACOMPANHAMENTO="BM"),D111,D112/$R110)</f>
        <v>#VALUE!</v>
      </c>
      <c r="E110" s="203" t="e">
        <f ca="1">IF(A110&lt;=ORÇAMENTO.MáximoListaCrono,MATCH(A110,ORÇAMENTO.ListaCrono,0),NA())</f>
        <v>#N/A</v>
      </c>
      <c r="F110" s="203" t="str">
        <f t="shared" ref="F110" ca="1" si="228">IF(AND($E111&lt;&gt;-1,$R110&gt;0),"F","")</f>
        <v/>
      </c>
      <c r="G110" s="207" t="str">
        <f ca="1">IF(OR(R110=0,R110=""),"Linha",IF(AND(OR(ACOMPANHAMENTO="PLE",$Q110&lt;&gt;2),$E111=0),"Linha",1-SUM(T110:AF110)))</f>
        <v>Linha</v>
      </c>
      <c r="H110" s="208" t="str">
        <f ca="1">IF($E111=0,OFFSET(ORÇAMENTO!O$15,$E110,0),IF($E111&lt;&gt;-1,OFFSET(QCI!$D$13,$E111,0),""))</f>
        <v/>
      </c>
      <c r="I110" s="209" t="str">
        <f ca="1">IF($E111=0,OFFSET(ORÇAMENTO!R$15,$E110,0),IF($E111&lt;&gt;-1,OFFSET(QCI!$G$13,$E111,0),""))</f>
        <v/>
      </c>
      <c r="J110" s="209"/>
      <c r="K110" s="209"/>
      <c r="L110" s="210">
        <f ca="1">IF($E111=0,OFFSET(ORÇAMENTO!C$15,$E110,0),1)</f>
        <v>1</v>
      </c>
      <c r="M110" s="211">
        <f ca="1">IF($E111=-1,0,IF(M$13&lt;=$L110,IF(ISERROR(MATCH(M$13,OFFSET($L110,1,0,ROW($L$164)-ROW($L110)-1),0)),ROW($L$164)-ROW($L110)-1,MATCH(M$13,OFFSET($L110,1,0,ROW($L$164)-ROW($L110)-1),0)-1),0))</f>
        <v>0</v>
      </c>
      <c r="N110" s="211">
        <f ca="1">IF($E111=-1,0,IF(N$13&lt;=$L110,IF(ISERROR(MATCH(N$13,OFFSET($L110,1,0,ROW($L$164)-ROW($L110)-1),0)),ROW($L$164)-ROW($L110)-1,MATCH(N$13,OFFSET($L110,1,0,ROW($L$164)-ROW($L110)-1),0)-1),0))</f>
        <v>0</v>
      </c>
      <c r="O110" s="211">
        <f ca="1">IF($E111=-1,0,IF(O$13&lt;=$L110,IF(ISERROR(MATCH(O$13,OFFSET($L110,1,0,ROW($L$164)-ROW($L110)-1),0)),ROW($L$164)-ROW($L110)-1,MATCH(O$13,OFFSET($L110,1,0,ROW($L$164)-ROW($L110)-1),0)-1),0))</f>
        <v>0</v>
      </c>
      <c r="P110" s="211">
        <f ca="1">IF($E111=-1,0,IF(P$13&lt;=$L110,IF(ISERROR(MATCH(P$13,OFFSET($L110,1,0,ROW($L$164)-ROW($L110)-1),0)),ROW($L$164)-ROW($L110)-1,MATCH(P$13,OFFSET($L110,1,0,ROW($L$164)-ROW($L110)-1),0)-1),0))</f>
        <v>0</v>
      </c>
      <c r="Q110" s="211">
        <f t="shared" ref="Q110" ca="1" si="229">MIN(OFFSET(L110,0,1,,L110))</f>
        <v>0</v>
      </c>
      <c r="R110" s="212" t="str">
        <f ca="1">IF($E111=0,OFFSET(ORÇAMENTO!X$15,$E110,0),IF($E111&lt;&gt;-1,OFFSET(QCI!$O$13,$E111,0),""))</f>
        <v/>
      </c>
      <c r="S110" s="213" t="s">
        <v>270</v>
      </c>
      <c r="T110" s="214" t="e">
        <f t="shared" ref="T110:AE110" ca="1" si="230">IF(AND($Q110=2,ACOMPANHAMENTO="BM"),T111,T112/$R110)</f>
        <v>#VALUE!</v>
      </c>
      <c r="U110" s="206" t="e">
        <f t="shared" ca="1" si="230"/>
        <v>#VALUE!</v>
      </c>
      <c r="V110" s="206" t="e">
        <f t="shared" ca="1" si="230"/>
        <v>#VALUE!</v>
      </c>
      <c r="W110" s="206" t="e">
        <f t="shared" ca="1" si="230"/>
        <v>#VALUE!</v>
      </c>
      <c r="X110" s="206" t="e">
        <f t="shared" ca="1" si="230"/>
        <v>#VALUE!</v>
      </c>
      <c r="Y110" s="206" t="e">
        <f t="shared" ca="1" si="230"/>
        <v>#VALUE!</v>
      </c>
      <c r="Z110" s="206" t="e">
        <f t="shared" ca="1" si="230"/>
        <v>#VALUE!</v>
      </c>
      <c r="AA110" s="206" t="e">
        <f t="shared" ca="1" si="230"/>
        <v>#VALUE!</v>
      </c>
      <c r="AB110" s="206" t="e">
        <f t="shared" ca="1" si="230"/>
        <v>#VALUE!</v>
      </c>
      <c r="AC110" s="206" t="e">
        <f t="shared" ca="1" si="230"/>
        <v>#VALUE!</v>
      </c>
      <c r="AD110" s="206" t="e">
        <f t="shared" ca="1" si="230"/>
        <v>#VALUE!</v>
      </c>
      <c r="AE110" s="215" t="e">
        <f t="shared" ca="1" si="230"/>
        <v>#VALUE!</v>
      </c>
    </row>
    <row r="111" spans="1:32" ht="12.75" hidden="1" customHeight="1" x14ac:dyDescent="0.25">
      <c r="D111" s="568"/>
      <c r="E111" s="203">
        <f ca="1">IF(ISERROR(E110),IF(1+COUNTIF($L$13:OFFSET(L110,-1,0),1)&lt;=MAX(QCI!$D$13:$D$24),1+COUNTIF($L$13:OFFSET(L110,-1,0),1),-1),0)</f>
        <v>-1</v>
      </c>
      <c r="F111" s="203" t="str">
        <f t="shared" ref="F111" ca="1" si="231">IF(AND($E111&lt;&gt;-1,$R110&gt;0),"F","")</f>
        <v/>
      </c>
      <c r="G111" s="216" t="str">
        <f ca="1">IF(OR(R110=0,R110=""),"vazia",IF(AND(OR(ACOMPANHAMENTO="PLE",$Q110&lt;&gt;2),$E111=0),"calculada","--&gt;"))</f>
        <v>vazia</v>
      </c>
      <c r="H111" s="217"/>
      <c r="I111" s="218" t="str">
        <f t="shared" ref="I111" ca="1" si="232">IF(AND(G110&lt;&gt;0,ISNUMBER(G110)),"PREENCHA ESTA LINHA --&gt;","")</f>
        <v/>
      </c>
      <c r="J111" s="218"/>
      <c r="K111" s="218"/>
      <c r="L111" s="219"/>
      <c r="M111" s="219"/>
      <c r="N111" s="219"/>
      <c r="O111" s="219"/>
      <c r="P111" s="219"/>
      <c r="Q111" s="219"/>
      <c r="R111" s="220"/>
      <c r="S111" s="221"/>
      <c r="T111" s="569"/>
      <c r="U111" s="568"/>
      <c r="V111" s="568"/>
      <c r="W111" s="568"/>
      <c r="X111" s="568"/>
      <c r="Y111" s="568"/>
      <c r="Z111" s="568"/>
      <c r="AA111" s="568"/>
      <c r="AB111" s="568"/>
      <c r="AC111" s="568"/>
      <c r="AD111" s="568"/>
      <c r="AE111" s="570"/>
      <c r="AF111" s="532"/>
    </row>
    <row r="112" spans="1:32" ht="0.15" hidden="1" customHeight="1" x14ac:dyDescent="0.25">
      <c r="D112" s="222">
        <f ca="1">IF($Q110=2,IF(AND(ACOMPANHAMENTO="PLE",ISNUMBER($E110)),SUMIF((OFFSET(CÁLCULO!$AM$15:$AW$15,$E110,0,OFFSET(ORÇAMENTO!$D$15,CRONO!$E110,0))),"="&amp;CRONO!D$12,OFFSET(CÁLCULO!$AB$15:$AL$15,$E110,0,OFFSET(ORÇAMENTO!$D$15,CRONO!$E110,0)))+IF(AND($E112&lt;&gt;"",$E112&lt;&gt;0),SUMIF(CÁLCULO!$AM$15:$AW$32,"="&amp;CRONO!D$12,CÁLCULO!$AB$15:$AL$32)/(ORÇAMENTO!$X$15-CÁLCULO.TotalAdmLocal)*CRONO!$E112,0),D111*$R110),SUMIF(OFFSET($R112,1,0,$Q110-2),($L110+1)&amp;"$",OFFSET(D112,1,0,$Q110-2)))</f>
        <v>0</v>
      </c>
      <c r="E112" s="203" t="str">
        <f ca="1">IF(OR($Q110&lt;&gt;2,AUTOEVENTO&lt;&gt;"manual",$E111&gt;0),"",SUMIF(OFFSET(CÁLCULO!$M$15,CRONO!$E110,0,OFFSET(ORÇAMENTO!$D$15,CRONO!$E110,0)),1,OFFSET(ORÇAMENTO!$X$15,CRONO!$E110,0,OFFSET(ORÇAMENTO!$D$15,CRONO!$E110,0))))</f>
        <v/>
      </c>
      <c r="G112" s="223"/>
      <c r="R112" s="224" t="str">
        <f t="shared" ref="R112" ca="1" si="233">L110&amp;"$"</f>
        <v>1$</v>
      </c>
      <c r="S112" s="225"/>
      <c r="T112" s="226">
        <f ca="1">IF($Q110=2,IF(AND(ACOMPANHAMENTO="PLE",ISNUMBER($E110)),SUMIF((OFFSET(CÁLCULO!$AM$15:$AW$15,$E110,0,OFFSET(ORÇAMENTO!$D$15,CRONO!$E110,0))),"&lt;="&amp;CRONO!T$12,OFFSET(CÁLCULO!$AB$15:$AL$15,$E110,0,OFFSET(ORÇAMENTO!$D$15,CRONO!$E110,0)))+IF(AND($E112&lt;&gt;"",$E112&lt;&gt;0),SUMIF(CÁLCULO!$AM$15:$AW$32,"&lt;="&amp;CRONO!T$12,CÁLCULO!$AB$15:$AL$32)/(ORÇAMENTO!$X$15-CÁLCULO.TotalAdmLocal)*CRONO!$E112,0),T111*$R110),SUMIF(OFFSET($R112,1,0,$Q110-2),($L110+1)&amp;"$",OFFSET(T112,1,0,$Q110-2)))</f>
        <v>0</v>
      </c>
      <c r="U112" s="222">
        <f ca="1">IF($Q110=2,IF(AND(ACOMPANHAMENTO="PLE",ISNUMBER($E110)),SUMIF((OFFSET(CÁLCULO!$AM$15:$AW$15,$E110,0,OFFSET(ORÇAMENTO!$D$15,CRONO!$E110,0))),"="&amp;CRONO!U$12,OFFSET(CÁLCULO!$AB$15:$AL$15,$E110,0,OFFSET(ORÇAMENTO!$D$15,CRONO!$E110,0)))+IF(AND($E112&lt;&gt;"",$E112&lt;&gt;0),SUMIF(CÁLCULO!$AM$15:$AW$32,"="&amp;CRONO!U$12,CÁLCULO!$AB$15:$AL$32)/(ORÇAMENTO!$X$15-CÁLCULO.TotalAdmLocal)*CRONO!$E112,0),U111*$R110),SUMIF(OFFSET($R112,1,0,$Q110-2),($L110+1)&amp;"$",OFFSET(U112,1,0,$Q110-2)))</f>
        <v>0</v>
      </c>
      <c r="V112" s="222">
        <f ca="1">IF($Q110=2,IF(AND(ACOMPANHAMENTO="PLE",ISNUMBER($E110)),SUMIF((OFFSET(CÁLCULO!$AM$15:$AW$15,$E110,0,OFFSET(ORÇAMENTO!$D$15,CRONO!$E110,0))),"="&amp;CRONO!V$12,OFFSET(CÁLCULO!$AB$15:$AL$15,$E110,0,OFFSET(ORÇAMENTO!$D$15,CRONO!$E110,0)))+IF(AND($E112&lt;&gt;"",$E112&lt;&gt;0),SUMIF(CÁLCULO!$AM$15:$AW$32,"="&amp;CRONO!V$12,CÁLCULO!$AB$15:$AL$32)/(ORÇAMENTO!$X$15-CÁLCULO.TotalAdmLocal)*CRONO!$E112,0),V111*$R110),SUMIF(OFFSET($R112,1,0,$Q110-2),($L110+1)&amp;"$",OFFSET(V112,1,0,$Q110-2)))</f>
        <v>0</v>
      </c>
      <c r="W112" s="222">
        <f ca="1">IF($Q110=2,IF(AND(ACOMPANHAMENTO="PLE",ISNUMBER($E110)),SUMIF((OFFSET(CÁLCULO!$AM$15:$AW$15,$E110,0,OFFSET(ORÇAMENTO!$D$15,CRONO!$E110,0))),"="&amp;CRONO!W$12,OFFSET(CÁLCULO!$AB$15:$AL$15,$E110,0,OFFSET(ORÇAMENTO!$D$15,CRONO!$E110,0)))+IF(AND($E112&lt;&gt;"",$E112&lt;&gt;0),SUMIF(CÁLCULO!$AM$15:$AW$32,"="&amp;CRONO!W$12,CÁLCULO!$AB$15:$AL$32)/(ORÇAMENTO!$X$15-CÁLCULO.TotalAdmLocal)*CRONO!$E112,0),W111*$R110),SUMIF(OFFSET($R112,1,0,$Q110-2),($L110+1)&amp;"$",OFFSET(W112,1,0,$Q110-2)))</f>
        <v>0</v>
      </c>
      <c r="X112" s="222">
        <f ca="1">IF($Q110=2,IF(AND(ACOMPANHAMENTO="PLE",ISNUMBER($E110)),SUMIF((OFFSET(CÁLCULO!$AM$15:$AW$15,$E110,0,OFFSET(ORÇAMENTO!$D$15,CRONO!$E110,0))),"="&amp;CRONO!X$12,OFFSET(CÁLCULO!$AB$15:$AL$15,$E110,0,OFFSET(ORÇAMENTO!$D$15,CRONO!$E110,0)))+IF(AND($E112&lt;&gt;"",$E112&lt;&gt;0),SUMIF(CÁLCULO!$AM$15:$AW$32,"="&amp;CRONO!X$12,CÁLCULO!$AB$15:$AL$32)/(ORÇAMENTO!$X$15-CÁLCULO.TotalAdmLocal)*CRONO!$E112,0),X111*$R110),SUMIF(OFFSET($R112,1,0,$Q110-2),($L110+1)&amp;"$",OFFSET(X112,1,0,$Q110-2)))</f>
        <v>0</v>
      </c>
      <c r="Y112" s="222">
        <f ca="1">IF($Q110=2,IF(AND(ACOMPANHAMENTO="PLE",ISNUMBER($E110)),SUMIF((OFFSET(CÁLCULO!$AM$15:$AW$15,$E110,0,OFFSET(ORÇAMENTO!$D$15,CRONO!$E110,0))),"="&amp;CRONO!Y$12,OFFSET(CÁLCULO!$AB$15:$AL$15,$E110,0,OFFSET(ORÇAMENTO!$D$15,CRONO!$E110,0)))+IF(AND($E112&lt;&gt;"",$E112&lt;&gt;0),SUMIF(CÁLCULO!$AM$15:$AW$32,"="&amp;CRONO!Y$12,CÁLCULO!$AB$15:$AL$32)/(ORÇAMENTO!$X$15-CÁLCULO.TotalAdmLocal)*CRONO!$E112,0),Y111*$R110),SUMIF(OFFSET($R112,1,0,$Q110-2),($L110+1)&amp;"$",OFFSET(Y112,1,0,$Q110-2)))</f>
        <v>0</v>
      </c>
      <c r="Z112" s="222">
        <f ca="1">IF($Q110=2,IF(AND(ACOMPANHAMENTO="PLE",ISNUMBER($E110)),SUMIF((OFFSET(CÁLCULO!$AM$15:$AW$15,$E110,0,OFFSET(ORÇAMENTO!$D$15,CRONO!$E110,0))),"="&amp;CRONO!Z$12,OFFSET(CÁLCULO!$AB$15:$AL$15,$E110,0,OFFSET(ORÇAMENTO!$D$15,CRONO!$E110,0)))+IF(AND($E112&lt;&gt;"",$E112&lt;&gt;0),SUMIF(CÁLCULO!$AM$15:$AW$32,"="&amp;CRONO!Z$12,CÁLCULO!$AB$15:$AL$32)/(ORÇAMENTO!$X$15-CÁLCULO.TotalAdmLocal)*CRONO!$E112,0),Z111*$R110),SUMIF(OFFSET($R112,1,0,$Q110-2),($L110+1)&amp;"$",OFFSET(Z112,1,0,$Q110-2)))</f>
        <v>0</v>
      </c>
      <c r="AA112" s="222">
        <f ca="1">IF($Q110=2,IF(AND(ACOMPANHAMENTO="PLE",ISNUMBER($E110)),SUMIF((OFFSET(CÁLCULO!$AM$15:$AW$15,$E110,0,OFFSET(ORÇAMENTO!$D$15,CRONO!$E110,0))),"="&amp;CRONO!AA$12,OFFSET(CÁLCULO!$AB$15:$AL$15,$E110,0,OFFSET(ORÇAMENTO!$D$15,CRONO!$E110,0)))+IF(AND($E112&lt;&gt;"",$E112&lt;&gt;0),SUMIF(CÁLCULO!$AM$15:$AW$32,"="&amp;CRONO!AA$12,CÁLCULO!$AB$15:$AL$32)/(ORÇAMENTO!$X$15-CÁLCULO.TotalAdmLocal)*CRONO!$E112,0),AA111*$R110),SUMIF(OFFSET($R112,1,0,$Q110-2),($L110+1)&amp;"$",OFFSET(AA112,1,0,$Q110-2)))</f>
        <v>0</v>
      </c>
      <c r="AB112" s="222">
        <f ca="1">IF($Q110=2,IF(AND(ACOMPANHAMENTO="PLE",ISNUMBER($E110)),SUMIF((OFFSET(CÁLCULO!$AM$15:$AW$15,$E110,0,OFFSET(ORÇAMENTO!$D$15,CRONO!$E110,0))),"="&amp;CRONO!AB$12,OFFSET(CÁLCULO!$AB$15:$AL$15,$E110,0,OFFSET(ORÇAMENTO!$D$15,CRONO!$E110,0)))+IF(AND($E112&lt;&gt;"",$E112&lt;&gt;0),SUMIF(CÁLCULO!$AM$15:$AW$32,"="&amp;CRONO!AB$12,CÁLCULO!$AB$15:$AL$32)/(ORÇAMENTO!$X$15-CÁLCULO.TotalAdmLocal)*CRONO!$E112,0),AB111*$R110),SUMIF(OFFSET($R112,1,0,$Q110-2),($L110+1)&amp;"$",OFFSET(AB112,1,0,$Q110-2)))</f>
        <v>0</v>
      </c>
      <c r="AC112" s="222">
        <f ca="1">IF($Q110=2,IF(AND(ACOMPANHAMENTO="PLE",ISNUMBER($E110)),SUMIF((OFFSET(CÁLCULO!$AM$15:$AW$15,$E110,0,OFFSET(ORÇAMENTO!$D$15,CRONO!$E110,0))),"="&amp;CRONO!AC$12,OFFSET(CÁLCULO!$AB$15:$AL$15,$E110,0,OFFSET(ORÇAMENTO!$D$15,CRONO!$E110,0)))+IF(AND($E112&lt;&gt;"",$E112&lt;&gt;0),SUMIF(CÁLCULO!$AM$15:$AW$32,"="&amp;CRONO!AC$12,CÁLCULO!$AB$15:$AL$32)/(ORÇAMENTO!$X$15-CÁLCULO.TotalAdmLocal)*CRONO!$E112,0),AC111*$R110),SUMIF(OFFSET($R112,1,0,$Q110-2),($L110+1)&amp;"$",OFFSET(AC112,1,0,$Q110-2)))</f>
        <v>0</v>
      </c>
      <c r="AD112" s="222">
        <f ca="1">IF($Q110=2,IF(AND(ACOMPANHAMENTO="PLE",ISNUMBER($E110)),SUMIF((OFFSET(CÁLCULO!$AM$15:$AW$15,$E110,0,OFFSET(ORÇAMENTO!$D$15,CRONO!$E110,0))),"="&amp;CRONO!AD$12,OFFSET(CÁLCULO!$AB$15:$AL$15,$E110,0,OFFSET(ORÇAMENTO!$D$15,CRONO!$E110,0)))+IF(AND($E112&lt;&gt;"",$E112&lt;&gt;0),SUMIF(CÁLCULO!$AM$15:$AW$32,"="&amp;CRONO!AD$12,CÁLCULO!$AB$15:$AL$32)/(ORÇAMENTO!$X$15-CÁLCULO.TotalAdmLocal)*CRONO!$E112,0),AD111*$R110),SUMIF(OFFSET($R112,1,0,$Q110-2),($L110+1)&amp;"$",OFFSET(AD112,1,0,$Q110-2)))</f>
        <v>0</v>
      </c>
      <c r="AE112" s="227">
        <f ca="1">IF($Q110=2,IF(AND(ACOMPANHAMENTO="PLE",ISNUMBER($E110)),SUMIF((OFFSET(CÁLCULO!$AM$15:$AW$15,$E110,0,OFFSET(ORÇAMENTO!$D$15,CRONO!$E110,0))),"="&amp;CRONO!AE$12,OFFSET(CÁLCULO!$AB$15:$AL$15,$E110,0,OFFSET(ORÇAMENTO!$D$15,CRONO!$E110,0)))+IF(AND($E112&lt;&gt;"",$E112&lt;&gt;0),SUMIF(CÁLCULO!$AM$15:$AW$32,"="&amp;CRONO!AE$12,CÁLCULO!$AB$15:$AL$32)/(ORÇAMENTO!$X$15-CÁLCULO.TotalAdmLocal)*CRONO!$E112,0),AE111*$R110),SUMIF(OFFSET($R112,1,0,$Q110-2),($L110+1)&amp;"$",OFFSET(AE112,1,0,$Q110-2)))</f>
        <v>0</v>
      </c>
    </row>
    <row r="113" spans="1:32" hidden="1" x14ac:dyDescent="0.25">
      <c r="A113" s="203">
        <f t="shared" ref="A113" ca="1" si="234">OFFSET(A113,-3,0)+1</f>
        <v>34</v>
      </c>
      <c r="B113" s="203">
        <f ca="1">IF($Q113&lt;&gt;2,0,IF($R113=0,1,IF(E114&gt;0,OFFSET(QCI!$M$13,SUBSTITUTE(E114,".",""),0),OFFSET(ORÇAMENTO!$AA$15,CRONO!$E113,0))/$R113))</f>
        <v>0</v>
      </c>
      <c r="C113" s="203">
        <f ca="1">IF($Q113&lt;&gt;2,0,IF($R113=0,1,IF(E114&gt;0,OFFSET(QCI!$N$13,SUBSTITUTE(E114,".",""),0),OFFSET(ORÇAMENTO!$AB$15,CRONO!$E113,0))/$R113))</f>
        <v>0</v>
      </c>
      <c r="D113" s="206" t="e">
        <f ca="1">IF(AND($Q113=2,ACOMPANHAMENTO="BM"),D114,D115/$R113)</f>
        <v>#VALUE!</v>
      </c>
      <c r="E113" s="203" t="e">
        <f ca="1">IF(A113&lt;=ORÇAMENTO.MáximoListaCrono,MATCH(A113,ORÇAMENTO.ListaCrono,0),NA())</f>
        <v>#N/A</v>
      </c>
      <c r="F113" s="203" t="str">
        <f t="shared" ref="F113" ca="1" si="235">IF(AND($E114&lt;&gt;-1,$R113&gt;0),"F","")</f>
        <v/>
      </c>
      <c r="G113" s="207" t="str">
        <f ca="1">IF(OR(R113=0,R113=""),"Linha",IF(AND(OR(ACOMPANHAMENTO="PLE",$Q113&lt;&gt;2),$E114=0),"Linha",1-SUM(T113:AF113)))</f>
        <v>Linha</v>
      </c>
      <c r="H113" s="208" t="str">
        <f ca="1">IF($E114=0,OFFSET(ORÇAMENTO!O$15,$E113,0),IF($E114&lt;&gt;-1,OFFSET(QCI!$D$13,$E114,0),""))</f>
        <v/>
      </c>
      <c r="I113" s="209" t="str">
        <f ca="1">IF($E114=0,OFFSET(ORÇAMENTO!R$15,$E113,0),IF($E114&lt;&gt;-1,OFFSET(QCI!$G$13,$E114,0),""))</f>
        <v/>
      </c>
      <c r="J113" s="209"/>
      <c r="K113" s="209"/>
      <c r="L113" s="210">
        <f ca="1">IF($E114=0,OFFSET(ORÇAMENTO!C$15,$E113,0),1)</f>
        <v>1</v>
      </c>
      <c r="M113" s="211">
        <f ca="1">IF($E114=-1,0,IF(M$13&lt;=$L113,IF(ISERROR(MATCH(M$13,OFFSET($L113,1,0,ROW($L$164)-ROW($L113)-1),0)),ROW($L$164)-ROW($L113)-1,MATCH(M$13,OFFSET($L113,1,0,ROW($L$164)-ROW($L113)-1),0)-1),0))</f>
        <v>0</v>
      </c>
      <c r="N113" s="211">
        <f ca="1">IF($E114=-1,0,IF(N$13&lt;=$L113,IF(ISERROR(MATCH(N$13,OFFSET($L113,1,0,ROW($L$164)-ROW($L113)-1),0)),ROW($L$164)-ROW($L113)-1,MATCH(N$13,OFFSET($L113,1,0,ROW($L$164)-ROW($L113)-1),0)-1),0))</f>
        <v>0</v>
      </c>
      <c r="O113" s="211">
        <f ca="1">IF($E114=-1,0,IF(O$13&lt;=$L113,IF(ISERROR(MATCH(O$13,OFFSET($L113,1,0,ROW($L$164)-ROW($L113)-1),0)),ROW($L$164)-ROW($L113)-1,MATCH(O$13,OFFSET($L113,1,0,ROW($L$164)-ROW($L113)-1),0)-1),0))</f>
        <v>0</v>
      </c>
      <c r="P113" s="211">
        <f ca="1">IF($E114=-1,0,IF(P$13&lt;=$L113,IF(ISERROR(MATCH(P$13,OFFSET($L113,1,0,ROW($L$164)-ROW($L113)-1),0)),ROW($L$164)-ROW($L113)-1,MATCH(P$13,OFFSET($L113,1,0,ROW($L$164)-ROW($L113)-1),0)-1),0))</f>
        <v>0</v>
      </c>
      <c r="Q113" s="211">
        <f t="shared" ref="Q113" ca="1" si="236">MIN(OFFSET(L113,0,1,,L113))</f>
        <v>0</v>
      </c>
      <c r="R113" s="212" t="str">
        <f ca="1">IF($E114=0,OFFSET(ORÇAMENTO!X$15,$E113,0),IF($E114&lt;&gt;-1,OFFSET(QCI!$O$13,$E114,0),""))</f>
        <v/>
      </c>
      <c r="S113" s="213" t="s">
        <v>270</v>
      </c>
      <c r="T113" s="214" t="e">
        <f t="shared" ref="T113:AE113" ca="1" si="237">IF(AND($Q113=2,ACOMPANHAMENTO="BM"),T114,T115/$R113)</f>
        <v>#VALUE!</v>
      </c>
      <c r="U113" s="206" t="e">
        <f t="shared" ca="1" si="237"/>
        <v>#VALUE!</v>
      </c>
      <c r="V113" s="206" t="e">
        <f t="shared" ca="1" si="237"/>
        <v>#VALUE!</v>
      </c>
      <c r="W113" s="206" t="e">
        <f t="shared" ca="1" si="237"/>
        <v>#VALUE!</v>
      </c>
      <c r="X113" s="206" t="e">
        <f t="shared" ca="1" si="237"/>
        <v>#VALUE!</v>
      </c>
      <c r="Y113" s="206" t="e">
        <f t="shared" ca="1" si="237"/>
        <v>#VALUE!</v>
      </c>
      <c r="Z113" s="206" t="e">
        <f t="shared" ca="1" si="237"/>
        <v>#VALUE!</v>
      </c>
      <c r="AA113" s="206" t="e">
        <f t="shared" ca="1" si="237"/>
        <v>#VALUE!</v>
      </c>
      <c r="AB113" s="206" t="e">
        <f t="shared" ca="1" si="237"/>
        <v>#VALUE!</v>
      </c>
      <c r="AC113" s="206" t="e">
        <f t="shared" ca="1" si="237"/>
        <v>#VALUE!</v>
      </c>
      <c r="AD113" s="206" t="e">
        <f t="shared" ca="1" si="237"/>
        <v>#VALUE!</v>
      </c>
      <c r="AE113" s="215" t="e">
        <f t="shared" ca="1" si="237"/>
        <v>#VALUE!</v>
      </c>
    </row>
    <row r="114" spans="1:32" ht="12.75" hidden="1" customHeight="1" x14ac:dyDescent="0.25">
      <c r="D114" s="568"/>
      <c r="E114" s="203">
        <f ca="1">IF(ISERROR(E113),IF(1+COUNTIF($L$13:OFFSET(L113,-1,0),1)&lt;=MAX(QCI!$D$13:$D$24),1+COUNTIF($L$13:OFFSET(L113,-1,0),1),-1),0)</f>
        <v>-1</v>
      </c>
      <c r="F114" s="203" t="str">
        <f t="shared" ref="F114" ca="1" si="238">IF(AND($E114&lt;&gt;-1,$R113&gt;0),"F","")</f>
        <v/>
      </c>
      <c r="G114" s="216" t="str">
        <f ca="1">IF(OR(R113=0,R113=""),"vazia",IF(AND(OR(ACOMPANHAMENTO="PLE",$Q113&lt;&gt;2),$E114=0),"calculada","--&gt;"))</f>
        <v>vazia</v>
      </c>
      <c r="H114" s="217"/>
      <c r="I114" s="218" t="str">
        <f t="shared" ref="I114" ca="1" si="239">IF(AND(G113&lt;&gt;0,ISNUMBER(G113)),"PREENCHA ESTA LINHA --&gt;","")</f>
        <v/>
      </c>
      <c r="J114" s="218"/>
      <c r="K114" s="218"/>
      <c r="L114" s="219"/>
      <c r="M114" s="219"/>
      <c r="N114" s="219"/>
      <c r="O114" s="219"/>
      <c r="P114" s="219"/>
      <c r="Q114" s="219"/>
      <c r="R114" s="220"/>
      <c r="S114" s="221"/>
      <c r="T114" s="569"/>
      <c r="U114" s="568"/>
      <c r="V114" s="568"/>
      <c r="W114" s="568"/>
      <c r="X114" s="568"/>
      <c r="Y114" s="568"/>
      <c r="Z114" s="568"/>
      <c r="AA114" s="568"/>
      <c r="AB114" s="568"/>
      <c r="AC114" s="568"/>
      <c r="AD114" s="568"/>
      <c r="AE114" s="570"/>
      <c r="AF114" s="532"/>
    </row>
    <row r="115" spans="1:32" ht="0.15" hidden="1" customHeight="1" x14ac:dyDescent="0.25">
      <c r="D115" s="222">
        <f ca="1">IF($Q113=2,IF(AND(ACOMPANHAMENTO="PLE",ISNUMBER($E113)),SUMIF((OFFSET(CÁLCULO!$AM$15:$AW$15,$E113,0,OFFSET(ORÇAMENTO!$D$15,CRONO!$E113,0))),"="&amp;CRONO!D$12,OFFSET(CÁLCULO!$AB$15:$AL$15,$E113,0,OFFSET(ORÇAMENTO!$D$15,CRONO!$E113,0)))+IF(AND($E115&lt;&gt;"",$E115&lt;&gt;0),SUMIF(CÁLCULO!$AM$15:$AW$32,"="&amp;CRONO!D$12,CÁLCULO!$AB$15:$AL$32)/(ORÇAMENTO!$X$15-CÁLCULO.TotalAdmLocal)*CRONO!$E115,0),D114*$R113),SUMIF(OFFSET($R115,1,0,$Q113-2),($L113+1)&amp;"$",OFFSET(D115,1,0,$Q113-2)))</f>
        <v>0</v>
      </c>
      <c r="E115" s="203" t="str">
        <f ca="1">IF(OR($Q113&lt;&gt;2,AUTOEVENTO&lt;&gt;"manual",$E114&gt;0),"",SUMIF(OFFSET(CÁLCULO!$M$15,CRONO!$E113,0,OFFSET(ORÇAMENTO!$D$15,CRONO!$E113,0)),1,OFFSET(ORÇAMENTO!$X$15,CRONO!$E113,0,OFFSET(ORÇAMENTO!$D$15,CRONO!$E113,0))))</f>
        <v/>
      </c>
      <c r="G115" s="223"/>
      <c r="R115" s="224" t="str">
        <f t="shared" ref="R115" ca="1" si="240">L113&amp;"$"</f>
        <v>1$</v>
      </c>
      <c r="S115" s="225"/>
      <c r="T115" s="226">
        <f ca="1">IF($Q113=2,IF(AND(ACOMPANHAMENTO="PLE",ISNUMBER($E113)),SUMIF((OFFSET(CÁLCULO!$AM$15:$AW$15,$E113,0,OFFSET(ORÇAMENTO!$D$15,CRONO!$E113,0))),"&lt;="&amp;CRONO!T$12,OFFSET(CÁLCULO!$AB$15:$AL$15,$E113,0,OFFSET(ORÇAMENTO!$D$15,CRONO!$E113,0)))+IF(AND($E115&lt;&gt;"",$E115&lt;&gt;0),SUMIF(CÁLCULO!$AM$15:$AW$32,"&lt;="&amp;CRONO!T$12,CÁLCULO!$AB$15:$AL$32)/(ORÇAMENTO!$X$15-CÁLCULO.TotalAdmLocal)*CRONO!$E115,0),T114*$R113),SUMIF(OFFSET($R115,1,0,$Q113-2),($L113+1)&amp;"$",OFFSET(T115,1,0,$Q113-2)))</f>
        <v>0</v>
      </c>
      <c r="U115" s="222">
        <f ca="1">IF($Q113=2,IF(AND(ACOMPANHAMENTO="PLE",ISNUMBER($E113)),SUMIF((OFFSET(CÁLCULO!$AM$15:$AW$15,$E113,0,OFFSET(ORÇAMENTO!$D$15,CRONO!$E113,0))),"="&amp;CRONO!U$12,OFFSET(CÁLCULO!$AB$15:$AL$15,$E113,0,OFFSET(ORÇAMENTO!$D$15,CRONO!$E113,0)))+IF(AND($E115&lt;&gt;"",$E115&lt;&gt;0),SUMIF(CÁLCULO!$AM$15:$AW$32,"="&amp;CRONO!U$12,CÁLCULO!$AB$15:$AL$32)/(ORÇAMENTO!$X$15-CÁLCULO.TotalAdmLocal)*CRONO!$E115,0),U114*$R113),SUMIF(OFFSET($R115,1,0,$Q113-2),($L113+1)&amp;"$",OFFSET(U115,1,0,$Q113-2)))</f>
        <v>0</v>
      </c>
      <c r="V115" s="222">
        <f ca="1">IF($Q113=2,IF(AND(ACOMPANHAMENTO="PLE",ISNUMBER($E113)),SUMIF((OFFSET(CÁLCULO!$AM$15:$AW$15,$E113,0,OFFSET(ORÇAMENTO!$D$15,CRONO!$E113,0))),"="&amp;CRONO!V$12,OFFSET(CÁLCULO!$AB$15:$AL$15,$E113,0,OFFSET(ORÇAMENTO!$D$15,CRONO!$E113,0)))+IF(AND($E115&lt;&gt;"",$E115&lt;&gt;0),SUMIF(CÁLCULO!$AM$15:$AW$32,"="&amp;CRONO!V$12,CÁLCULO!$AB$15:$AL$32)/(ORÇAMENTO!$X$15-CÁLCULO.TotalAdmLocal)*CRONO!$E115,0),V114*$R113),SUMIF(OFFSET($R115,1,0,$Q113-2),($L113+1)&amp;"$",OFFSET(V115,1,0,$Q113-2)))</f>
        <v>0</v>
      </c>
      <c r="W115" s="222">
        <f ca="1">IF($Q113=2,IF(AND(ACOMPANHAMENTO="PLE",ISNUMBER($E113)),SUMIF((OFFSET(CÁLCULO!$AM$15:$AW$15,$E113,0,OFFSET(ORÇAMENTO!$D$15,CRONO!$E113,0))),"="&amp;CRONO!W$12,OFFSET(CÁLCULO!$AB$15:$AL$15,$E113,0,OFFSET(ORÇAMENTO!$D$15,CRONO!$E113,0)))+IF(AND($E115&lt;&gt;"",$E115&lt;&gt;0),SUMIF(CÁLCULO!$AM$15:$AW$32,"="&amp;CRONO!W$12,CÁLCULO!$AB$15:$AL$32)/(ORÇAMENTO!$X$15-CÁLCULO.TotalAdmLocal)*CRONO!$E115,0),W114*$R113),SUMIF(OFFSET($R115,1,0,$Q113-2),($L113+1)&amp;"$",OFFSET(W115,1,0,$Q113-2)))</f>
        <v>0</v>
      </c>
      <c r="X115" s="222">
        <f ca="1">IF($Q113=2,IF(AND(ACOMPANHAMENTO="PLE",ISNUMBER($E113)),SUMIF((OFFSET(CÁLCULO!$AM$15:$AW$15,$E113,0,OFFSET(ORÇAMENTO!$D$15,CRONO!$E113,0))),"="&amp;CRONO!X$12,OFFSET(CÁLCULO!$AB$15:$AL$15,$E113,0,OFFSET(ORÇAMENTO!$D$15,CRONO!$E113,0)))+IF(AND($E115&lt;&gt;"",$E115&lt;&gt;0),SUMIF(CÁLCULO!$AM$15:$AW$32,"="&amp;CRONO!X$12,CÁLCULO!$AB$15:$AL$32)/(ORÇAMENTO!$X$15-CÁLCULO.TotalAdmLocal)*CRONO!$E115,0),X114*$R113),SUMIF(OFFSET($R115,1,0,$Q113-2),($L113+1)&amp;"$",OFFSET(X115,1,0,$Q113-2)))</f>
        <v>0</v>
      </c>
      <c r="Y115" s="222">
        <f ca="1">IF($Q113=2,IF(AND(ACOMPANHAMENTO="PLE",ISNUMBER($E113)),SUMIF((OFFSET(CÁLCULO!$AM$15:$AW$15,$E113,0,OFFSET(ORÇAMENTO!$D$15,CRONO!$E113,0))),"="&amp;CRONO!Y$12,OFFSET(CÁLCULO!$AB$15:$AL$15,$E113,0,OFFSET(ORÇAMENTO!$D$15,CRONO!$E113,0)))+IF(AND($E115&lt;&gt;"",$E115&lt;&gt;0),SUMIF(CÁLCULO!$AM$15:$AW$32,"="&amp;CRONO!Y$12,CÁLCULO!$AB$15:$AL$32)/(ORÇAMENTO!$X$15-CÁLCULO.TotalAdmLocal)*CRONO!$E115,0),Y114*$R113),SUMIF(OFFSET($R115,1,0,$Q113-2),($L113+1)&amp;"$",OFFSET(Y115,1,0,$Q113-2)))</f>
        <v>0</v>
      </c>
      <c r="Z115" s="222">
        <f ca="1">IF($Q113=2,IF(AND(ACOMPANHAMENTO="PLE",ISNUMBER($E113)),SUMIF((OFFSET(CÁLCULO!$AM$15:$AW$15,$E113,0,OFFSET(ORÇAMENTO!$D$15,CRONO!$E113,0))),"="&amp;CRONO!Z$12,OFFSET(CÁLCULO!$AB$15:$AL$15,$E113,0,OFFSET(ORÇAMENTO!$D$15,CRONO!$E113,0)))+IF(AND($E115&lt;&gt;"",$E115&lt;&gt;0),SUMIF(CÁLCULO!$AM$15:$AW$32,"="&amp;CRONO!Z$12,CÁLCULO!$AB$15:$AL$32)/(ORÇAMENTO!$X$15-CÁLCULO.TotalAdmLocal)*CRONO!$E115,0),Z114*$R113),SUMIF(OFFSET($R115,1,0,$Q113-2),($L113+1)&amp;"$",OFFSET(Z115,1,0,$Q113-2)))</f>
        <v>0</v>
      </c>
      <c r="AA115" s="222">
        <f ca="1">IF($Q113=2,IF(AND(ACOMPANHAMENTO="PLE",ISNUMBER($E113)),SUMIF((OFFSET(CÁLCULO!$AM$15:$AW$15,$E113,0,OFFSET(ORÇAMENTO!$D$15,CRONO!$E113,0))),"="&amp;CRONO!AA$12,OFFSET(CÁLCULO!$AB$15:$AL$15,$E113,0,OFFSET(ORÇAMENTO!$D$15,CRONO!$E113,0)))+IF(AND($E115&lt;&gt;"",$E115&lt;&gt;0),SUMIF(CÁLCULO!$AM$15:$AW$32,"="&amp;CRONO!AA$12,CÁLCULO!$AB$15:$AL$32)/(ORÇAMENTO!$X$15-CÁLCULO.TotalAdmLocal)*CRONO!$E115,0),AA114*$R113),SUMIF(OFFSET($R115,1,0,$Q113-2),($L113+1)&amp;"$",OFFSET(AA115,1,0,$Q113-2)))</f>
        <v>0</v>
      </c>
      <c r="AB115" s="222">
        <f ca="1">IF($Q113=2,IF(AND(ACOMPANHAMENTO="PLE",ISNUMBER($E113)),SUMIF((OFFSET(CÁLCULO!$AM$15:$AW$15,$E113,0,OFFSET(ORÇAMENTO!$D$15,CRONO!$E113,0))),"="&amp;CRONO!AB$12,OFFSET(CÁLCULO!$AB$15:$AL$15,$E113,0,OFFSET(ORÇAMENTO!$D$15,CRONO!$E113,0)))+IF(AND($E115&lt;&gt;"",$E115&lt;&gt;0),SUMIF(CÁLCULO!$AM$15:$AW$32,"="&amp;CRONO!AB$12,CÁLCULO!$AB$15:$AL$32)/(ORÇAMENTO!$X$15-CÁLCULO.TotalAdmLocal)*CRONO!$E115,0),AB114*$R113),SUMIF(OFFSET($R115,1,0,$Q113-2),($L113+1)&amp;"$",OFFSET(AB115,1,0,$Q113-2)))</f>
        <v>0</v>
      </c>
      <c r="AC115" s="222">
        <f ca="1">IF($Q113=2,IF(AND(ACOMPANHAMENTO="PLE",ISNUMBER($E113)),SUMIF((OFFSET(CÁLCULO!$AM$15:$AW$15,$E113,0,OFFSET(ORÇAMENTO!$D$15,CRONO!$E113,0))),"="&amp;CRONO!AC$12,OFFSET(CÁLCULO!$AB$15:$AL$15,$E113,0,OFFSET(ORÇAMENTO!$D$15,CRONO!$E113,0)))+IF(AND($E115&lt;&gt;"",$E115&lt;&gt;0),SUMIF(CÁLCULO!$AM$15:$AW$32,"="&amp;CRONO!AC$12,CÁLCULO!$AB$15:$AL$32)/(ORÇAMENTO!$X$15-CÁLCULO.TotalAdmLocal)*CRONO!$E115,0),AC114*$R113),SUMIF(OFFSET($R115,1,0,$Q113-2),($L113+1)&amp;"$",OFFSET(AC115,1,0,$Q113-2)))</f>
        <v>0</v>
      </c>
      <c r="AD115" s="222">
        <f ca="1">IF($Q113=2,IF(AND(ACOMPANHAMENTO="PLE",ISNUMBER($E113)),SUMIF((OFFSET(CÁLCULO!$AM$15:$AW$15,$E113,0,OFFSET(ORÇAMENTO!$D$15,CRONO!$E113,0))),"="&amp;CRONO!AD$12,OFFSET(CÁLCULO!$AB$15:$AL$15,$E113,0,OFFSET(ORÇAMENTO!$D$15,CRONO!$E113,0)))+IF(AND($E115&lt;&gt;"",$E115&lt;&gt;0),SUMIF(CÁLCULO!$AM$15:$AW$32,"="&amp;CRONO!AD$12,CÁLCULO!$AB$15:$AL$32)/(ORÇAMENTO!$X$15-CÁLCULO.TotalAdmLocal)*CRONO!$E115,0),AD114*$R113),SUMIF(OFFSET($R115,1,0,$Q113-2),($L113+1)&amp;"$",OFFSET(AD115,1,0,$Q113-2)))</f>
        <v>0</v>
      </c>
      <c r="AE115" s="227">
        <f ca="1">IF($Q113=2,IF(AND(ACOMPANHAMENTO="PLE",ISNUMBER($E113)),SUMIF((OFFSET(CÁLCULO!$AM$15:$AW$15,$E113,0,OFFSET(ORÇAMENTO!$D$15,CRONO!$E113,0))),"="&amp;CRONO!AE$12,OFFSET(CÁLCULO!$AB$15:$AL$15,$E113,0,OFFSET(ORÇAMENTO!$D$15,CRONO!$E113,0)))+IF(AND($E115&lt;&gt;"",$E115&lt;&gt;0),SUMIF(CÁLCULO!$AM$15:$AW$32,"="&amp;CRONO!AE$12,CÁLCULO!$AB$15:$AL$32)/(ORÇAMENTO!$X$15-CÁLCULO.TotalAdmLocal)*CRONO!$E115,0),AE114*$R113),SUMIF(OFFSET($R115,1,0,$Q113-2),($L113+1)&amp;"$",OFFSET(AE115,1,0,$Q113-2)))</f>
        <v>0</v>
      </c>
    </row>
    <row r="116" spans="1:32" hidden="1" x14ac:dyDescent="0.25">
      <c r="A116" s="203">
        <f t="shared" ref="A116" ca="1" si="241">OFFSET(A116,-3,0)+1</f>
        <v>35</v>
      </c>
      <c r="B116" s="203">
        <f ca="1">IF($Q116&lt;&gt;2,0,IF($R116=0,1,IF(E117&gt;0,OFFSET(QCI!$M$13,SUBSTITUTE(E117,".",""),0),OFFSET(ORÇAMENTO!$AA$15,CRONO!$E116,0))/$R116))</f>
        <v>0</v>
      </c>
      <c r="C116" s="203">
        <f ca="1">IF($Q116&lt;&gt;2,0,IF($R116=0,1,IF(E117&gt;0,OFFSET(QCI!$N$13,SUBSTITUTE(E117,".",""),0),OFFSET(ORÇAMENTO!$AB$15,CRONO!$E116,0))/$R116))</f>
        <v>0</v>
      </c>
      <c r="D116" s="206" t="e">
        <f ca="1">IF(AND($Q116=2,ACOMPANHAMENTO="BM"),D117,D118/$R116)</f>
        <v>#VALUE!</v>
      </c>
      <c r="E116" s="203" t="e">
        <f ca="1">IF(A116&lt;=ORÇAMENTO.MáximoListaCrono,MATCH(A116,ORÇAMENTO.ListaCrono,0),NA())</f>
        <v>#N/A</v>
      </c>
      <c r="F116" s="203" t="str">
        <f t="shared" ref="F116" ca="1" si="242">IF(AND($E117&lt;&gt;-1,$R116&gt;0),"F","")</f>
        <v/>
      </c>
      <c r="G116" s="207" t="str">
        <f ca="1">IF(OR(R116=0,R116=""),"Linha",IF(AND(OR(ACOMPANHAMENTO="PLE",$Q116&lt;&gt;2),$E117=0),"Linha",1-SUM(T116:AF116)))</f>
        <v>Linha</v>
      </c>
      <c r="H116" s="208" t="str">
        <f ca="1">IF($E117=0,OFFSET(ORÇAMENTO!O$15,$E116,0),IF($E117&lt;&gt;-1,OFFSET(QCI!$D$13,$E117,0),""))</f>
        <v/>
      </c>
      <c r="I116" s="209" t="str">
        <f ca="1">IF($E117=0,OFFSET(ORÇAMENTO!R$15,$E116,0),IF($E117&lt;&gt;-1,OFFSET(QCI!$G$13,$E117,0),""))</f>
        <v/>
      </c>
      <c r="J116" s="209"/>
      <c r="K116" s="209"/>
      <c r="L116" s="210">
        <f ca="1">IF($E117=0,OFFSET(ORÇAMENTO!C$15,$E116,0),1)</f>
        <v>1</v>
      </c>
      <c r="M116" s="211">
        <f ca="1">IF($E117=-1,0,IF(M$13&lt;=$L116,IF(ISERROR(MATCH(M$13,OFFSET($L116,1,0,ROW($L$164)-ROW($L116)-1),0)),ROW($L$164)-ROW($L116)-1,MATCH(M$13,OFFSET($L116,1,0,ROW($L$164)-ROW($L116)-1),0)-1),0))</f>
        <v>0</v>
      </c>
      <c r="N116" s="211">
        <f ca="1">IF($E117=-1,0,IF(N$13&lt;=$L116,IF(ISERROR(MATCH(N$13,OFFSET($L116,1,0,ROW($L$164)-ROW($L116)-1),0)),ROW($L$164)-ROW($L116)-1,MATCH(N$13,OFFSET($L116,1,0,ROW($L$164)-ROW($L116)-1),0)-1),0))</f>
        <v>0</v>
      </c>
      <c r="O116" s="211">
        <f ca="1">IF($E117=-1,0,IF(O$13&lt;=$L116,IF(ISERROR(MATCH(O$13,OFFSET($L116,1,0,ROW($L$164)-ROW($L116)-1),0)),ROW($L$164)-ROW($L116)-1,MATCH(O$13,OFFSET($L116,1,0,ROW($L$164)-ROW($L116)-1),0)-1),0))</f>
        <v>0</v>
      </c>
      <c r="P116" s="211">
        <f ca="1">IF($E117=-1,0,IF(P$13&lt;=$L116,IF(ISERROR(MATCH(P$13,OFFSET($L116,1,0,ROW($L$164)-ROW($L116)-1),0)),ROW($L$164)-ROW($L116)-1,MATCH(P$13,OFFSET($L116,1,0,ROW($L$164)-ROW($L116)-1),0)-1),0))</f>
        <v>0</v>
      </c>
      <c r="Q116" s="211">
        <f t="shared" ref="Q116" ca="1" si="243">MIN(OFFSET(L116,0,1,,L116))</f>
        <v>0</v>
      </c>
      <c r="R116" s="212" t="str">
        <f ca="1">IF($E117=0,OFFSET(ORÇAMENTO!X$15,$E116,0),IF($E117&lt;&gt;-1,OFFSET(QCI!$O$13,$E117,0),""))</f>
        <v/>
      </c>
      <c r="S116" s="213" t="s">
        <v>270</v>
      </c>
      <c r="T116" s="214" t="e">
        <f t="shared" ref="T116:AE116" ca="1" si="244">IF(AND($Q116=2,ACOMPANHAMENTO="BM"),T117,T118/$R116)</f>
        <v>#VALUE!</v>
      </c>
      <c r="U116" s="206" t="e">
        <f t="shared" ca="1" si="244"/>
        <v>#VALUE!</v>
      </c>
      <c r="V116" s="206" t="e">
        <f t="shared" ca="1" si="244"/>
        <v>#VALUE!</v>
      </c>
      <c r="W116" s="206" t="e">
        <f t="shared" ca="1" si="244"/>
        <v>#VALUE!</v>
      </c>
      <c r="X116" s="206" t="e">
        <f t="shared" ca="1" si="244"/>
        <v>#VALUE!</v>
      </c>
      <c r="Y116" s="206" t="e">
        <f t="shared" ca="1" si="244"/>
        <v>#VALUE!</v>
      </c>
      <c r="Z116" s="206" t="e">
        <f t="shared" ca="1" si="244"/>
        <v>#VALUE!</v>
      </c>
      <c r="AA116" s="206" t="e">
        <f t="shared" ca="1" si="244"/>
        <v>#VALUE!</v>
      </c>
      <c r="AB116" s="206" t="e">
        <f t="shared" ca="1" si="244"/>
        <v>#VALUE!</v>
      </c>
      <c r="AC116" s="206" t="e">
        <f t="shared" ca="1" si="244"/>
        <v>#VALUE!</v>
      </c>
      <c r="AD116" s="206" t="e">
        <f t="shared" ca="1" si="244"/>
        <v>#VALUE!</v>
      </c>
      <c r="AE116" s="215" t="e">
        <f t="shared" ca="1" si="244"/>
        <v>#VALUE!</v>
      </c>
    </row>
    <row r="117" spans="1:32" ht="12.75" hidden="1" customHeight="1" x14ac:dyDescent="0.25">
      <c r="D117" s="568"/>
      <c r="E117" s="203">
        <f ca="1">IF(ISERROR(E116),IF(1+COUNTIF($L$13:OFFSET(L116,-1,0),1)&lt;=MAX(QCI!$D$13:$D$24),1+COUNTIF($L$13:OFFSET(L116,-1,0),1),-1),0)</f>
        <v>-1</v>
      </c>
      <c r="F117" s="203" t="str">
        <f t="shared" ref="F117" ca="1" si="245">IF(AND($E117&lt;&gt;-1,$R116&gt;0),"F","")</f>
        <v/>
      </c>
      <c r="G117" s="216" t="str">
        <f ca="1">IF(OR(R116=0,R116=""),"vazia",IF(AND(OR(ACOMPANHAMENTO="PLE",$Q116&lt;&gt;2),$E117=0),"calculada","--&gt;"))</f>
        <v>vazia</v>
      </c>
      <c r="H117" s="217"/>
      <c r="I117" s="218" t="str">
        <f t="shared" ref="I117" ca="1" si="246">IF(AND(G116&lt;&gt;0,ISNUMBER(G116)),"PREENCHA ESTA LINHA --&gt;","")</f>
        <v/>
      </c>
      <c r="J117" s="218"/>
      <c r="K117" s="218"/>
      <c r="L117" s="219"/>
      <c r="M117" s="219"/>
      <c r="N117" s="219"/>
      <c r="O117" s="219"/>
      <c r="P117" s="219"/>
      <c r="Q117" s="219"/>
      <c r="R117" s="220"/>
      <c r="S117" s="221"/>
      <c r="T117" s="569"/>
      <c r="U117" s="568"/>
      <c r="V117" s="568"/>
      <c r="W117" s="568"/>
      <c r="X117" s="568"/>
      <c r="Y117" s="568"/>
      <c r="Z117" s="568"/>
      <c r="AA117" s="568"/>
      <c r="AB117" s="568"/>
      <c r="AC117" s="568"/>
      <c r="AD117" s="568"/>
      <c r="AE117" s="570"/>
      <c r="AF117" s="532"/>
    </row>
    <row r="118" spans="1:32" ht="0.15" hidden="1" customHeight="1" x14ac:dyDescent="0.25">
      <c r="D118" s="222">
        <f ca="1">IF($Q116=2,IF(AND(ACOMPANHAMENTO="PLE",ISNUMBER($E116)),SUMIF((OFFSET(CÁLCULO!$AM$15:$AW$15,$E116,0,OFFSET(ORÇAMENTO!$D$15,CRONO!$E116,0))),"="&amp;CRONO!D$12,OFFSET(CÁLCULO!$AB$15:$AL$15,$E116,0,OFFSET(ORÇAMENTO!$D$15,CRONO!$E116,0)))+IF(AND($E118&lt;&gt;"",$E118&lt;&gt;0),SUMIF(CÁLCULO!$AM$15:$AW$32,"="&amp;CRONO!D$12,CÁLCULO!$AB$15:$AL$32)/(ORÇAMENTO!$X$15-CÁLCULO.TotalAdmLocal)*CRONO!$E118,0),D117*$R116),SUMIF(OFFSET($R118,1,0,$Q116-2),($L116+1)&amp;"$",OFFSET(D118,1,0,$Q116-2)))</f>
        <v>0</v>
      </c>
      <c r="E118" s="203" t="str">
        <f ca="1">IF(OR($Q116&lt;&gt;2,AUTOEVENTO&lt;&gt;"manual",$E117&gt;0),"",SUMIF(OFFSET(CÁLCULO!$M$15,CRONO!$E116,0,OFFSET(ORÇAMENTO!$D$15,CRONO!$E116,0)),1,OFFSET(ORÇAMENTO!$X$15,CRONO!$E116,0,OFFSET(ORÇAMENTO!$D$15,CRONO!$E116,0))))</f>
        <v/>
      </c>
      <c r="G118" s="223"/>
      <c r="R118" s="224" t="str">
        <f t="shared" ref="R118" ca="1" si="247">L116&amp;"$"</f>
        <v>1$</v>
      </c>
      <c r="S118" s="225"/>
      <c r="T118" s="226">
        <f ca="1">IF($Q116=2,IF(AND(ACOMPANHAMENTO="PLE",ISNUMBER($E116)),SUMIF((OFFSET(CÁLCULO!$AM$15:$AW$15,$E116,0,OFFSET(ORÇAMENTO!$D$15,CRONO!$E116,0))),"&lt;="&amp;CRONO!T$12,OFFSET(CÁLCULO!$AB$15:$AL$15,$E116,0,OFFSET(ORÇAMENTO!$D$15,CRONO!$E116,0)))+IF(AND($E118&lt;&gt;"",$E118&lt;&gt;0),SUMIF(CÁLCULO!$AM$15:$AW$32,"&lt;="&amp;CRONO!T$12,CÁLCULO!$AB$15:$AL$32)/(ORÇAMENTO!$X$15-CÁLCULO.TotalAdmLocal)*CRONO!$E118,0),T117*$R116),SUMIF(OFFSET($R118,1,0,$Q116-2),($L116+1)&amp;"$",OFFSET(T118,1,0,$Q116-2)))</f>
        <v>0</v>
      </c>
      <c r="U118" s="222">
        <f ca="1">IF($Q116=2,IF(AND(ACOMPANHAMENTO="PLE",ISNUMBER($E116)),SUMIF((OFFSET(CÁLCULO!$AM$15:$AW$15,$E116,0,OFFSET(ORÇAMENTO!$D$15,CRONO!$E116,0))),"="&amp;CRONO!U$12,OFFSET(CÁLCULO!$AB$15:$AL$15,$E116,0,OFFSET(ORÇAMENTO!$D$15,CRONO!$E116,0)))+IF(AND($E118&lt;&gt;"",$E118&lt;&gt;0),SUMIF(CÁLCULO!$AM$15:$AW$32,"="&amp;CRONO!U$12,CÁLCULO!$AB$15:$AL$32)/(ORÇAMENTO!$X$15-CÁLCULO.TotalAdmLocal)*CRONO!$E118,0),U117*$R116),SUMIF(OFFSET($R118,1,0,$Q116-2),($L116+1)&amp;"$",OFFSET(U118,1,0,$Q116-2)))</f>
        <v>0</v>
      </c>
      <c r="V118" s="222">
        <f ca="1">IF($Q116=2,IF(AND(ACOMPANHAMENTO="PLE",ISNUMBER($E116)),SUMIF((OFFSET(CÁLCULO!$AM$15:$AW$15,$E116,0,OFFSET(ORÇAMENTO!$D$15,CRONO!$E116,0))),"="&amp;CRONO!V$12,OFFSET(CÁLCULO!$AB$15:$AL$15,$E116,0,OFFSET(ORÇAMENTO!$D$15,CRONO!$E116,0)))+IF(AND($E118&lt;&gt;"",$E118&lt;&gt;0),SUMIF(CÁLCULO!$AM$15:$AW$32,"="&amp;CRONO!V$12,CÁLCULO!$AB$15:$AL$32)/(ORÇAMENTO!$X$15-CÁLCULO.TotalAdmLocal)*CRONO!$E118,0),V117*$R116),SUMIF(OFFSET($R118,1,0,$Q116-2),($L116+1)&amp;"$",OFFSET(V118,1,0,$Q116-2)))</f>
        <v>0</v>
      </c>
      <c r="W118" s="222">
        <f ca="1">IF($Q116=2,IF(AND(ACOMPANHAMENTO="PLE",ISNUMBER($E116)),SUMIF((OFFSET(CÁLCULO!$AM$15:$AW$15,$E116,0,OFFSET(ORÇAMENTO!$D$15,CRONO!$E116,0))),"="&amp;CRONO!W$12,OFFSET(CÁLCULO!$AB$15:$AL$15,$E116,0,OFFSET(ORÇAMENTO!$D$15,CRONO!$E116,0)))+IF(AND($E118&lt;&gt;"",$E118&lt;&gt;0),SUMIF(CÁLCULO!$AM$15:$AW$32,"="&amp;CRONO!W$12,CÁLCULO!$AB$15:$AL$32)/(ORÇAMENTO!$X$15-CÁLCULO.TotalAdmLocal)*CRONO!$E118,0),W117*$R116),SUMIF(OFFSET($R118,1,0,$Q116-2),($L116+1)&amp;"$",OFFSET(W118,1,0,$Q116-2)))</f>
        <v>0</v>
      </c>
      <c r="X118" s="222">
        <f ca="1">IF($Q116=2,IF(AND(ACOMPANHAMENTO="PLE",ISNUMBER($E116)),SUMIF((OFFSET(CÁLCULO!$AM$15:$AW$15,$E116,0,OFFSET(ORÇAMENTO!$D$15,CRONO!$E116,0))),"="&amp;CRONO!X$12,OFFSET(CÁLCULO!$AB$15:$AL$15,$E116,0,OFFSET(ORÇAMENTO!$D$15,CRONO!$E116,0)))+IF(AND($E118&lt;&gt;"",$E118&lt;&gt;0),SUMIF(CÁLCULO!$AM$15:$AW$32,"="&amp;CRONO!X$12,CÁLCULO!$AB$15:$AL$32)/(ORÇAMENTO!$X$15-CÁLCULO.TotalAdmLocal)*CRONO!$E118,0),X117*$R116),SUMIF(OFFSET($R118,1,0,$Q116-2),($L116+1)&amp;"$",OFFSET(X118,1,0,$Q116-2)))</f>
        <v>0</v>
      </c>
      <c r="Y118" s="222">
        <f ca="1">IF($Q116=2,IF(AND(ACOMPANHAMENTO="PLE",ISNUMBER($E116)),SUMIF((OFFSET(CÁLCULO!$AM$15:$AW$15,$E116,0,OFFSET(ORÇAMENTO!$D$15,CRONO!$E116,0))),"="&amp;CRONO!Y$12,OFFSET(CÁLCULO!$AB$15:$AL$15,$E116,0,OFFSET(ORÇAMENTO!$D$15,CRONO!$E116,0)))+IF(AND($E118&lt;&gt;"",$E118&lt;&gt;0),SUMIF(CÁLCULO!$AM$15:$AW$32,"="&amp;CRONO!Y$12,CÁLCULO!$AB$15:$AL$32)/(ORÇAMENTO!$X$15-CÁLCULO.TotalAdmLocal)*CRONO!$E118,0),Y117*$R116),SUMIF(OFFSET($R118,1,0,$Q116-2),($L116+1)&amp;"$",OFFSET(Y118,1,0,$Q116-2)))</f>
        <v>0</v>
      </c>
      <c r="Z118" s="222">
        <f ca="1">IF($Q116=2,IF(AND(ACOMPANHAMENTO="PLE",ISNUMBER($E116)),SUMIF((OFFSET(CÁLCULO!$AM$15:$AW$15,$E116,0,OFFSET(ORÇAMENTO!$D$15,CRONO!$E116,0))),"="&amp;CRONO!Z$12,OFFSET(CÁLCULO!$AB$15:$AL$15,$E116,0,OFFSET(ORÇAMENTO!$D$15,CRONO!$E116,0)))+IF(AND($E118&lt;&gt;"",$E118&lt;&gt;0),SUMIF(CÁLCULO!$AM$15:$AW$32,"="&amp;CRONO!Z$12,CÁLCULO!$AB$15:$AL$32)/(ORÇAMENTO!$X$15-CÁLCULO.TotalAdmLocal)*CRONO!$E118,0),Z117*$R116),SUMIF(OFFSET($R118,1,0,$Q116-2),($L116+1)&amp;"$",OFFSET(Z118,1,0,$Q116-2)))</f>
        <v>0</v>
      </c>
      <c r="AA118" s="222">
        <f ca="1">IF($Q116=2,IF(AND(ACOMPANHAMENTO="PLE",ISNUMBER($E116)),SUMIF((OFFSET(CÁLCULO!$AM$15:$AW$15,$E116,0,OFFSET(ORÇAMENTO!$D$15,CRONO!$E116,0))),"="&amp;CRONO!AA$12,OFFSET(CÁLCULO!$AB$15:$AL$15,$E116,0,OFFSET(ORÇAMENTO!$D$15,CRONO!$E116,0)))+IF(AND($E118&lt;&gt;"",$E118&lt;&gt;0),SUMIF(CÁLCULO!$AM$15:$AW$32,"="&amp;CRONO!AA$12,CÁLCULO!$AB$15:$AL$32)/(ORÇAMENTO!$X$15-CÁLCULO.TotalAdmLocal)*CRONO!$E118,0),AA117*$R116),SUMIF(OFFSET($R118,1,0,$Q116-2),($L116+1)&amp;"$",OFFSET(AA118,1,0,$Q116-2)))</f>
        <v>0</v>
      </c>
      <c r="AB118" s="222">
        <f ca="1">IF($Q116=2,IF(AND(ACOMPANHAMENTO="PLE",ISNUMBER($E116)),SUMIF((OFFSET(CÁLCULO!$AM$15:$AW$15,$E116,0,OFFSET(ORÇAMENTO!$D$15,CRONO!$E116,0))),"="&amp;CRONO!AB$12,OFFSET(CÁLCULO!$AB$15:$AL$15,$E116,0,OFFSET(ORÇAMENTO!$D$15,CRONO!$E116,0)))+IF(AND($E118&lt;&gt;"",$E118&lt;&gt;0),SUMIF(CÁLCULO!$AM$15:$AW$32,"="&amp;CRONO!AB$12,CÁLCULO!$AB$15:$AL$32)/(ORÇAMENTO!$X$15-CÁLCULO.TotalAdmLocal)*CRONO!$E118,0),AB117*$R116),SUMIF(OFFSET($R118,1,0,$Q116-2),($L116+1)&amp;"$",OFFSET(AB118,1,0,$Q116-2)))</f>
        <v>0</v>
      </c>
      <c r="AC118" s="222">
        <f ca="1">IF($Q116=2,IF(AND(ACOMPANHAMENTO="PLE",ISNUMBER($E116)),SUMIF((OFFSET(CÁLCULO!$AM$15:$AW$15,$E116,0,OFFSET(ORÇAMENTO!$D$15,CRONO!$E116,0))),"="&amp;CRONO!AC$12,OFFSET(CÁLCULO!$AB$15:$AL$15,$E116,0,OFFSET(ORÇAMENTO!$D$15,CRONO!$E116,0)))+IF(AND($E118&lt;&gt;"",$E118&lt;&gt;0),SUMIF(CÁLCULO!$AM$15:$AW$32,"="&amp;CRONO!AC$12,CÁLCULO!$AB$15:$AL$32)/(ORÇAMENTO!$X$15-CÁLCULO.TotalAdmLocal)*CRONO!$E118,0),AC117*$R116),SUMIF(OFFSET($R118,1,0,$Q116-2),($L116+1)&amp;"$",OFFSET(AC118,1,0,$Q116-2)))</f>
        <v>0</v>
      </c>
      <c r="AD118" s="222">
        <f ca="1">IF($Q116=2,IF(AND(ACOMPANHAMENTO="PLE",ISNUMBER($E116)),SUMIF((OFFSET(CÁLCULO!$AM$15:$AW$15,$E116,0,OFFSET(ORÇAMENTO!$D$15,CRONO!$E116,0))),"="&amp;CRONO!AD$12,OFFSET(CÁLCULO!$AB$15:$AL$15,$E116,0,OFFSET(ORÇAMENTO!$D$15,CRONO!$E116,0)))+IF(AND($E118&lt;&gt;"",$E118&lt;&gt;0),SUMIF(CÁLCULO!$AM$15:$AW$32,"="&amp;CRONO!AD$12,CÁLCULO!$AB$15:$AL$32)/(ORÇAMENTO!$X$15-CÁLCULO.TotalAdmLocal)*CRONO!$E118,0),AD117*$R116),SUMIF(OFFSET($R118,1,0,$Q116-2),($L116+1)&amp;"$",OFFSET(AD118,1,0,$Q116-2)))</f>
        <v>0</v>
      </c>
      <c r="AE118" s="227">
        <f ca="1">IF($Q116=2,IF(AND(ACOMPANHAMENTO="PLE",ISNUMBER($E116)),SUMIF((OFFSET(CÁLCULO!$AM$15:$AW$15,$E116,0,OFFSET(ORÇAMENTO!$D$15,CRONO!$E116,0))),"="&amp;CRONO!AE$12,OFFSET(CÁLCULO!$AB$15:$AL$15,$E116,0,OFFSET(ORÇAMENTO!$D$15,CRONO!$E116,0)))+IF(AND($E118&lt;&gt;"",$E118&lt;&gt;0),SUMIF(CÁLCULO!$AM$15:$AW$32,"="&amp;CRONO!AE$12,CÁLCULO!$AB$15:$AL$32)/(ORÇAMENTO!$X$15-CÁLCULO.TotalAdmLocal)*CRONO!$E118,0),AE117*$R116),SUMIF(OFFSET($R118,1,0,$Q116-2),($L116+1)&amp;"$",OFFSET(AE118,1,0,$Q116-2)))</f>
        <v>0</v>
      </c>
    </row>
    <row r="119" spans="1:32" hidden="1" x14ac:dyDescent="0.25">
      <c r="A119" s="203">
        <f t="shared" ref="A119" ca="1" si="248">OFFSET(A119,-3,0)+1</f>
        <v>36</v>
      </c>
      <c r="B119" s="203">
        <f ca="1">IF($Q119&lt;&gt;2,0,IF($R119=0,1,IF(E120&gt;0,OFFSET(QCI!$M$13,SUBSTITUTE(E120,".",""),0),OFFSET(ORÇAMENTO!$AA$15,CRONO!$E119,0))/$R119))</f>
        <v>0</v>
      </c>
      <c r="C119" s="203">
        <f ca="1">IF($Q119&lt;&gt;2,0,IF($R119=0,1,IF(E120&gt;0,OFFSET(QCI!$N$13,SUBSTITUTE(E120,".",""),0),OFFSET(ORÇAMENTO!$AB$15,CRONO!$E119,0))/$R119))</f>
        <v>0</v>
      </c>
      <c r="D119" s="206" t="e">
        <f ca="1">IF(AND($Q119=2,ACOMPANHAMENTO="BM"),D120,D121/$R119)</f>
        <v>#VALUE!</v>
      </c>
      <c r="E119" s="203" t="e">
        <f ca="1">IF(A119&lt;=ORÇAMENTO.MáximoListaCrono,MATCH(A119,ORÇAMENTO.ListaCrono,0),NA())</f>
        <v>#N/A</v>
      </c>
      <c r="F119" s="203" t="str">
        <f t="shared" ref="F119" ca="1" si="249">IF(AND($E120&lt;&gt;-1,$R119&gt;0),"F","")</f>
        <v/>
      </c>
      <c r="G119" s="207" t="str">
        <f ca="1">IF(OR(R119=0,R119=""),"Linha",IF(AND(OR(ACOMPANHAMENTO="PLE",$Q119&lt;&gt;2),$E120=0),"Linha",1-SUM(T119:AF119)))</f>
        <v>Linha</v>
      </c>
      <c r="H119" s="208" t="str">
        <f ca="1">IF($E120=0,OFFSET(ORÇAMENTO!O$15,$E119,0),IF($E120&lt;&gt;-1,OFFSET(QCI!$D$13,$E120,0),""))</f>
        <v/>
      </c>
      <c r="I119" s="209" t="str">
        <f ca="1">IF($E120=0,OFFSET(ORÇAMENTO!R$15,$E119,0),IF($E120&lt;&gt;-1,OFFSET(QCI!$G$13,$E120,0),""))</f>
        <v/>
      </c>
      <c r="J119" s="209"/>
      <c r="K119" s="209"/>
      <c r="L119" s="210">
        <f ca="1">IF($E120=0,OFFSET(ORÇAMENTO!C$15,$E119,0),1)</f>
        <v>1</v>
      </c>
      <c r="M119" s="211">
        <f ca="1">IF($E120=-1,0,IF(M$13&lt;=$L119,IF(ISERROR(MATCH(M$13,OFFSET($L119,1,0,ROW($L$164)-ROW($L119)-1),0)),ROW($L$164)-ROW($L119)-1,MATCH(M$13,OFFSET($L119,1,0,ROW($L$164)-ROW($L119)-1),0)-1),0))</f>
        <v>0</v>
      </c>
      <c r="N119" s="211">
        <f ca="1">IF($E120=-1,0,IF(N$13&lt;=$L119,IF(ISERROR(MATCH(N$13,OFFSET($L119,1,0,ROW($L$164)-ROW($L119)-1),0)),ROW($L$164)-ROW($L119)-1,MATCH(N$13,OFFSET($L119,1,0,ROW($L$164)-ROW($L119)-1),0)-1),0))</f>
        <v>0</v>
      </c>
      <c r="O119" s="211">
        <f ca="1">IF($E120=-1,0,IF(O$13&lt;=$L119,IF(ISERROR(MATCH(O$13,OFFSET($L119,1,0,ROW($L$164)-ROW($L119)-1),0)),ROW($L$164)-ROW($L119)-1,MATCH(O$13,OFFSET($L119,1,0,ROW($L$164)-ROW($L119)-1),0)-1),0))</f>
        <v>0</v>
      </c>
      <c r="P119" s="211">
        <f ca="1">IF($E120=-1,0,IF(P$13&lt;=$L119,IF(ISERROR(MATCH(P$13,OFFSET($L119,1,0,ROW($L$164)-ROW($L119)-1),0)),ROW($L$164)-ROW($L119)-1,MATCH(P$13,OFFSET($L119,1,0,ROW($L$164)-ROW($L119)-1),0)-1),0))</f>
        <v>0</v>
      </c>
      <c r="Q119" s="211">
        <f t="shared" ref="Q119" ca="1" si="250">MIN(OFFSET(L119,0,1,,L119))</f>
        <v>0</v>
      </c>
      <c r="R119" s="212" t="str">
        <f ca="1">IF($E120=0,OFFSET(ORÇAMENTO!X$15,$E119,0),IF($E120&lt;&gt;-1,OFFSET(QCI!$O$13,$E120,0),""))</f>
        <v/>
      </c>
      <c r="S119" s="213" t="s">
        <v>270</v>
      </c>
      <c r="T119" s="214" t="e">
        <f t="shared" ref="T119:AE119" ca="1" si="251">IF(AND($Q119=2,ACOMPANHAMENTO="BM"),T120,T121/$R119)</f>
        <v>#VALUE!</v>
      </c>
      <c r="U119" s="206" t="e">
        <f t="shared" ca="1" si="251"/>
        <v>#VALUE!</v>
      </c>
      <c r="V119" s="206" t="e">
        <f t="shared" ca="1" si="251"/>
        <v>#VALUE!</v>
      </c>
      <c r="W119" s="206" t="e">
        <f t="shared" ca="1" si="251"/>
        <v>#VALUE!</v>
      </c>
      <c r="X119" s="206" t="e">
        <f t="shared" ca="1" si="251"/>
        <v>#VALUE!</v>
      </c>
      <c r="Y119" s="206" t="e">
        <f t="shared" ca="1" si="251"/>
        <v>#VALUE!</v>
      </c>
      <c r="Z119" s="206" t="e">
        <f t="shared" ca="1" si="251"/>
        <v>#VALUE!</v>
      </c>
      <c r="AA119" s="206" t="e">
        <f t="shared" ca="1" si="251"/>
        <v>#VALUE!</v>
      </c>
      <c r="AB119" s="206" t="e">
        <f t="shared" ca="1" si="251"/>
        <v>#VALUE!</v>
      </c>
      <c r="AC119" s="206" t="e">
        <f t="shared" ca="1" si="251"/>
        <v>#VALUE!</v>
      </c>
      <c r="AD119" s="206" t="e">
        <f t="shared" ca="1" si="251"/>
        <v>#VALUE!</v>
      </c>
      <c r="AE119" s="215" t="e">
        <f t="shared" ca="1" si="251"/>
        <v>#VALUE!</v>
      </c>
    </row>
    <row r="120" spans="1:32" ht="12.75" hidden="1" customHeight="1" x14ac:dyDescent="0.25">
      <c r="D120" s="568"/>
      <c r="E120" s="203">
        <f ca="1">IF(ISERROR(E119),IF(1+COUNTIF($L$13:OFFSET(L119,-1,0),1)&lt;=MAX(QCI!$D$13:$D$24),1+COUNTIF($L$13:OFFSET(L119,-1,0),1),-1),0)</f>
        <v>-1</v>
      </c>
      <c r="F120" s="203" t="str">
        <f t="shared" ref="F120" ca="1" si="252">IF(AND($E120&lt;&gt;-1,$R119&gt;0),"F","")</f>
        <v/>
      </c>
      <c r="G120" s="216" t="str">
        <f ca="1">IF(OR(R119=0,R119=""),"vazia",IF(AND(OR(ACOMPANHAMENTO="PLE",$Q119&lt;&gt;2),$E120=0),"calculada","--&gt;"))</f>
        <v>vazia</v>
      </c>
      <c r="H120" s="217"/>
      <c r="I120" s="218" t="str">
        <f t="shared" ref="I120" ca="1" si="253">IF(AND(G119&lt;&gt;0,ISNUMBER(G119)),"PREENCHA ESTA LINHA --&gt;","")</f>
        <v/>
      </c>
      <c r="J120" s="218"/>
      <c r="K120" s="218"/>
      <c r="L120" s="219"/>
      <c r="M120" s="219"/>
      <c r="N120" s="219"/>
      <c r="O120" s="219"/>
      <c r="P120" s="219"/>
      <c r="Q120" s="219"/>
      <c r="R120" s="220"/>
      <c r="S120" s="221"/>
      <c r="T120" s="569"/>
      <c r="U120" s="568"/>
      <c r="V120" s="568"/>
      <c r="W120" s="568"/>
      <c r="X120" s="568"/>
      <c r="Y120" s="568"/>
      <c r="Z120" s="568"/>
      <c r="AA120" s="568"/>
      <c r="AB120" s="568"/>
      <c r="AC120" s="568"/>
      <c r="AD120" s="568"/>
      <c r="AE120" s="570"/>
      <c r="AF120" s="532"/>
    </row>
    <row r="121" spans="1:32" ht="0.15" hidden="1" customHeight="1" x14ac:dyDescent="0.25">
      <c r="D121" s="222">
        <f ca="1">IF($Q119=2,IF(AND(ACOMPANHAMENTO="PLE",ISNUMBER($E119)),SUMIF((OFFSET(CÁLCULO!$AM$15:$AW$15,$E119,0,OFFSET(ORÇAMENTO!$D$15,CRONO!$E119,0))),"="&amp;CRONO!D$12,OFFSET(CÁLCULO!$AB$15:$AL$15,$E119,0,OFFSET(ORÇAMENTO!$D$15,CRONO!$E119,0)))+IF(AND($E121&lt;&gt;"",$E121&lt;&gt;0),SUMIF(CÁLCULO!$AM$15:$AW$32,"="&amp;CRONO!D$12,CÁLCULO!$AB$15:$AL$32)/(ORÇAMENTO!$X$15-CÁLCULO.TotalAdmLocal)*CRONO!$E121,0),D120*$R119),SUMIF(OFFSET($R121,1,0,$Q119-2),($L119+1)&amp;"$",OFFSET(D121,1,0,$Q119-2)))</f>
        <v>0</v>
      </c>
      <c r="E121" s="203" t="str">
        <f ca="1">IF(OR($Q119&lt;&gt;2,AUTOEVENTO&lt;&gt;"manual",$E120&gt;0),"",SUMIF(OFFSET(CÁLCULO!$M$15,CRONO!$E119,0,OFFSET(ORÇAMENTO!$D$15,CRONO!$E119,0)),1,OFFSET(ORÇAMENTO!$X$15,CRONO!$E119,0,OFFSET(ORÇAMENTO!$D$15,CRONO!$E119,0))))</f>
        <v/>
      </c>
      <c r="G121" s="223"/>
      <c r="R121" s="224" t="str">
        <f t="shared" ref="R121" ca="1" si="254">L119&amp;"$"</f>
        <v>1$</v>
      </c>
      <c r="S121" s="225"/>
      <c r="T121" s="226">
        <f ca="1">IF($Q119=2,IF(AND(ACOMPANHAMENTO="PLE",ISNUMBER($E119)),SUMIF((OFFSET(CÁLCULO!$AM$15:$AW$15,$E119,0,OFFSET(ORÇAMENTO!$D$15,CRONO!$E119,0))),"&lt;="&amp;CRONO!T$12,OFFSET(CÁLCULO!$AB$15:$AL$15,$E119,0,OFFSET(ORÇAMENTO!$D$15,CRONO!$E119,0)))+IF(AND($E121&lt;&gt;"",$E121&lt;&gt;0),SUMIF(CÁLCULO!$AM$15:$AW$32,"&lt;="&amp;CRONO!T$12,CÁLCULO!$AB$15:$AL$32)/(ORÇAMENTO!$X$15-CÁLCULO.TotalAdmLocal)*CRONO!$E121,0),T120*$R119),SUMIF(OFFSET($R121,1,0,$Q119-2),($L119+1)&amp;"$",OFFSET(T121,1,0,$Q119-2)))</f>
        <v>0</v>
      </c>
      <c r="U121" s="222">
        <f ca="1">IF($Q119=2,IF(AND(ACOMPANHAMENTO="PLE",ISNUMBER($E119)),SUMIF((OFFSET(CÁLCULO!$AM$15:$AW$15,$E119,0,OFFSET(ORÇAMENTO!$D$15,CRONO!$E119,0))),"="&amp;CRONO!U$12,OFFSET(CÁLCULO!$AB$15:$AL$15,$E119,0,OFFSET(ORÇAMENTO!$D$15,CRONO!$E119,0)))+IF(AND($E121&lt;&gt;"",$E121&lt;&gt;0),SUMIF(CÁLCULO!$AM$15:$AW$32,"="&amp;CRONO!U$12,CÁLCULO!$AB$15:$AL$32)/(ORÇAMENTO!$X$15-CÁLCULO.TotalAdmLocal)*CRONO!$E121,0),U120*$R119),SUMIF(OFFSET($R121,1,0,$Q119-2),($L119+1)&amp;"$",OFFSET(U121,1,0,$Q119-2)))</f>
        <v>0</v>
      </c>
      <c r="V121" s="222">
        <f ca="1">IF($Q119=2,IF(AND(ACOMPANHAMENTO="PLE",ISNUMBER($E119)),SUMIF((OFFSET(CÁLCULO!$AM$15:$AW$15,$E119,0,OFFSET(ORÇAMENTO!$D$15,CRONO!$E119,0))),"="&amp;CRONO!V$12,OFFSET(CÁLCULO!$AB$15:$AL$15,$E119,0,OFFSET(ORÇAMENTO!$D$15,CRONO!$E119,0)))+IF(AND($E121&lt;&gt;"",$E121&lt;&gt;0),SUMIF(CÁLCULO!$AM$15:$AW$32,"="&amp;CRONO!V$12,CÁLCULO!$AB$15:$AL$32)/(ORÇAMENTO!$X$15-CÁLCULO.TotalAdmLocal)*CRONO!$E121,0),V120*$R119),SUMIF(OFFSET($R121,1,0,$Q119-2),($L119+1)&amp;"$",OFFSET(V121,1,0,$Q119-2)))</f>
        <v>0</v>
      </c>
      <c r="W121" s="222">
        <f ca="1">IF($Q119=2,IF(AND(ACOMPANHAMENTO="PLE",ISNUMBER($E119)),SUMIF((OFFSET(CÁLCULO!$AM$15:$AW$15,$E119,0,OFFSET(ORÇAMENTO!$D$15,CRONO!$E119,0))),"="&amp;CRONO!W$12,OFFSET(CÁLCULO!$AB$15:$AL$15,$E119,0,OFFSET(ORÇAMENTO!$D$15,CRONO!$E119,0)))+IF(AND($E121&lt;&gt;"",$E121&lt;&gt;0),SUMIF(CÁLCULO!$AM$15:$AW$32,"="&amp;CRONO!W$12,CÁLCULO!$AB$15:$AL$32)/(ORÇAMENTO!$X$15-CÁLCULO.TotalAdmLocal)*CRONO!$E121,0),W120*$R119),SUMIF(OFFSET($R121,1,0,$Q119-2),($L119+1)&amp;"$",OFFSET(W121,1,0,$Q119-2)))</f>
        <v>0</v>
      </c>
      <c r="X121" s="222">
        <f ca="1">IF($Q119=2,IF(AND(ACOMPANHAMENTO="PLE",ISNUMBER($E119)),SUMIF((OFFSET(CÁLCULO!$AM$15:$AW$15,$E119,0,OFFSET(ORÇAMENTO!$D$15,CRONO!$E119,0))),"="&amp;CRONO!X$12,OFFSET(CÁLCULO!$AB$15:$AL$15,$E119,0,OFFSET(ORÇAMENTO!$D$15,CRONO!$E119,0)))+IF(AND($E121&lt;&gt;"",$E121&lt;&gt;0),SUMIF(CÁLCULO!$AM$15:$AW$32,"="&amp;CRONO!X$12,CÁLCULO!$AB$15:$AL$32)/(ORÇAMENTO!$X$15-CÁLCULO.TotalAdmLocal)*CRONO!$E121,0),X120*$R119),SUMIF(OFFSET($R121,1,0,$Q119-2),($L119+1)&amp;"$",OFFSET(X121,1,0,$Q119-2)))</f>
        <v>0</v>
      </c>
      <c r="Y121" s="222">
        <f ca="1">IF($Q119=2,IF(AND(ACOMPANHAMENTO="PLE",ISNUMBER($E119)),SUMIF((OFFSET(CÁLCULO!$AM$15:$AW$15,$E119,0,OFFSET(ORÇAMENTO!$D$15,CRONO!$E119,0))),"="&amp;CRONO!Y$12,OFFSET(CÁLCULO!$AB$15:$AL$15,$E119,0,OFFSET(ORÇAMENTO!$D$15,CRONO!$E119,0)))+IF(AND($E121&lt;&gt;"",$E121&lt;&gt;0),SUMIF(CÁLCULO!$AM$15:$AW$32,"="&amp;CRONO!Y$12,CÁLCULO!$AB$15:$AL$32)/(ORÇAMENTO!$X$15-CÁLCULO.TotalAdmLocal)*CRONO!$E121,0),Y120*$R119),SUMIF(OFFSET($R121,1,0,$Q119-2),($L119+1)&amp;"$",OFFSET(Y121,1,0,$Q119-2)))</f>
        <v>0</v>
      </c>
      <c r="Z121" s="222">
        <f ca="1">IF($Q119=2,IF(AND(ACOMPANHAMENTO="PLE",ISNUMBER($E119)),SUMIF((OFFSET(CÁLCULO!$AM$15:$AW$15,$E119,0,OFFSET(ORÇAMENTO!$D$15,CRONO!$E119,0))),"="&amp;CRONO!Z$12,OFFSET(CÁLCULO!$AB$15:$AL$15,$E119,0,OFFSET(ORÇAMENTO!$D$15,CRONO!$E119,0)))+IF(AND($E121&lt;&gt;"",$E121&lt;&gt;0),SUMIF(CÁLCULO!$AM$15:$AW$32,"="&amp;CRONO!Z$12,CÁLCULO!$AB$15:$AL$32)/(ORÇAMENTO!$X$15-CÁLCULO.TotalAdmLocal)*CRONO!$E121,0),Z120*$R119),SUMIF(OFFSET($R121,1,0,$Q119-2),($L119+1)&amp;"$",OFFSET(Z121,1,0,$Q119-2)))</f>
        <v>0</v>
      </c>
      <c r="AA121" s="222">
        <f ca="1">IF($Q119=2,IF(AND(ACOMPANHAMENTO="PLE",ISNUMBER($E119)),SUMIF((OFFSET(CÁLCULO!$AM$15:$AW$15,$E119,0,OFFSET(ORÇAMENTO!$D$15,CRONO!$E119,0))),"="&amp;CRONO!AA$12,OFFSET(CÁLCULO!$AB$15:$AL$15,$E119,0,OFFSET(ORÇAMENTO!$D$15,CRONO!$E119,0)))+IF(AND($E121&lt;&gt;"",$E121&lt;&gt;0),SUMIF(CÁLCULO!$AM$15:$AW$32,"="&amp;CRONO!AA$12,CÁLCULO!$AB$15:$AL$32)/(ORÇAMENTO!$X$15-CÁLCULO.TotalAdmLocal)*CRONO!$E121,0),AA120*$R119),SUMIF(OFFSET($R121,1,0,$Q119-2),($L119+1)&amp;"$",OFFSET(AA121,1,0,$Q119-2)))</f>
        <v>0</v>
      </c>
      <c r="AB121" s="222">
        <f ca="1">IF($Q119=2,IF(AND(ACOMPANHAMENTO="PLE",ISNUMBER($E119)),SUMIF((OFFSET(CÁLCULO!$AM$15:$AW$15,$E119,0,OFFSET(ORÇAMENTO!$D$15,CRONO!$E119,0))),"="&amp;CRONO!AB$12,OFFSET(CÁLCULO!$AB$15:$AL$15,$E119,0,OFFSET(ORÇAMENTO!$D$15,CRONO!$E119,0)))+IF(AND($E121&lt;&gt;"",$E121&lt;&gt;0),SUMIF(CÁLCULO!$AM$15:$AW$32,"="&amp;CRONO!AB$12,CÁLCULO!$AB$15:$AL$32)/(ORÇAMENTO!$X$15-CÁLCULO.TotalAdmLocal)*CRONO!$E121,0),AB120*$R119),SUMIF(OFFSET($R121,1,0,$Q119-2),($L119+1)&amp;"$",OFFSET(AB121,1,0,$Q119-2)))</f>
        <v>0</v>
      </c>
      <c r="AC121" s="222">
        <f ca="1">IF($Q119=2,IF(AND(ACOMPANHAMENTO="PLE",ISNUMBER($E119)),SUMIF((OFFSET(CÁLCULO!$AM$15:$AW$15,$E119,0,OFFSET(ORÇAMENTO!$D$15,CRONO!$E119,0))),"="&amp;CRONO!AC$12,OFFSET(CÁLCULO!$AB$15:$AL$15,$E119,0,OFFSET(ORÇAMENTO!$D$15,CRONO!$E119,0)))+IF(AND($E121&lt;&gt;"",$E121&lt;&gt;0),SUMIF(CÁLCULO!$AM$15:$AW$32,"="&amp;CRONO!AC$12,CÁLCULO!$AB$15:$AL$32)/(ORÇAMENTO!$X$15-CÁLCULO.TotalAdmLocal)*CRONO!$E121,0),AC120*$R119),SUMIF(OFFSET($R121,1,0,$Q119-2),($L119+1)&amp;"$",OFFSET(AC121,1,0,$Q119-2)))</f>
        <v>0</v>
      </c>
      <c r="AD121" s="222">
        <f ca="1">IF($Q119=2,IF(AND(ACOMPANHAMENTO="PLE",ISNUMBER($E119)),SUMIF((OFFSET(CÁLCULO!$AM$15:$AW$15,$E119,0,OFFSET(ORÇAMENTO!$D$15,CRONO!$E119,0))),"="&amp;CRONO!AD$12,OFFSET(CÁLCULO!$AB$15:$AL$15,$E119,0,OFFSET(ORÇAMENTO!$D$15,CRONO!$E119,0)))+IF(AND($E121&lt;&gt;"",$E121&lt;&gt;0),SUMIF(CÁLCULO!$AM$15:$AW$32,"="&amp;CRONO!AD$12,CÁLCULO!$AB$15:$AL$32)/(ORÇAMENTO!$X$15-CÁLCULO.TotalAdmLocal)*CRONO!$E121,0),AD120*$R119),SUMIF(OFFSET($R121,1,0,$Q119-2),($L119+1)&amp;"$",OFFSET(AD121,1,0,$Q119-2)))</f>
        <v>0</v>
      </c>
      <c r="AE121" s="227">
        <f ca="1">IF($Q119=2,IF(AND(ACOMPANHAMENTO="PLE",ISNUMBER($E119)),SUMIF((OFFSET(CÁLCULO!$AM$15:$AW$15,$E119,0,OFFSET(ORÇAMENTO!$D$15,CRONO!$E119,0))),"="&amp;CRONO!AE$12,OFFSET(CÁLCULO!$AB$15:$AL$15,$E119,0,OFFSET(ORÇAMENTO!$D$15,CRONO!$E119,0)))+IF(AND($E121&lt;&gt;"",$E121&lt;&gt;0),SUMIF(CÁLCULO!$AM$15:$AW$32,"="&amp;CRONO!AE$12,CÁLCULO!$AB$15:$AL$32)/(ORÇAMENTO!$X$15-CÁLCULO.TotalAdmLocal)*CRONO!$E121,0),AE120*$R119),SUMIF(OFFSET($R121,1,0,$Q119-2),($L119+1)&amp;"$",OFFSET(AE121,1,0,$Q119-2)))</f>
        <v>0</v>
      </c>
    </row>
    <row r="122" spans="1:32" hidden="1" x14ac:dyDescent="0.25">
      <c r="A122" s="203">
        <f t="shared" ref="A122" ca="1" si="255">OFFSET(A122,-3,0)+1</f>
        <v>37</v>
      </c>
      <c r="B122" s="203">
        <f ca="1">IF($Q122&lt;&gt;2,0,IF($R122=0,1,IF(E123&gt;0,OFFSET(QCI!$M$13,SUBSTITUTE(E123,".",""),0),OFFSET(ORÇAMENTO!$AA$15,CRONO!$E122,0))/$R122))</f>
        <v>0</v>
      </c>
      <c r="C122" s="203">
        <f ca="1">IF($Q122&lt;&gt;2,0,IF($R122=0,1,IF(E123&gt;0,OFFSET(QCI!$N$13,SUBSTITUTE(E123,".",""),0),OFFSET(ORÇAMENTO!$AB$15,CRONO!$E122,0))/$R122))</f>
        <v>0</v>
      </c>
      <c r="D122" s="206" t="e">
        <f ca="1">IF(AND($Q122=2,ACOMPANHAMENTO="BM"),D123,D124/$R122)</f>
        <v>#VALUE!</v>
      </c>
      <c r="E122" s="203" t="e">
        <f ca="1">IF(A122&lt;=ORÇAMENTO.MáximoListaCrono,MATCH(A122,ORÇAMENTO.ListaCrono,0),NA())</f>
        <v>#N/A</v>
      </c>
      <c r="F122" s="203" t="str">
        <f t="shared" ref="F122" ca="1" si="256">IF(AND($E123&lt;&gt;-1,$R122&gt;0),"F","")</f>
        <v/>
      </c>
      <c r="G122" s="207" t="str">
        <f ca="1">IF(OR(R122=0,R122=""),"Linha",IF(AND(OR(ACOMPANHAMENTO="PLE",$Q122&lt;&gt;2),$E123=0),"Linha",1-SUM(T122:AF122)))</f>
        <v>Linha</v>
      </c>
      <c r="H122" s="208" t="str">
        <f ca="1">IF($E123=0,OFFSET(ORÇAMENTO!O$15,$E122,0),IF($E123&lt;&gt;-1,OFFSET(QCI!$D$13,$E123,0),""))</f>
        <v/>
      </c>
      <c r="I122" s="209" t="str">
        <f ca="1">IF($E123=0,OFFSET(ORÇAMENTO!R$15,$E122,0),IF($E123&lt;&gt;-1,OFFSET(QCI!$G$13,$E123,0),""))</f>
        <v/>
      </c>
      <c r="J122" s="209"/>
      <c r="K122" s="209"/>
      <c r="L122" s="210">
        <f ca="1">IF($E123=0,OFFSET(ORÇAMENTO!C$15,$E122,0),1)</f>
        <v>1</v>
      </c>
      <c r="M122" s="211">
        <f ca="1">IF($E123=-1,0,IF(M$13&lt;=$L122,IF(ISERROR(MATCH(M$13,OFFSET($L122,1,0,ROW($L$164)-ROW($L122)-1),0)),ROW($L$164)-ROW($L122)-1,MATCH(M$13,OFFSET($L122,1,0,ROW($L$164)-ROW($L122)-1),0)-1),0))</f>
        <v>0</v>
      </c>
      <c r="N122" s="211">
        <f ca="1">IF($E123=-1,0,IF(N$13&lt;=$L122,IF(ISERROR(MATCH(N$13,OFFSET($L122,1,0,ROW($L$164)-ROW($L122)-1),0)),ROW($L$164)-ROW($L122)-1,MATCH(N$13,OFFSET($L122,1,0,ROW($L$164)-ROW($L122)-1),0)-1),0))</f>
        <v>0</v>
      </c>
      <c r="O122" s="211">
        <f ca="1">IF($E123=-1,0,IF(O$13&lt;=$L122,IF(ISERROR(MATCH(O$13,OFFSET($L122,1,0,ROW($L$164)-ROW($L122)-1),0)),ROW($L$164)-ROW($L122)-1,MATCH(O$13,OFFSET($L122,1,0,ROW($L$164)-ROW($L122)-1),0)-1),0))</f>
        <v>0</v>
      </c>
      <c r="P122" s="211">
        <f ca="1">IF($E123=-1,0,IF(P$13&lt;=$L122,IF(ISERROR(MATCH(P$13,OFFSET($L122,1,0,ROW($L$164)-ROW($L122)-1),0)),ROW($L$164)-ROW($L122)-1,MATCH(P$13,OFFSET($L122,1,0,ROW($L$164)-ROW($L122)-1),0)-1),0))</f>
        <v>0</v>
      </c>
      <c r="Q122" s="211">
        <f t="shared" ref="Q122" ca="1" si="257">MIN(OFFSET(L122,0,1,,L122))</f>
        <v>0</v>
      </c>
      <c r="R122" s="212" t="str">
        <f ca="1">IF($E123=0,OFFSET(ORÇAMENTO!X$15,$E122,0),IF($E123&lt;&gt;-1,OFFSET(QCI!$O$13,$E123,0),""))</f>
        <v/>
      </c>
      <c r="S122" s="213" t="s">
        <v>270</v>
      </c>
      <c r="T122" s="214" t="e">
        <f t="shared" ref="T122:AE122" ca="1" si="258">IF(AND($Q122=2,ACOMPANHAMENTO="BM"),T123,T124/$R122)</f>
        <v>#VALUE!</v>
      </c>
      <c r="U122" s="206" t="e">
        <f t="shared" ca="1" si="258"/>
        <v>#VALUE!</v>
      </c>
      <c r="V122" s="206" t="e">
        <f t="shared" ca="1" si="258"/>
        <v>#VALUE!</v>
      </c>
      <c r="W122" s="206" t="e">
        <f t="shared" ca="1" si="258"/>
        <v>#VALUE!</v>
      </c>
      <c r="X122" s="206" t="e">
        <f t="shared" ca="1" si="258"/>
        <v>#VALUE!</v>
      </c>
      <c r="Y122" s="206" t="e">
        <f t="shared" ca="1" si="258"/>
        <v>#VALUE!</v>
      </c>
      <c r="Z122" s="206" t="e">
        <f t="shared" ca="1" si="258"/>
        <v>#VALUE!</v>
      </c>
      <c r="AA122" s="206" t="e">
        <f t="shared" ca="1" si="258"/>
        <v>#VALUE!</v>
      </c>
      <c r="AB122" s="206" t="e">
        <f t="shared" ca="1" si="258"/>
        <v>#VALUE!</v>
      </c>
      <c r="AC122" s="206" t="e">
        <f t="shared" ca="1" si="258"/>
        <v>#VALUE!</v>
      </c>
      <c r="AD122" s="206" t="e">
        <f t="shared" ca="1" si="258"/>
        <v>#VALUE!</v>
      </c>
      <c r="AE122" s="215" t="e">
        <f t="shared" ca="1" si="258"/>
        <v>#VALUE!</v>
      </c>
    </row>
    <row r="123" spans="1:32" ht="12.75" hidden="1" customHeight="1" x14ac:dyDescent="0.25">
      <c r="D123" s="568"/>
      <c r="E123" s="203">
        <f ca="1">IF(ISERROR(E122),IF(1+COUNTIF($L$13:OFFSET(L122,-1,0),1)&lt;=MAX(QCI!$D$13:$D$24),1+COUNTIF($L$13:OFFSET(L122,-1,0),1),-1),0)</f>
        <v>-1</v>
      </c>
      <c r="F123" s="203" t="str">
        <f t="shared" ref="F123" ca="1" si="259">IF(AND($E123&lt;&gt;-1,$R122&gt;0),"F","")</f>
        <v/>
      </c>
      <c r="G123" s="216" t="str">
        <f ca="1">IF(OR(R122=0,R122=""),"vazia",IF(AND(OR(ACOMPANHAMENTO="PLE",$Q122&lt;&gt;2),$E123=0),"calculada","--&gt;"))</f>
        <v>vazia</v>
      </c>
      <c r="H123" s="217"/>
      <c r="I123" s="218" t="str">
        <f t="shared" ref="I123" ca="1" si="260">IF(AND(G122&lt;&gt;0,ISNUMBER(G122)),"PREENCHA ESTA LINHA --&gt;","")</f>
        <v/>
      </c>
      <c r="J123" s="218"/>
      <c r="K123" s="218"/>
      <c r="L123" s="219"/>
      <c r="M123" s="219"/>
      <c r="N123" s="219"/>
      <c r="O123" s="219"/>
      <c r="P123" s="219"/>
      <c r="Q123" s="219"/>
      <c r="R123" s="220"/>
      <c r="S123" s="221"/>
      <c r="T123" s="569"/>
      <c r="U123" s="568"/>
      <c r="V123" s="568"/>
      <c r="W123" s="568"/>
      <c r="X123" s="568"/>
      <c r="Y123" s="568"/>
      <c r="Z123" s="568"/>
      <c r="AA123" s="568"/>
      <c r="AB123" s="568"/>
      <c r="AC123" s="568"/>
      <c r="AD123" s="568"/>
      <c r="AE123" s="570"/>
      <c r="AF123" s="532"/>
    </row>
    <row r="124" spans="1:32" ht="0.15" hidden="1" customHeight="1" x14ac:dyDescent="0.25">
      <c r="D124" s="222">
        <f ca="1">IF($Q122=2,IF(AND(ACOMPANHAMENTO="PLE",ISNUMBER($E122)),SUMIF((OFFSET(CÁLCULO!$AM$15:$AW$15,$E122,0,OFFSET(ORÇAMENTO!$D$15,CRONO!$E122,0))),"="&amp;CRONO!D$12,OFFSET(CÁLCULO!$AB$15:$AL$15,$E122,0,OFFSET(ORÇAMENTO!$D$15,CRONO!$E122,0)))+IF(AND($E124&lt;&gt;"",$E124&lt;&gt;0),SUMIF(CÁLCULO!$AM$15:$AW$32,"="&amp;CRONO!D$12,CÁLCULO!$AB$15:$AL$32)/(ORÇAMENTO!$X$15-CÁLCULO.TotalAdmLocal)*CRONO!$E124,0),D123*$R122),SUMIF(OFFSET($R124,1,0,$Q122-2),($L122+1)&amp;"$",OFFSET(D124,1,0,$Q122-2)))</f>
        <v>0</v>
      </c>
      <c r="E124" s="203" t="str">
        <f ca="1">IF(OR($Q122&lt;&gt;2,AUTOEVENTO&lt;&gt;"manual",$E123&gt;0),"",SUMIF(OFFSET(CÁLCULO!$M$15,CRONO!$E122,0,OFFSET(ORÇAMENTO!$D$15,CRONO!$E122,0)),1,OFFSET(ORÇAMENTO!$X$15,CRONO!$E122,0,OFFSET(ORÇAMENTO!$D$15,CRONO!$E122,0))))</f>
        <v/>
      </c>
      <c r="G124" s="223"/>
      <c r="R124" s="224" t="str">
        <f t="shared" ref="R124" ca="1" si="261">L122&amp;"$"</f>
        <v>1$</v>
      </c>
      <c r="S124" s="225"/>
      <c r="T124" s="226">
        <f ca="1">IF($Q122=2,IF(AND(ACOMPANHAMENTO="PLE",ISNUMBER($E122)),SUMIF((OFFSET(CÁLCULO!$AM$15:$AW$15,$E122,0,OFFSET(ORÇAMENTO!$D$15,CRONO!$E122,0))),"&lt;="&amp;CRONO!T$12,OFFSET(CÁLCULO!$AB$15:$AL$15,$E122,0,OFFSET(ORÇAMENTO!$D$15,CRONO!$E122,0)))+IF(AND($E124&lt;&gt;"",$E124&lt;&gt;0),SUMIF(CÁLCULO!$AM$15:$AW$32,"&lt;="&amp;CRONO!T$12,CÁLCULO!$AB$15:$AL$32)/(ORÇAMENTO!$X$15-CÁLCULO.TotalAdmLocal)*CRONO!$E124,0),T123*$R122),SUMIF(OFFSET($R124,1,0,$Q122-2),($L122+1)&amp;"$",OFFSET(T124,1,0,$Q122-2)))</f>
        <v>0</v>
      </c>
      <c r="U124" s="222">
        <f ca="1">IF($Q122=2,IF(AND(ACOMPANHAMENTO="PLE",ISNUMBER($E122)),SUMIF((OFFSET(CÁLCULO!$AM$15:$AW$15,$E122,0,OFFSET(ORÇAMENTO!$D$15,CRONO!$E122,0))),"="&amp;CRONO!U$12,OFFSET(CÁLCULO!$AB$15:$AL$15,$E122,0,OFFSET(ORÇAMENTO!$D$15,CRONO!$E122,0)))+IF(AND($E124&lt;&gt;"",$E124&lt;&gt;0),SUMIF(CÁLCULO!$AM$15:$AW$32,"="&amp;CRONO!U$12,CÁLCULO!$AB$15:$AL$32)/(ORÇAMENTO!$X$15-CÁLCULO.TotalAdmLocal)*CRONO!$E124,0),U123*$R122),SUMIF(OFFSET($R124,1,0,$Q122-2),($L122+1)&amp;"$",OFFSET(U124,1,0,$Q122-2)))</f>
        <v>0</v>
      </c>
      <c r="V124" s="222">
        <f ca="1">IF($Q122=2,IF(AND(ACOMPANHAMENTO="PLE",ISNUMBER($E122)),SUMIF((OFFSET(CÁLCULO!$AM$15:$AW$15,$E122,0,OFFSET(ORÇAMENTO!$D$15,CRONO!$E122,0))),"="&amp;CRONO!V$12,OFFSET(CÁLCULO!$AB$15:$AL$15,$E122,0,OFFSET(ORÇAMENTO!$D$15,CRONO!$E122,0)))+IF(AND($E124&lt;&gt;"",$E124&lt;&gt;0),SUMIF(CÁLCULO!$AM$15:$AW$32,"="&amp;CRONO!V$12,CÁLCULO!$AB$15:$AL$32)/(ORÇAMENTO!$X$15-CÁLCULO.TotalAdmLocal)*CRONO!$E124,0),V123*$R122),SUMIF(OFFSET($R124,1,0,$Q122-2),($L122+1)&amp;"$",OFFSET(V124,1,0,$Q122-2)))</f>
        <v>0</v>
      </c>
      <c r="W124" s="222">
        <f ca="1">IF($Q122=2,IF(AND(ACOMPANHAMENTO="PLE",ISNUMBER($E122)),SUMIF((OFFSET(CÁLCULO!$AM$15:$AW$15,$E122,0,OFFSET(ORÇAMENTO!$D$15,CRONO!$E122,0))),"="&amp;CRONO!W$12,OFFSET(CÁLCULO!$AB$15:$AL$15,$E122,0,OFFSET(ORÇAMENTO!$D$15,CRONO!$E122,0)))+IF(AND($E124&lt;&gt;"",$E124&lt;&gt;0),SUMIF(CÁLCULO!$AM$15:$AW$32,"="&amp;CRONO!W$12,CÁLCULO!$AB$15:$AL$32)/(ORÇAMENTO!$X$15-CÁLCULO.TotalAdmLocal)*CRONO!$E124,0),W123*$R122),SUMIF(OFFSET($R124,1,0,$Q122-2),($L122+1)&amp;"$",OFFSET(W124,1,0,$Q122-2)))</f>
        <v>0</v>
      </c>
      <c r="X124" s="222">
        <f ca="1">IF($Q122=2,IF(AND(ACOMPANHAMENTO="PLE",ISNUMBER($E122)),SUMIF((OFFSET(CÁLCULO!$AM$15:$AW$15,$E122,0,OFFSET(ORÇAMENTO!$D$15,CRONO!$E122,0))),"="&amp;CRONO!X$12,OFFSET(CÁLCULO!$AB$15:$AL$15,$E122,0,OFFSET(ORÇAMENTO!$D$15,CRONO!$E122,0)))+IF(AND($E124&lt;&gt;"",$E124&lt;&gt;0),SUMIF(CÁLCULO!$AM$15:$AW$32,"="&amp;CRONO!X$12,CÁLCULO!$AB$15:$AL$32)/(ORÇAMENTO!$X$15-CÁLCULO.TotalAdmLocal)*CRONO!$E124,0),X123*$R122),SUMIF(OFFSET($R124,1,0,$Q122-2),($L122+1)&amp;"$",OFFSET(X124,1,0,$Q122-2)))</f>
        <v>0</v>
      </c>
      <c r="Y124" s="222">
        <f ca="1">IF($Q122=2,IF(AND(ACOMPANHAMENTO="PLE",ISNUMBER($E122)),SUMIF((OFFSET(CÁLCULO!$AM$15:$AW$15,$E122,0,OFFSET(ORÇAMENTO!$D$15,CRONO!$E122,0))),"="&amp;CRONO!Y$12,OFFSET(CÁLCULO!$AB$15:$AL$15,$E122,0,OFFSET(ORÇAMENTO!$D$15,CRONO!$E122,0)))+IF(AND($E124&lt;&gt;"",$E124&lt;&gt;0),SUMIF(CÁLCULO!$AM$15:$AW$32,"="&amp;CRONO!Y$12,CÁLCULO!$AB$15:$AL$32)/(ORÇAMENTO!$X$15-CÁLCULO.TotalAdmLocal)*CRONO!$E124,0),Y123*$R122),SUMIF(OFFSET($R124,1,0,$Q122-2),($L122+1)&amp;"$",OFFSET(Y124,1,0,$Q122-2)))</f>
        <v>0</v>
      </c>
      <c r="Z124" s="222">
        <f ca="1">IF($Q122=2,IF(AND(ACOMPANHAMENTO="PLE",ISNUMBER($E122)),SUMIF((OFFSET(CÁLCULO!$AM$15:$AW$15,$E122,0,OFFSET(ORÇAMENTO!$D$15,CRONO!$E122,0))),"="&amp;CRONO!Z$12,OFFSET(CÁLCULO!$AB$15:$AL$15,$E122,0,OFFSET(ORÇAMENTO!$D$15,CRONO!$E122,0)))+IF(AND($E124&lt;&gt;"",$E124&lt;&gt;0),SUMIF(CÁLCULO!$AM$15:$AW$32,"="&amp;CRONO!Z$12,CÁLCULO!$AB$15:$AL$32)/(ORÇAMENTO!$X$15-CÁLCULO.TotalAdmLocal)*CRONO!$E124,0),Z123*$R122),SUMIF(OFFSET($R124,1,0,$Q122-2),($L122+1)&amp;"$",OFFSET(Z124,1,0,$Q122-2)))</f>
        <v>0</v>
      </c>
      <c r="AA124" s="222">
        <f ca="1">IF($Q122=2,IF(AND(ACOMPANHAMENTO="PLE",ISNUMBER($E122)),SUMIF((OFFSET(CÁLCULO!$AM$15:$AW$15,$E122,0,OFFSET(ORÇAMENTO!$D$15,CRONO!$E122,0))),"="&amp;CRONO!AA$12,OFFSET(CÁLCULO!$AB$15:$AL$15,$E122,0,OFFSET(ORÇAMENTO!$D$15,CRONO!$E122,0)))+IF(AND($E124&lt;&gt;"",$E124&lt;&gt;0),SUMIF(CÁLCULO!$AM$15:$AW$32,"="&amp;CRONO!AA$12,CÁLCULO!$AB$15:$AL$32)/(ORÇAMENTO!$X$15-CÁLCULO.TotalAdmLocal)*CRONO!$E124,0),AA123*$R122),SUMIF(OFFSET($R124,1,0,$Q122-2),($L122+1)&amp;"$",OFFSET(AA124,1,0,$Q122-2)))</f>
        <v>0</v>
      </c>
      <c r="AB124" s="222">
        <f ca="1">IF($Q122=2,IF(AND(ACOMPANHAMENTO="PLE",ISNUMBER($E122)),SUMIF((OFFSET(CÁLCULO!$AM$15:$AW$15,$E122,0,OFFSET(ORÇAMENTO!$D$15,CRONO!$E122,0))),"="&amp;CRONO!AB$12,OFFSET(CÁLCULO!$AB$15:$AL$15,$E122,0,OFFSET(ORÇAMENTO!$D$15,CRONO!$E122,0)))+IF(AND($E124&lt;&gt;"",$E124&lt;&gt;0),SUMIF(CÁLCULO!$AM$15:$AW$32,"="&amp;CRONO!AB$12,CÁLCULO!$AB$15:$AL$32)/(ORÇAMENTO!$X$15-CÁLCULO.TotalAdmLocal)*CRONO!$E124,0),AB123*$R122),SUMIF(OFFSET($R124,1,0,$Q122-2),($L122+1)&amp;"$",OFFSET(AB124,1,0,$Q122-2)))</f>
        <v>0</v>
      </c>
      <c r="AC124" s="222">
        <f ca="1">IF($Q122=2,IF(AND(ACOMPANHAMENTO="PLE",ISNUMBER($E122)),SUMIF((OFFSET(CÁLCULO!$AM$15:$AW$15,$E122,0,OFFSET(ORÇAMENTO!$D$15,CRONO!$E122,0))),"="&amp;CRONO!AC$12,OFFSET(CÁLCULO!$AB$15:$AL$15,$E122,0,OFFSET(ORÇAMENTO!$D$15,CRONO!$E122,0)))+IF(AND($E124&lt;&gt;"",$E124&lt;&gt;0),SUMIF(CÁLCULO!$AM$15:$AW$32,"="&amp;CRONO!AC$12,CÁLCULO!$AB$15:$AL$32)/(ORÇAMENTO!$X$15-CÁLCULO.TotalAdmLocal)*CRONO!$E124,0),AC123*$R122),SUMIF(OFFSET($R124,1,0,$Q122-2),($L122+1)&amp;"$",OFFSET(AC124,1,0,$Q122-2)))</f>
        <v>0</v>
      </c>
      <c r="AD124" s="222">
        <f ca="1">IF($Q122=2,IF(AND(ACOMPANHAMENTO="PLE",ISNUMBER($E122)),SUMIF((OFFSET(CÁLCULO!$AM$15:$AW$15,$E122,0,OFFSET(ORÇAMENTO!$D$15,CRONO!$E122,0))),"="&amp;CRONO!AD$12,OFFSET(CÁLCULO!$AB$15:$AL$15,$E122,0,OFFSET(ORÇAMENTO!$D$15,CRONO!$E122,0)))+IF(AND($E124&lt;&gt;"",$E124&lt;&gt;0),SUMIF(CÁLCULO!$AM$15:$AW$32,"="&amp;CRONO!AD$12,CÁLCULO!$AB$15:$AL$32)/(ORÇAMENTO!$X$15-CÁLCULO.TotalAdmLocal)*CRONO!$E124,0),AD123*$R122),SUMIF(OFFSET($R124,1,0,$Q122-2),($L122+1)&amp;"$",OFFSET(AD124,1,0,$Q122-2)))</f>
        <v>0</v>
      </c>
      <c r="AE124" s="227">
        <f ca="1">IF($Q122=2,IF(AND(ACOMPANHAMENTO="PLE",ISNUMBER($E122)),SUMIF((OFFSET(CÁLCULO!$AM$15:$AW$15,$E122,0,OFFSET(ORÇAMENTO!$D$15,CRONO!$E122,0))),"="&amp;CRONO!AE$12,OFFSET(CÁLCULO!$AB$15:$AL$15,$E122,0,OFFSET(ORÇAMENTO!$D$15,CRONO!$E122,0)))+IF(AND($E124&lt;&gt;"",$E124&lt;&gt;0),SUMIF(CÁLCULO!$AM$15:$AW$32,"="&amp;CRONO!AE$12,CÁLCULO!$AB$15:$AL$32)/(ORÇAMENTO!$X$15-CÁLCULO.TotalAdmLocal)*CRONO!$E124,0),AE123*$R122),SUMIF(OFFSET($R124,1,0,$Q122-2),($L122+1)&amp;"$",OFFSET(AE124,1,0,$Q122-2)))</f>
        <v>0</v>
      </c>
    </row>
    <row r="125" spans="1:32" hidden="1" x14ac:dyDescent="0.25">
      <c r="A125" s="203">
        <f t="shared" ref="A125" ca="1" si="262">OFFSET(A125,-3,0)+1</f>
        <v>38</v>
      </c>
      <c r="B125" s="203">
        <f ca="1">IF($Q125&lt;&gt;2,0,IF($R125=0,1,IF(E126&gt;0,OFFSET(QCI!$M$13,SUBSTITUTE(E126,".",""),0),OFFSET(ORÇAMENTO!$AA$15,CRONO!$E125,0))/$R125))</f>
        <v>0</v>
      </c>
      <c r="C125" s="203">
        <f ca="1">IF($Q125&lt;&gt;2,0,IF($R125=0,1,IF(E126&gt;0,OFFSET(QCI!$N$13,SUBSTITUTE(E126,".",""),0),OFFSET(ORÇAMENTO!$AB$15,CRONO!$E125,0))/$R125))</f>
        <v>0</v>
      </c>
      <c r="D125" s="206" t="e">
        <f ca="1">IF(AND($Q125=2,ACOMPANHAMENTO="BM"),D126,D127/$R125)</f>
        <v>#VALUE!</v>
      </c>
      <c r="E125" s="203" t="e">
        <f ca="1">IF(A125&lt;=ORÇAMENTO.MáximoListaCrono,MATCH(A125,ORÇAMENTO.ListaCrono,0),NA())</f>
        <v>#N/A</v>
      </c>
      <c r="F125" s="203" t="str">
        <f t="shared" ref="F125" ca="1" si="263">IF(AND($E126&lt;&gt;-1,$R125&gt;0),"F","")</f>
        <v/>
      </c>
      <c r="G125" s="207" t="str">
        <f ca="1">IF(OR(R125=0,R125=""),"Linha",IF(AND(OR(ACOMPANHAMENTO="PLE",$Q125&lt;&gt;2),$E126=0),"Linha",1-SUM(T125:AF125)))</f>
        <v>Linha</v>
      </c>
      <c r="H125" s="208" t="str">
        <f ca="1">IF($E126=0,OFFSET(ORÇAMENTO!O$15,$E125,0),IF($E126&lt;&gt;-1,OFFSET(QCI!$D$13,$E126,0),""))</f>
        <v/>
      </c>
      <c r="I125" s="209" t="str">
        <f ca="1">IF($E126=0,OFFSET(ORÇAMENTO!R$15,$E125,0),IF($E126&lt;&gt;-1,OFFSET(QCI!$G$13,$E126,0),""))</f>
        <v/>
      </c>
      <c r="J125" s="209"/>
      <c r="K125" s="209"/>
      <c r="L125" s="210">
        <f ca="1">IF($E126=0,OFFSET(ORÇAMENTO!C$15,$E125,0),1)</f>
        <v>1</v>
      </c>
      <c r="M125" s="211">
        <f ca="1">IF($E126=-1,0,IF(M$13&lt;=$L125,IF(ISERROR(MATCH(M$13,OFFSET($L125,1,0,ROW($L$164)-ROW($L125)-1),0)),ROW($L$164)-ROW($L125)-1,MATCH(M$13,OFFSET($L125,1,0,ROW($L$164)-ROW($L125)-1),0)-1),0))</f>
        <v>0</v>
      </c>
      <c r="N125" s="211">
        <f ca="1">IF($E126=-1,0,IF(N$13&lt;=$L125,IF(ISERROR(MATCH(N$13,OFFSET($L125,1,0,ROW($L$164)-ROW($L125)-1),0)),ROW($L$164)-ROW($L125)-1,MATCH(N$13,OFFSET($L125,1,0,ROW($L$164)-ROW($L125)-1),0)-1),0))</f>
        <v>0</v>
      </c>
      <c r="O125" s="211">
        <f ca="1">IF($E126=-1,0,IF(O$13&lt;=$L125,IF(ISERROR(MATCH(O$13,OFFSET($L125,1,0,ROW($L$164)-ROW($L125)-1),0)),ROW($L$164)-ROW($L125)-1,MATCH(O$13,OFFSET($L125,1,0,ROW($L$164)-ROW($L125)-1),0)-1),0))</f>
        <v>0</v>
      </c>
      <c r="P125" s="211">
        <f ca="1">IF($E126=-1,0,IF(P$13&lt;=$L125,IF(ISERROR(MATCH(P$13,OFFSET($L125,1,0,ROW($L$164)-ROW($L125)-1),0)),ROW($L$164)-ROW($L125)-1,MATCH(P$13,OFFSET($L125,1,0,ROW($L$164)-ROW($L125)-1),0)-1),0))</f>
        <v>0</v>
      </c>
      <c r="Q125" s="211">
        <f t="shared" ref="Q125" ca="1" si="264">MIN(OFFSET(L125,0,1,,L125))</f>
        <v>0</v>
      </c>
      <c r="R125" s="212" t="str">
        <f ca="1">IF($E126=0,OFFSET(ORÇAMENTO!X$15,$E125,0),IF($E126&lt;&gt;-1,OFFSET(QCI!$O$13,$E126,0),""))</f>
        <v/>
      </c>
      <c r="S125" s="213" t="s">
        <v>270</v>
      </c>
      <c r="T125" s="214" t="e">
        <f t="shared" ref="T125:AE125" ca="1" si="265">IF(AND($Q125=2,ACOMPANHAMENTO="BM"),T126,T127/$R125)</f>
        <v>#VALUE!</v>
      </c>
      <c r="U125" s="206" t="e">
        <f t="shared" ca="1" si="265"/>
        <v>#VALUE!</v>
      </c>
      <c r="V125" s="206" t="e">
        <f t="shared" ca="1" si="265"/>
        <v>#VALUE!</v>
      </c>
      <c r="W125" s="206" t="e">
        <f t="shared" ca="1" si="265"/>
        <v>#VALUE!</v>
      </c>
      <c r="X125" s="206" t="e">
        <f t="shared" ca="1" si="265"/>
        <v>#VALUE!</v>
      </c>
      <c r="Y125" s="206" t="e">
        <f t="shared" ca="1" si="265"/>
        <v>#VALUE!</v>
      </c>
      <c r="Z125" s="206" t="e">
        <f t="shared" ca="1" si="265"/>
        <v>#VALUE!</v>
      </c>
      <c r="AA125" s="206" t="e">
        <f t="shared" ca="1" si="265"/>
        <v>#VALUE!</v>
      </c>
      <c r="AB125" s="206" t="e">
        <f t="shared" ca="1" si="265"/>
        <v>#VALUE!</v>
      </c>
      <c r="AC125" s="206" t="e">
        <f t="shared" ca="1" si="265"/>
        <v>#VALUE!</v>
      </c>
      <c r="AD125" s="206" t="e">
        <f t="shared" ca="1" si="265"/>
        <v>#VALUE!</v>
      </c>
      <c r="AE125" s="215" t="e">
        <f t="shared" ca="1" si="265"/>
        <v>#VALUE!</v>
      </c>
    </row>
    <row r="126" spans="1:32" ht="12.75" hidden="1" customHeight="1" x14ac:dyDescent="0.25">
      <c r="D126" s="568"/>
      <c r="E126" s="203">
        <f ca="1">IF(ISERROR(E125),IF(1+COUNTIF($L$13:OFFSET(L125,-1,0),1)&lt;=MAX(QCI!$D$13:$D$24),1+COUNTIF($L$13:OFFSET(L125,-1,0),1),-1),0)</f>
        <v>-1</v>
      </c>
      <c r="F126" s="203" t="str">
        <f t="shared" ref="F126" ca="1" si="266">IF(AND($E126&lt;&gt;-1,$R125&gt;0),"F","")</f>
        <v/>
      </c>
      <c r="G126" s="216" t="str">
        <f ca="1">IF(OR(R125=0,R125=""),"vazia",IF(AND(OR(ACOMPANHAMENTO="PLE",$Q125&lt;&gt;2),$E126=0),"calculada","--&gt;"))</f>
        <v>vazia</v>
      </c>
      <c r="H126" s="217"/>
      <c r="I126" s="218" t="str">
        <f t="shared" ref="I126" ca="1" si="267">IF(AND(G125&lt;&gt;0,ISNUMBER(G125)),"PREENCHA ESTA LINHA --&gt;","")</f>
        <v/>
      </c>
      <c r="J126" s="218"/>
      <c r="K126" s="218"/>
      <c r="L126" s="219"/>
      <c r="M126" s="219"/>
      <c r="N126" s="219"/>
      <c r="O126" s="219"/>
      <c r="P126" s="219"/>
      <c r="Q126" s="219"/>
      <c r="R126" s="220"/>
      <c r="S126" s="221"/>
      <c r="T126" s="569"/>
      <c r="U126" s="568"/>
      <c r="V126" s="568"/>
      <c r="W126" s="568"/>
      <c r="X126" s="568"/>
      <c r="Y126" s="568"/>
      <c r="Z126" s="568"/>
      <c r="AA126" s="568"/>
      <c r="AB126" s="568"/>
      <c r="AC126" s="568"/>
      <c r="AD126" s="568"/>
      <c r="AE126" s="570"/>
      <c r="AF126" s="532"/>
    </row>
    <row r="127" spans="1:32" ht="0.15" hidden="1" customHeight="1" x14ac:dyDescent="0.25">
      <c r="D127" s="222">
        <f ca="1">IF($Q125=2,IF(AND(ACOMPANHAMENTO="PLE",ISNUMBER($E125)),SUMIF((OFFSET(CÁLCULO!$AM$15:$AW$15,$E125,0,OFFSET(ORÇAMENTO!$D$15,CRONO!$E125,0))),"="&amp;CRONO!D$12,OFFSET(CÁLCULO!$AB$15:$AL$15,$E125,0,OFFSET(ORÇAMENTO!$D$15,CRONO!$E125,0)))+IF(AND($E127&lt;&gt;"",$E127&lt;&gt;0),SUMIF(CÁLCULO!$AM$15:$AW$32,"="&amp;CRONO!D$12,CÁLCULO!$AB$15:$AL$32)/(ORÇAMENTO!$X$15-CÁLCULO.TotalAdmLocal)*CRONO!$E127,0),D126*$R125),SUMIF(OFFSET($R127,1,0,$Q125-2),($L125+1)&amp;"$",OFFSET(D127,1,0,$Q125-2)))</f>
        <v>0</v>
      </c>
      <c r="E127" s="203" t="str">
        <f ca="1">IF(OR($Q125&lt;&gt;2,AUTOEVENTO&lt;&gt;"manual",$E126&gt;0),"",SUMIF(OFFSET(CÁLCULO!$M$15,CRONO!$E125,0,OFFSET(ORÇAMENTO!$D$15,CRONO!$E125,0)),1,OFFSET(ORÇAMENTO!$X$15,CRONO!$E125,0,OFFSET(ORÇAMENTO!$D$15,CRONO!$E125,0))))</f>
        <v/>
      </c>
      <c r="G127" s="223"/>
      <c r="R127" s="224" t="str">
        <f t="shared" ref="R127" ca="1" si="268">L125&amp;"$"</f>
        <v>1$</v>
      </c>
      <c r="S127" s="225"/>
      <c r="T127" s="226">
        <f ca="1">IF($Q125=2,IF(AND(ACOMPANHAMENTO="PLE",ISNUMBER($E125)),SUMIF((OFFSET(CÁLCULO!$AM$15:$AW$15,$E125,0,OFFSET(ORÇAMENTO!$D$15,CRONO!$E125,0))),"&lt;="&amp;CRONO!T$12,OFFSET(CÁLCULO!$AB$15:$AL$15,$E125,0,OFFSET(ORÇAMENTO!$D$15,CRONO!$E125,0)))+IF(AND($E127&lt;&gt;"",$E127&lt;&gt;0),SUMIF(CÁLCULO!$AM$15:$AW$32,"&lt;="&amp;CRONO!T$12,CÁLCULO!$AB$15:$AL$32)/(ORÇAMENTO!$X$15-CÁLCULO.TotalAdmLocal)*CRONO!$E127,0),T126*$R125),SUMIF(OFFSET($R127,1,0,$Q125-2),($L125+1)&amp;"$",OFFSET(T127,1,0,$Q125-2)))</f>
        <v>0</v>
      </c>
      <c r="U127" s="222">
        <f ca="1">IF($Q125=2,IF(AND(ACOMPANHAMENTO="PLE",ISNUMBER($E125)),SUMIF((OFFSET(CÁLCULO!$AM$15:$AW$15,$E125,0,OFFSET(ORÇAMENTO!$D$15,CRONO!$E125,0))),"="&amp;CRONO!U$12,OFFSET(CÁLCULO!$AB$15:$AL$15,$E125,0,OFFSET(ORÇAMENTO!$D$15,CRONO!$E125,0)))+IF(AND($E127&lt;&gt;"",$E127&lt;&gt;0),SUMIF(CÁLCULO!$AM$15:$AW$32,"="&amp;CRONO!U$12,CÁLCULO!$AB$15:$AL$32)/(ORÇAMENTO!$X$15-CÁLCULO.TotalAdmLocal)*CRONO!$E127,0),U126*$R125),SUMIF(OFFSET($R127,1,0,$Q125-2),($L125+1)&amp;"$",OFFSET(U127,1,0,$Q125-2)))</f>
        <v>0</v>
      </c>
      <c r="V127" s="222">
        <f ca="1">IF($Q125=2,IF(AND(ACOMPANHAMENTO="PLE",ISNUMBER($E125)),SUMIF((OFFSET(CÁLCULO!$AM$15:$AW$15,$E125,0,OFFSET(ORÇAMENTO!$D$15,CRONO!$E125,0))),"="&amp;CRONO!V$12,OFFSET(CÁLCULO!$AB$15:$AL$15,$E125,0,OFFSET(ORÇAMENTO!$D$15,CRONO!$E125,0)))+IF(AND($E127&lt;&gt;"",$E127&lt;&gt;0),SUMIF(CÁLCULO!$AM$15:$AW$32,"="&amp;CRONO!V$12,CÁLCULO!$AB$15:$AL$32)/(ORÇAMENTO!$X$15-CÁLCULO.TotalAdmLocal)*CRONO!$E127,0),V126*$R125),SUMIF(OFFSET($R127,1,0,$Q125-2),($L125+1)&amp;"$",OFFSET(V127,1,0,$Q125-2)))</f>
        <v>0</v>
      </c>
      <c r="W127" s="222">
        <f ca="1">IF($Q125=2,IF(AND(ACOMPANHAMENTO="PLE",ISNUMBER($E125)),SUMIF((OFFSET(CÁLCULO!$AM$15:$AW$15,$E125,0,OFFSET(ORÇAMENTO!$D$15,CRONO!$E125,0))),"="&amp;CRONO!W$12,OFFSET(CÁLCULO!$AB$15:$AL$15,$E125,0,OFFSET(ORÇAMENTO!$D$15,CRONO!$E125,0)))+IF(AND($E127&lt;&gt;"",$E127&lt;&gt;0),SUMIF(CÁLCULO!$AM$15:$AW$32,"="&amp;CRONO!W$12,CÁLCULO!$AB$15:$AL$32)/(ORÇAMENTO!$X$15-CÁLCULO.TotalAdmLocal)*CRONO!$E127,0),W126*$R125),SUMIF(OFFSET($R127,1,0,$Q125-2),($L125+1)&amp;"$",OFFSET(W127,1,0,$Q125-2)))</f>
        <v>0</v>
      </c>
      <c r="X127" s="222">
        <f ca="1">IF($Q125=2,IF(AND(ACOMPANHAMENTO="PLE",ISNUMBER($E125)),SUMIF((OFFSET(CÁLCULO!$AM$15:$AW$15,$E125,0,OFFSET(ORÇAMENTO!$D$15,CRONO!$E125,0))),"="&amp;CRONO!X$12,OFFSET(CÁLCULO!$AB$15:$AL$15,$E125,0,OFFSET(ORÇAMENTO!$D$15,CRONO!$E125,0)))+IF(AND($E127&lt;&gt;"",$E127&lt;&gt;0),SUMIF(CÁLCULO!$AM$15:$AW$32,"="&amp;CRONO!X$12,CÁLCULO!$AB$15:$AL$32)/(ORÇAMENTO!$X$15-CÁLCULO.TotalAdmLocal)*CRONO!$E127,0),X126*$R125),SUMIF(OFFSET($R127,1,0,$Q125-2),($L125+1)&amp;"$",OFFSET(X127,1,0,$Q125-2)))</f>
        <v>0</v>
      </c>
      <c r="Y127" s="222">
        <f ca="1">IF($Q125=2,IF(AND(ACOMPANHAMENTO="PLE",ISNUMBER($E125)),SUMIF((OFFSET(CÁLCULO!$AM$15:$AW$15,$E125,0,OFFSET(ORÇAMENTO!$D$15,CRONO!$E125,0))),"="&amp;CRONO!Y$12,OFFSET(CÁLCULO!$AB$15:$AL$15,$E125,0,OFFSET(ORÇAMENTO!$D$15,CRONO!$E125,0)))+IF(AND($E127&lt;&gt;"",$E127&lt;&gt;0),SUMIF(CÁLCULO!$AM$15:$AW$32,"="&amp;CRONO!Y$12,CÁLCULO!$AB$15:$AL$32)/(ORÇAMENTO!$X$15-CÁLCULO.TotalAdmLocal)*CRONO!$E127,0),Y126*$R125),SUMIF(OFFSET($R127,1,0,$Q125-2),($L125+1)&amp;"$",OFFSET(Y127,1,0,$Q125-2)))</f>
        <v>0</v>
      </c>
      <c r="Z127" s="222">
        <f ca="1">IF($Q125=2,IF(AND(ACOMPANHAMENTO="PLE",ISNUMBER($E125)),SUMIF((OFFSET(CÁLCULO!$AM$15:$AW$15,$E125,0,OFFSET(ORÇAMENTO!$D$15,CRONO!$E125,0))),"="&amp;CRONO!Z$12,OFFSET(CÁLCULO!$AB$15:$AL$15,$E125,0,OFFSET(ORÇAMENTO!$D$15,CRONO!$E125,0)))+IF(AND($E127&lt;&gt;"",$E127&lt;&gt;0),SUMIF(CÁLCULO!$AM$15:$AW$32,"="&amp;CRONO!Z$12,CÁLCULO!$AB$15:$AL$32)/(ORÇAMENTO!$X$15-CÁLCULO.TotalAdmLocal)*CRONO!$E127,0),Z126*$R125),SUMIF(OFFSET($R127,1,0,$Q125-2),($L125+1)&amp;"$",OFFSET(Z127,1,0,$Q125-2)))</f>
        <v>0</v>
      </c>
      <c r="AA127" s="222">
        <f ca="1">IF($Q125=2,IF(AND(ACOMPANHAMENTO="PLE",ISNUMBER($E125)),SUMIF((OFFSET(CÁLCULO!$AM$15:$AW$15,$E125,0,OFFSET(ORÇAMENTO!$D$15,CRONO!$E125,0))),"="&amp;CRONO!AA$12,OFFSET(CÁLCULO!$AB$15:$AL$15,$E125,0,OFFSET(ORÇAMENTO!$D$15,CRONO!$E125,0)))+IF(AND($E127&lt;&gt;"",$E127&lt;&gt;0),SUMIF(CÁLCULO!$AM$15:$AW$32,"="&amp;CRONO!AA$12,CÁLCULO!$AB$15:$AL$32)/(ORÇAMENTO!$X$15-CÁLCULO.TotalAdmLocal)*CRONO!$E127,0),AA126*$R125),SUMIF(OFFSET($R127,1,0,$Q125-2),($L125+1)&amp;"$",OFFSET(AA127,1,0,$Q125-2)))</f>
        <v>0</v>
      </c>
      <c r="AB127" s="222">
        <f ca="1">IF($Q125=2,IF(AND(ACOMPANHAMENTO="PLE",ISNUMBER($E125)),SUMIF((OFFSET(CÁLCULO!$AM$15:$AW$15,$E125,0,OFFSET(ORÇAMENTO!$D$15,CRONO!$E125,0))),"="&amp;CRONO!AB$12,OFFSET(CÁLCULO!$AB$15:$AL$15,$E125,0,OFFSET(ORÇAMENTO!$D$15,CRONO!$E125,0)))+IF(AND($E127&lt;&gt;"",$E127&lt;&gt;0),SUMIF(CÁLCULO!$AM$15:$AW$32,"="&amp;CRONO!AB$12,CÁLCULO!$AB$15:$AL$32)/(ORÇAMENTO!$X$15-CÁLCULO.TotalAdmLocal)*CRONO!$E127,0),AB126*$R125),SUMIF(OFFSET($R127,1,0,$Q125-2),($L125+1)&amp;"$",OFFSET(AB127,1,0,$Q125-2)))</f>
        <v>0</v>
      </c>
      <c r="AC127" s="222">
        <f ca="1">IF($Q125=2,IF(AND(ACOMPANHAMENTO="PLE",ISNUMBER($E125)),SUMIF((OFFSET(CÁLCULO!$AM$15:$AW$15,$E125,0,OFFSET(ORÇAMENTO!$D$15,CRONO!$E125,0))),"="&amp;CRONO!AC$12,OFFSET(CÁLCULO!$AB$15:$AL$15,$E125,0,OFFSET(ORÇAMENTO!$D$15,CRONO!$E125,0)))+IF(AND($E127&lt;&gt;"",$E127&lt;&gt;0),SUMIF(CÁLCULO!$AM$15:$AW$32,"="&amp;CRONO!AC$12,CÁLCULO!$AB$15:$AL$32)/(ORÇAMENTO!$X$15-CÁLCULO.TotalAdmLocal)*CRONO!$E127,0),AC126*$R125),SUMIF(OFFSET($R127,1,0,$Q125-2),($L125+1)&amp;"$",OFFSET(AC127,1,0,$Q125-2)))</f>
        <v>0</v>
      </c>
      <c r="AD127" s="222">
        <f ca="1">IF($Q125=2,IF(AND(ACOMPANHAMENTO="PLE",ISNUMBER($E125)),SUMIF((OFFSET(CÁLCULO!$AM$15:$AW$15,$E125,0,OFFSET(ORÇAMENTO!$D$15,CRONO!$E125,0))),"="&amp;CRONO!AD$12,OFFSET(CÁLCULO!$AB$15:$AL$15,$E125,0,OFFSET(ORÇAMENTO!$D$15,CRONO!$E125,0)))+IF(AND($E127&lt;&gt;"",$E127&lt;&gt;0),SUMIF(CÁLCULO!$AM$15:$AW$32,"="&amp;CRONO!AD$12,CÁLCULO!$AB$15:$AL$32)/(ORÇAMENTO!$X$15-CÁLCULO.TotalAdmLocal)*CRONO!$E127,0),AD126*$R125),SUMIF(OFFSET($R127,1,0,$Q125-2),($L125+1)&amp;"$",OFFSET(AD127,1,0,$Q125-2)))</f>
        <v>0</v>
      </c>
      <c r="AE127" s="227">
        <f ca="1">IF($Q125=2,IF(AND(ACOMPANHAMENTO="PLE",ISNUMBER($E125)),SUMIF((OFFSET(CÁLCULO!$AM$15:$AW$15,$E125,0,OFFSET(ORÇAMENTO!$D$15,CRONO!$E125,0))),"="&amp;CRONO!AE$12,OFFSET(CÁLCULO!$AB$15:$AL$15,$E125,0,OFFSET(ORÇAMENTO!$D$15,CRONO!$E125,0)))+IF(AND($E127&lt;&gt;"",$E127&lt;&gt;0),SUMIF(CÁLCULO!$AM$15:$AW$32,"="&amp;CRONO!AE$12,CÁLCULO!$AB$15:$AL$32)/(ORÇAMENTO!$X$15-CÁLCULO.TotalAdmLocal)*CRONO!$E127,0),AE126*$R125),SUMIF(OFFSET($R127,1,0,$Q125-2),($L125+1)&amp;"$",OFFSET(AE127,1,0,$Q125-2)))</f>
        <v>0</v>
      </c>
    </row>
    <row r="128" spans="1:32" hidden="1" x14ac:dyDescent="0.25">
      <c r="A128" s="203">
        <f t="shared" ref="A128" ca="1" si="269">OFFSET(A128,-3,0)+1</f>
        <v>39</v>
      </c>
      <c r="B128" s="203">
        <f ca="1">IF($Q128&lt;&gt;2,0,IF($R128=0,1,IF(E129&gt;0,OFFSET(QCI!$M$13,SUBSTITUTE(E129,".",""),0),OFFSET(ORÇAMENTO!$AA$15,CRONO!$E128,0))/$R128))</f>
        <v>0</v>
      </c>
      <c r="C128" s="203">
        <f ca="1">IF($Q128&lt;&gt;2,0,IF($R128=0,1,IF(E129&gt;0,OFFSET(QCI!$N$13,SUBSTITUTE(E129,".",""),0),OFFSET(ORÇAMENTO!$AB$15,CRONO!$E128,0))/$R128))</f>
        <v>0</v>
      </c>
      <c r="D128" s="206" t="e">
        <f ca="1">IF(AND($Q128=2,ACOMPANHAMENTO="BM"),D129,D130/$R128)</f>
        <v>#VALUE!</v>
      </c>
      <c r="E128" s="203" t="e">
        <f ca="1">IF(A128&lt;=ORÇAMENTO.MáximoListaCrono,MATCH(A128,ORÇAMENTO.ListaCrono,0),NA())</f>
        <v>#N/A</v>
      </c>
      <c r="F128" s="203" t="str">
        <f t="shared" ref="F128" ca="1" si="270">IF(AND($E129&lt;&gt;-1,$R128&gt;0),"F","")</f>
        <v/>
      </c>
      <c r="G128" s="207" t="str">
        <f ca="1">IF(OR(R128=0,R128=""),"Linha",IF(AND(OR(ACOMPANHAMENTO="PLE",$Q128&lt;&gt;2),$E129=0),"Linha",1-SUM(T128:AF128)))</f>
        <v>Linha</v>
      </c>
      <c r="H128" s="208" t="str">
        <f ca="1">IF($E129=0,OFFSET(ORÇAMENTO!O$15,$E128,0),IF($E129&lt;&gt;-1,OFFSET(QCI!$D$13,$E129,0),""))</f>
        <v/>
      </c>
      <c r="I128" s="209" t="str">
        <f ca="1">IF($E129=0,OFFSET(ORÇAMENTO!R$15,$E128,0),IF($E129&lt;&gt;-1,OFFSET(QCI!$G$13,$E129,0),""))</f>
        <v/>
      </c>
      <c r="J128" s="209"/>
      <c r="K128" s="209"/>
      <c r="L128" s="210">
        <f ca="1">IF($E129=0,OFFSET(ORÇAMENTO!C$15,$E128,0),1)</f>
        <v>1</v>
      </c>
      <c r="M128" s="211">
        <f ca="1">IF($E129=-1,0,IF(M$13&lt;=$L128,IF(ISERROR(MATCH(M$13,OFFSET($L128,1,0,ROW($L$164)-ROW($L128)-1),0)),ROW($L$164)-ROW($L128)-1,MATCH(M$13,OFFSET($L128,1,0,ROW($L$164)-ROW($L128)-1),0)-1),0))</f>
        <v>0</v>
      </c>
      <c r="N128" s="211">
        <f ca="1">IF($E129=-1,0,IF(N$13&lt;=$L128,IF(ISERROR(MATCH(N$13,OFFSET($L128,1,0,ROW($L$164)-ROW($L128)-1),0)),ROW($L$164)-ROW($L128)-1,MATCH(N$13,OFFSET($L128,1,0,ROW($L$164)-ROW($L128)-1),0)-1),0))</f>
        <v>0</v>
      </c>
      <c r="O128" s="211">
        <f ca="1">IF($E129=-1,0,IF(O$13&lt;=$L128,IF(ISERROR(MATCH(O$13,OFFSET($L128,1,0,ROW($L$164)-ROW($L128)-1),0)),ROW($L$164)-ROW($L128)-1,MATCH(O$13,OFFSET($L128,1,0,ROW($L$164)-ROW($L128)-1),0)-1),0))</f>
        <v>0</v>
      </c>
      <c r="P128" s="211">
        <f ca="1">IF($E129=-1,0,IF(P$13&lt;=$L128,IF(ISERROR(MATCH(P$13,OFFSET($L128,1,0,ROW($L$164)-ROW($L128)-1),0)),ROW($L$164)-ROW($L128)-1,MATCH(P$13,OFFSET($L128,1,0,ROW($L$164)-ROW($L128)-1),0)-1),0))</f>
        <v>0</v>
      </c>
      <c r="Q128" s="211">
        <f t="shared" ref="Q128" ca="1" si="271">MIN(OFFSET(L128,0,1,,L128))</f>
        <v>0</v>
      </c>
      <c r="R128" s="212" t="str">
        <f ca="1">IF($E129=0,OFFSET(ORÇAMENTO!X$15,$E128,0),IF($E129&lt;&gt;-1,OFFSET(QCI!$O$13,$E129,0),""))</f>
        <v/>
      </c>
      <c r="S128" s="213" t="s">
        <v>270</v>
      </c>
      <c r="T128" s="214" t="e">
        <f t="shared" ref="T128:AE128" ca="1" si="272">IF(AND($Q128=2,ACOMPANHAMENTO="BM"),T129,T130/$R128)</f>
        <v>#VALUE!</v>
      </c>
      <c r="U128" s="206" t="e">
        <f t="shared" ca="1" si="272"/>
        <v>#VALUE!</v>
      </c>
      <c r="V128" s="206" t="e">
        <f t="shared" ca="1" si="272"/>
        <v>#VALUE!</v>
      </c>
      <c r="W128" s="206" t="e">
        <f t="shared" ca="1" si="272"/>
        <v>#VALUE!</v>
      </c>
      <c r="X128" s="206" t="e">
        <f t="shared" ca="1" si="272"/>
        <v>#VALUE!</v>
      </c>
      <c r="Y128" s="206" t="e">
        <f t="shared" ca="1" si="272"/>
        <v>#VALUE!</v>
      </c>
      <c r="Z128" s="206" t="e">
        <f t="shared" ca="1" si="272"/>
        <v>#VALUE!</v>
      </c>
      <c r="AA128" s="206" t="e">
        <f t="shared" ca="1" si="272"/>
        <v>#VALUE!</v>
      </c>
      <c r="AB128" s="206" t="e">
        <f t="shared" ca="1" si="272"/>
        <v>#VALUE!</v>
      </c>
      <c r="AC128" s="206" t="e">
        <f t="shared" ca="1" si="272"/>
        <v>#VALUE!</v>
      </c>
      <c r="AD128" s="206" t="e">
        <f t="shared" ca="1" si="272"/>
        <v>#VALUE!</v>
      </c>
      <c r="AE128" s="215" t="e">
        <f t="shared" ca="1" si="272"/>
        <v>#VALUE!</v>
      </c>
    </row>
    <row r="129" spans="1:32" ht="12.75" hidden="1" customHeight="1" x14ac:dyDescent="0.25">
      <c r="D129" s="568"/>
      <c r="E129" s="203">
        <f ca="1">IF(ISERROR(E128),IF(1+COUNTIF($L$13:OFFSET(L128,-1,0),1)&lt;=MAX(QCI!$D$13:$D$24),1+COUNTIF($L$13:OFFSET(L128,-1,0),1),-1),0)</f>
        <v>-1</v>
      </c>
      <c r="F129" s="203" t="str">
        <f t="shared" ref="F129" ca="1" si="273">IF(AND($E129&lt;&gt;-1,$R128&gt;0),"F","")</f>
        <v/>
      </c>
      <c r="G129" s="216" t="str">
        <f ca="1">IF(OR(R128=0,R128=""),"vazia",IF(AND(OR(ACOMPANHAMENTO="PLE",$Q128&lt;&gt;2),$E129=0),"calculada","--&gt;"))</f>
        <v>vazia</v>
      </c>
      <c r="H129" s="217"/>
      <c r="I129" s="218" t="str">
        <f t="shared" ref="I129" ca="1" si="274">IF(AND(G128&lt;&gt;0,ISNUMBER(G128)),"PREENCHA ESTA LINHA --&gt;","")</f>
        <v/>
      </c>
      <c r="J129" s="218"/>
      <c r="K129" s="218"/>
      <c r="L129" s="219"/>
      <c r="M129" s="219"/>
      <c r="N129" s="219"/>
      <c r="O129" s="219"/>
      <c r="P129" s="219"/>
      <c r="Q129" s="219"/>
      <c r="R129" s="220"/>
      <c r="S129" s="221"/>
      <c r="T129" s="569"/>
      <c r="U129" s="568"/>
      <c r="V129" s="568"/>
      <c r="W129" s="568"/>
      <c r="X129" s="568"/>
      <c r="Y129" s="568"/>
      <c r="Z129" s="568"/>
      <c r="AA129" s="568"/>
      <c r="AB129" s="568"/>
      <c r="AC129" s="568"/>
      <c r="AD129" s="568"/>
      <c r="AE129" s="570"/>
      <c r="AF129" s="532"/>
    </row>
    <row r="130" spans="1:32" ht="0.15" hidden="1" customHeight="1" x14ac:dyDescent="0.25">
      <c r="D130" s="222">
        <f ca="1">IF($Q128=2,IF(AND(ACOMPANHAMENTO="PLE",ISNUMBER($E128)),SUMIF((OFFSET(CÁLCULO!$AM$15:$AW$15,$E128,0,OFFSET(ORÇAMENTO!$D$15,CRONO!$E128,0))),"="&amp;CRONO!D$12,OFFSET(CÁLCULO!$AB$15:$AL$15,$E128,0,OFFSET(ORÇAMENTO!$D$15,CRONO!$E128,0)))+IF(AND($E130&lt;&gt;"",$E130&lt;&gt;0),SUMIF(CÁLCULO!$AM$15:$AW$32,"="&amp;CRONO!D$12,CÁLCULO!$AB$15:$AL$32)/(ORÇAMENTO!$X$15-CÁLCULO.TotalAdmLocal)*CRONO!$E130,0),D129*$R128),SUMIF(OFFSET($R130,1,0,$Q128-2),($L128+1)&amp;"$",OFFSET(D130,1,0,$Q128-2)))</f>
        <v>0</v>
      </c>
      <c r="E130" s="203" t="str">
        <f ca="1">IF(OR($Q128&lt;&gt;2,AUTOEVENTO&lt;&gt;"manual",$E129&gt;0),"",SUMIF(OFFSET(CÁLCULO!$M$15,CRONO!$E128,0,OFFSET(ORÇAMENTO!$D$15,CRONO!$E128,0)),1,OFFSET(ORÇAMENTO!$X$15,CRONO!$E128,0,OFFSET(ORÇAMENTO!$D$15,CRONO!$E128,0))))</f>
        <v/>
      </c>
      <c r="G130" s="223"/>
      <c r="R130" s="224" t="str">
        <f t="shared" ref="R130" ca="1" si="275">L128&amp;"$"</f>
        <v>1$</v>
      </c>
      <c r="S130" s="225"/>
      <c r="T130" s="226">
        <f ca="1">IF($Q128=2,IF(AND(ACOMPANHAMENTO="PLE",ISNUMBER($E128)),SUMIF((OFFSET(CÁLCULO!$AM$15:$AW$15,$E128,0,OFFSET(ORÇAMENTO!$D$15,CRONO!$E128,0))),"&lt;="&amp;CRONO!T$12,OFFSET(CÁLCULO!$AB$15:$AL$15,$E128,0,OFFSET(ORÇAMENTO!$D$15,CRONO!$E128,0)))+IF(AND($E130&lt;&gt;"",$E130&lt;&gt;0),SUMIF(CÁLCULO!$AM$15:$AW$32,"&lt;="&amp;CRONO!T$12,CÁLCULO!$AB$15:$AL$32)/(ORÇAMENTO!$X$15-CÁLCULO.TotalAdmLocal)*CRONO!$E130,0),T129*$R128),SUMIF(OFFSET($R130,1,0,$Q128-2),($L128+1)&amp;"$",OFFSET(T130,1,0,$Q128-2)))</f>
        <v>0</v>
      </c>
      <c r="U130" s="222">
        <f ca="1">IF($Q128=2,IF(AND(ACOMPANHAMENTO="PLE",ISNUMBER($E128)),SUMIF((OFFSET(CÁLCULO!$AM$15:$AW$15,$E128,0,OFFSET(ORÇAMENTO!$D$15,CRONO!$E128,0))),"="&amp;CRONO!U$12,OFFSET(CÁLCULO!$AB$15:$AL$15,$E128,0,OFFSET(ORÇAMENTO!$D$15,CRONO!$E128,0)))+IF(AND($E130&lt;&gt;"",$E130&lt;&gt;0),SUMIF(CÁLCULO!$AM$15:$AW$32,"="&amp;CRONO!U$12,CÁLCULO!$AB$15:$AL$32)/(ORÇAMENTO!$X$15-CÁLCULO.TotalAdmLocal)*CRONO!$E130,0),U129*$R128),SUMIF(OFFSET($R130,1,0,$Q128-2),($L128+1)&amp;"$",OFFSET(U130,1,0,$Q128-2)))</f>
        <v>0</v>
      </c>
      <c r="V130" s="222">
        <f ca="1">IF($Q128=2,IF(AND(ACOMPANHAMENTO="PLE",ISNUMBER($E128)),SUMIF((OFFSET(CÁLCULO!$AM$15:$AW$15,$E128,0,OFFSET(ORÇAMENTO!$D$15,CRONO!$E128,0))),"="&amp;CRONO!V$12,OFFSET(CÁLCULO!$AB$15:$AL$15,$E128,0,OFFSET(ORÇAMENTO!$D$15,CRONO!$E128,0)))+IF(AND($E130&lt;&gt;"",$E130&lt;&gt;0),SUMIF(CÁLCULO!$AM$15:$AW$32,"="&amp;CRONO!V$12,CÁLCULO!$AB$15:$AL$32)/(ORÇAMENTO!$X$15-CÁLCULO.TotalAdmLocal)*CRONO!$E130,0),V129*$R128),SUMIF(OFFSET($R130,1,0,$Q128-2),($L128+1)&amp;"$",OFFSET(V130,1,0,$Q128-2)))</f>
        <v>0</v>
      </c>
      <c r="W130" s="222">
        <f ca="1">IF($Q128=2,IF(AND(ACOMPANHAMENTO="PLE",ISNUMBER($E128)),SUMIF((OFFSET(CÁLCULO!$AM$15:$AW$15,$E128,0,OFFSET(ORÇAMENTO!$D$15,CRONO!$E128,0))),"="&amp;CRONO!W$12,OFFSET(CÁLCULO!$AB$15:$AL$15,$E128,0,OFFSET(ORÇAMENTO!$D$15,CRONO!$E128,0)))+IF(AND($E130&lt;&gt;"",$E130&lt;&gt;0),SUMIF(CÁLCULO!$AM$15:$AW$32,"="&amp;CRONO!W$12,CÁLCULO!$AB$15:$AL$32)/(ORÇAMENTO!$X$15-CÁLCULO.TotalAdmLocal)*CRONO!$E130,0),W129*$R128),SUMIF(OFFSET($R130,1,0,$Q128-2),($L128+1)&amp;"$",OFFSET(W130,1,0,$Q128-2)))</f>
        <v>0</v>
      </c>
      <c r="X130" s="222">
        <f ca="1">IF($Q128=2,IF(AND(ACOMPANHAMENTO="PLE",ISNUMBER($E128)),SUMIF((OFFSET(CÁLCULO!$AM$15:$AW$15,$E128,0,OFFSET(ORÇAMENTO!$D$15,CRONO!$E128,0))),"="&amp;CRONO!X$12,OFFSET(CÁLCULO!$AB$15:$AL$15,$E128,0,OFFSET(ORÇAMENTO!$D$15,CRONO!$E128,0)))+IF(AND($E130&lt;&gt;"",$E130&lt;&gt;0),SUMIF(CÁLCULO!$AM$15:$AW$32,"="&amp;CRONO!X$12,CÁLCULO!$AB$15:$AL$32)/(ORÇAMENTO!$X$15-CÁLCULO.TotalAdmLocal)*CRONO!$E130,0),X129*$R128),SUMIF(OFFSET($R130,1,0,$Q128-2),($L128+1)&amp;"$",OFFSET(X130,1,0,$Q128-2)))</f>
        <v>0</v>
      </c>
      <c r="Y130" s="222">
        <f ca="1">IF($Q128=2,IF(AND(ACOMPANHAMENTO="PLE",ISNUMBER($E128)),SUMIF((OFFSET(CÁLCULO!$AM$15:$AW$15,$E128,0,OFFSET(ORÇAMENTO!$D$15,CRONO!$E128,0))),"="&amp;CRONO!Y$12,OFFSET(CÁLCULO!$AB$15:$AL$15,$E128,0,OFFSET(ORÇAMENTO!$D$15,CRONO!$E128,0)))+IF(AND($E130&lt;&gt;"",$E130&lt;&gt;0),SUMIF(CÁLCULO!$AM$15:$AW$32,"="&amp;CRONO!Y$12,CÁLCULO!$AB$15:$AL$32)/(ORÇAMENTO!$X$15-CÁLCULO.TotalAdmLocal)*CRONO!$E130,0),Y129*$R128),SUMIF(OFFSET($R130,1,0,$Q128-2),($L128+1)&amp;"$",OFFSET(Y130,1,0,$Q128-2)))</f>
        <v>0</v>
      </c>
      <c r="Z130" s="222">
        <f ca="1">IF($Q128=2,IF(AND(ACOMPANHAMENTO="PLE",ISNUMBER($E128)),SUMIF((OFFSET(CÁLCULO!$AM$15:$AW$15,$E128,0,OFFSET(ORÇAMENTO!$D$15,CRONO!$E128,0))),"="&amp;CRONO!Z$12,OFFSET(CÁLCULO!$AB$15:$AL$15,$E128,0,OFFSET(ORÇAMENTO!$D$15,CRONO!$E128,0)))+IF(AND($E130&lt;&gt;"",$E130&lt;&gt;0),SUMIF(CÁLCULO!$AM$15:$AW$32,"="&amp;CRONO!Z$12,CÁLCULO!$AB$15:$AL$32)/(ORÇAMENTO!$X$15-CÁLCULO.TotalAdmLocal)*CRONO!$E130,0),Z129*$R128),SUMIF(OFFSET($R130,1,0,$Q128-2),($L128+1)&amp;"$",OFFSET(Z130,1,0,$Q128-2)))</f>
        <v>0</v>
      </c>
      <c r="AA130" s="222">
        <f ca="1">IF($Q128=2,IF(AND(ACOMPANHAMENTO="PLE",ISNUMBER($E128)),SUMIF((OFFSET(CÁLCULO!$AM$15:$AW$15,$E128,0,OFFSET(ORÇAMENTO!$D$15,CRONO!$E128,0))),"="&amp;CRONO!AA$12,OFFSET(CÁLCULO!$AB$15:$AL$15,$E128,0,OFFSET(ORÇAMENTO!$D$15,CRONO!$E128,0)))+IF(AND($E130&lt;&gt;"",$E130&lt;&gt;0),SUMIF(CÁLCULO!$AM$15:$AW$32,"="&amp;CRONO!AA$12,CÁLCULO!$AB$15:$AL$32)/(ORÇAMENTO!$X$15-CÁLCULO.TotalAdmLocal)*CRONO!$E130,0),AA129*$R128),SUMIF(OFFSET($R130,1,0,$Q128-2),($L128+1)&amp;"$",OFFSET(AA130,1,0,$Q128-2)))</f>
        <v>0</v>
      </c>
      <c r="AB130" s="222">
        <f ca="1">IF($Q128=2,IF(AND(ACOMPANHAMENTO="PLE",ISNUMBER($E128)),SUMIF((OFFSET(CÁLCULO!$AM$15:$AW$15,$E128,0,OFFSET(ORÇAMENTO!$D$15,CRONO!$E128,0))),"="&amp;CRONO!AB$12,OFFSET(CÁLCULO!$AB$15:$AL$15,$E128,0,OFFSET(ORÇAMENTO!$D$15,CRONO!$E128,0)))+IF(AND($E130&lt;&gt;"",$E130&lt;&gt;0),SUMIF(CÁLCULO!$AM$15:$AW$32,"="&amp;CRONO!AB$12,CÁLCULO!$AB$15:$AL$32)/(ORÇAMENTO!$X$15-CÁLCULO.TotalAdmLocal)*CRONO!$E130,0),AB129*$R128),SUMIF(OFFSET($R130,1,0,$Q128-2),($L128+1)&amp;"$",OFFSET(AB130,1,0,$Q128-2)))</f>
        <v>0</v>
      </c>
      <c r="AC130" s="222">
        <f ca="1">IF($Q128=2,IF(AND(ACOMPANHAMENTO="PLE",ISNUMBER($E128)),SUMIF((OFFSET(CÁLCULO!$AM$15:$AW$15,$E128,0,OFFSET(ORÇAMENTO!$D$15,CRONO!$E128,0))),"="&amp;CRONO!AC$12,OFFSET(CÁLCULO!$AB$15:$AL$15,$E128,0,OFFSET(ORÇAMENTO!$D$15,CRONO!$E128,0)))+IF(AND($E130&lt;&gt;"",$E130&lt;&gt;0),SUMIF(CÁLCULO!$AM$15:$AW$32,"="&amp;CRONO!AC$12,CÁLCULO!$AB$15:$AL$32)/(ORÇAMENTO!$X$15-CÁLCULO.TotalAdmLocal)*CRONO!$E130,0),AC129*$R128),SUMIF(OFFSET($R130,1,0,$Q128-2),($L128+1)&amp;"$",OFFSET(AC130,1,0,$Q128-2)))</f>
        <v>0</v>
      </c>
      <c r="AD130" s="222">
        <f ca="1">IF($Q128=2,IF(AND(ACOMPANHAMENTO="PLE",ISNUMBER($E128)),SUMIF((OFFSET(CÁLCULO!$AM$15:$AW$15,$E128,0,OFFSET(ORÇAMENTO!$D$15,CRONO!$E128,0))),"="&amp;CRONO!AD$12,OFFSET(CÁLCULO!$AB$15:$AL$15,$E128,0,OFFSET(ORÇAMENTO!$D$15,CRONO!$E128,0)))+IF(AND($E130&lt;&gt;"",$E130&lt;&gt;0),SUMIF(CÁLCULO!$AM$15:$AW$32,"="&amp;CRONO!AD$12,CÁLCULO!$AB$15:$AL$32)/(ORÇAMENTO!$X$15-CÁLCULO.TotalAdmLocal)*CRONO!$E130,0),AD129*$R128),SUMIF(OFFSET($R130,1,0,$Q128-2),($L128+1)&amp;"$",OFFSET(AD130,1,0,$Q128-2)))</f>
        <v>0</v>
      </c>
      <c r="AE130" s="227">
        <f ca="1">IF($Q128=2,IF(AND(ACOMPANHAMENTO="PLE",ISNUMBER($E128)),SUMIF((OFFSET(CÁLCULO!$AM$15:$AW$15,$E128,0,OFFSET(ORÇAMENTO!$D$15,CRONO!$E128,0))),"="&amp;CRONO!AE$12,OFFSET(CÁLCULO!$AB$15:$AL$15,$E128,0,OFFSET(ORÇAMENTO!$D$15,CRONO!$E128,0)))+IF(AND($E130&lt;&gt;"",$E130&lt;&gt;0),SUMIF(CÁLCULO!$AM$15:$AW$32,"="&amp;CRONO!AE$12,CÁLCULO!$AB$15:$AL$32)/(ORÇAMENTO!$X$15-CÁLCULO.TotalAdmLocal)*CRONO!$E130,0),AE129*$R128),SUMIF(OFFSET($R130,1,0,$Q128-2),($L128+1)&amp;"$",OFFSET(AE130,1,0,$Q128-2)))</f>
        <v>0</v>
      </c>
    </row>
    <row r="131" spans="1:32" hidden="1" x14ac:dyDescent="0.25">
      <c r="A131" s="203">
        <f t="shared" ref="A131" ca="1" si="276">OFFSET(A131,-3,0)+1</f>
        <v>40</v>
      </c>
      <c r="B131" s="203">
        <f ca="1">IF($Q131&lt;&gt;2,0,IF($R131=0,1,IF(E132&gt;0,OFFSET(QCI!$M$13,SUBSTITUTE(E132,".",""),0),OFFSET(ORÇAMENTO!$AA$15,CRONO!$E131,0))/$R131))</f>
        <v>0</v>
      </c>
      <c r="C131" s="203">
        <f ca="1">IF($Q131&lt;&gt;2,0,IF($R131=0,1,IF(E132&gt;0,OFFSET(QCI!$N$13,SUBSTITUTE(E132,".",""),0),OFFSET(ORÇAMENTO!$AB$15,CRONO!$E131,0))/$R131))</f>
        <v>0</v>
      </c>
      <c r="D131" s="206" t="e">
        <f ca="1">IF(AND($Q131=2,ACOMPANHAMENTO="BM"),D132,D133/$R131)</f>
        <v>#VALUE!</v>
      </c>
      <c r="E131" s="203" t="e">
        <f ca="1">IF(A131&lt;=ORÇAMENTO.MáximoListaCrono,MATCH(A131,ORÇAMENTO.ListaCrono,0),NA())</f>
        <v>#N/A</v>
      </c>
      <c r="F131" s="203" t="str">
        <f t="shared" ref="F131" ca="1" si="277">IF(AND($E132&lt;&gt;-1,$R131&gt;0),"F","")</f>
        <v/>
      </c>
      <c r="G131" s="207" t="str">
        <f ca="1">IF(OR(R131=0,R131=""),"Linha",IF(AND(OR(ACOMPANHAMENTO="PLE",$Q131&lt;&gt;2),$E132=0),"Linha",1-SUM(T131:AF131)))</f>
        <v>Linha</v>
      </c>
      <c r="H131" s="208" t="str">
        <f ca="1">IF($E132=0,OFFSET(ORÇAMENTO!O$15,$E131,0),IF($E132&lt;&gt;-1,OFFSET(QCI!$D$13,$E132,0),""))</f>
        <v/>
      </c>
      <c r="I131" s="209" t="str">
        <f ca="1">IF($E132=0,OFFSET(ORÇAMENTO!R$15,$E131,0),IF($E132&lt;&gt;-1,OFFSET(QCI!$G$13,$E132,0),""))</f>
        <v/>
      </c>
      <c r="J131" s="209"/>
      <c r="K131" s="209"/>
      <c r="L131" s="210">
        <f ca="1">IF($E132=0,OFFSET(ORÇAMENTO!C$15,$E131,0),1)</f>
        <v>1</v>
      </c>
      <c r="M131" s="211">
        <f ca="1">IF($E132=-1,0,IF(M$13&lt;=$L131,IF(ISERROR(MATCH(M$13,OFFSET($L131,1,0,ROW($L$164)-ROW($L131)-1),0)),ROW($L$164)-ROW($L131)-1,MATCH(M$13,OFFSET($L131,1,0,ROW($L$164)-ROW($L131)-1),0)-1),0))</f>
        <v>0</v>
      </c>
      <c r="N131" s="211">
        <f ca="1">IF($E132=-1,0,IF(N$13&lt;=$L131,IF(ISERROR(MATCH(N$13,OFFSET($L131,1,0,ROW($L$164)-ROW($L131)-1),0)),ROW($L$164)-ROW($L131)-1,MATCH(N$13,OFFSET($L131,1,0,ROW($L$164)-ROW($L131)-1),0)-1),0))</f>
        <v>0</v>
      </c>
      <c r="O131" s="211">
        <f ca="1">IF($E132=-1,0,IF(O$13&lt;=$L131,IF(ISERROR(MATCH(O$13,OFFSET($L131,1,0,ROW($L$164)-ROW($L131)-1),0)),ROW($L$164)-ROW($L131)-1,MATCH(O$13,OFFSET($L131,1,0,ROW($L$164)-ROW($L131)-1),0)-1),0))</f>
        <v>0</v>
      </c>
      <c r="P131" s="211">
        <f ca="1">IF($E132=-1,0,IF(P$13&lt;=$L131,IF(ISERROR(MATCH(P$13,OFFSET($L131,1,0,ROW($L$164)-ROW($L131)-1),0)),ROW($L$164)-ROW($L131)-1,MATCH(P$13,OFFSET($L131,1,0,ROW($L$164)-ROW($L131)-1),0)-1),0))</f>
        <v>0</v>
      </c>
      <c r="Q131" s="211">
        <f t="shared" ref="Q131" ca="1" si="278">MIN(OFFSET(L131,0,1,,L131))</f>
        <v>0</v>
      </c>
      <c r="R131" s="212" t="str">
        <f ca="1">IF($E132=0,OFFSET(ORÇAMENTO!X$15,$E131,0),IF($E132&lt;&gt;-1,OFFSET(QCI!$O$13,$E132,0),""))</f>
        <v/>
      </c>
      <c r="S131" s="213" t="s">
        <v>270</v>
      </c>
      <c r="T131" s="214" t="e">
        <f t="shared" ref="T131:AE131" ca="1" si="279">IF(AND($Q131=2,ACOMPANHAMENTO="BM"),T132,T133/$R131)</f>
        <v>#VALUE!</v>
      </c>
      <c r="U131" s="206" t="e">
        <f t="shared" ca="1" si="279"/>
        <v>#VALUE!</v>
      </c>
      <c r="V131" s="206" t="e">
        <f t="shared" ca="1" si="279"/>
        <v>#VALUE!</v>
      </c>
      <c r="W131" s="206" t="e">
        <f t="shared" ca="1" si="279"/>
        <v>#VALUE!</v>
      </c>
      <c r="X131" s="206" t="e">
        <f t="shared" ca="1" si="279"/>
        <v>#VALUE!</v>
      </c>
      <c r="Y131" s="206" t="e">
        <f t="shared" ca="1" si="279"/>
        <v>#VALUE!</v>
      </c>
      <c r="Z131" s="206" t="e">
        <f t="shared" ca="1" si="279"/>
        <v>#VALUE!</v>
      </c>
      <c r="AA131" s="206" t="e">
        <f t="shared" ca="1" si="279"/>
        <v>#VALUE!</v>
      </c>
      <c r="AB131" s="206" t="e">
        <f t="shared" ca="1" si="279"/>
        <v>#VALUE!</v>
      </c>
      <c r="AC131" s="206" t="e">
        <f t="shared" ca="1" si="279"/>
        <v>#VALUE!</v>
      </c>
      <c r="AD131" s="206" t="e">
        <f t="shared" ca="1" si="279"/>
        <v>#VALUE!</v>
      </c>
      <c r="AE131" s="215" t="e">
        <f t="shared" ca="1" si="279"/>
        <v>#VALUE!</v>
      </c>
    </row>
    <row r="132" spans="1:32" ht="12.75" hidden="1" customHeight="1" x14ac:dyDescent="0.25">
      <c r="D132" s="568"/>
      <c r="E132" s="203">
        <f ca="1">IF(ISERROR(E131),IF(1+COUNTIF($L$13:OFFSET(L131,-1,0),1)&lt;=MAX(QCI!$D$13:$D$24),1+COUNTIF($L$13:OFFSET(L131,-1,0),1),-1),0)</f>
        <v>-1</v>
      </c>
      <c r="F132" s="203" t="str">
        <f t="shared" ref="F132" ca="1" si="280">IF(AND($E132&lt;&gt;-1,$R131&gt;0),"F","")</f>
        <v/>
      </c>
      <c r="G132" s="216" t="str">
        <f ca="1">IF(OR(R131=0,R131=""),"vazia",IF(AND(OR(ACOMPANHAMENTO="PLE",$Q131&lt;&gt;2),$E132=0),"calculada","--&gt;"))</f>
        <v>vazia</v>
      </c>
      <c r="H132" s="217"/>
      <c r="I132" s="218" t="str">
        <f t="shared" ref="I132" ca="1" si="281">IF(AND(G131&lt;&gt;0,ISNUMBER(G131)),"PREENCHA ESTA LINHA --&gt;","")</f>
        <v/>
      </c>
      <c r="J132" s="218"/>
      <c r="K132" s="218"/>
      <c r="L132" s="219"/>
      <c r="M132" s="219"/>
      <c r="N132" s="219"/>
      <c r="O132" s="219"/>
      <c r="P132" s="219"/>
      <c r="Q132" s="219"/>
      <c r="R132" s="220"/>
      <c r="S132" s="221"/>
      <c r="T132" s="569"/>
      <c r="U132" s="568"/>
      <c r="V132" s="568"/>
      <c r="W132" s="568"/>
      <c r="X132" s="568"/>
      <c r="Y132" s="568"/>
      <c r="Z132" s="568"/>
      <c r="AA132" s="568"/>
      <c r="AB132" s="568"/>
      <c r="AC132" s="568"/>
      <c r="AD132" s="568"/>
      <c r="AE132" s="570"/>
      <c r="AF132" s="532"/>
    </row>
    <row r="133" spans="1:32" ht="0.15" hidden="1" customHeight="1" x14ac:dyDescent="0.25">
      <c r="D133" s="222">
        <f ca="1">IF($Q131=2,IF(AND(ACOMPANHAMENTO="PLE",ISNUMBER($E131)),SUMIF((OFFSET(CÁLCULO!$AM$15:$AW$15,$E131,0,OFFSET(ORÇAMENTO!$D$15,CRONO!$E131,0))),"="&amp;CRONO!D$12,OFFSET(CÁLCULO!$AB$15:$AL$15,$E131,0,OFFSET(ORÇAMENTO!$D$15,CRONO!$E131,0)))+IF(AND($E133&lt;&gt;"",$E133&lt;&gt;0),SUMIF(CÁLCULO!$AM$15:$AW$32,"="&amp;CRONO!D$12,CÁLCULO!$AB$15:$AL$32)/(ORÇAMENTO!$X$15-CÁLCULO.TotalAdmLocal)*CRONO!$E133,0),D132*$R131),SUMIF(OFFSET($R133,1,0,$Q131-2),($L131+1)&amp;"$",OFFSET(D133,1,0,$Q131-2)))</f>
        <v>0</v>
      </c>
      <c r="E133" s="203" t="str">
        <f ca="1">IF(OR($Q131&lt;&gt;2,AUTOEVENTO&lt;&gt;"manual",$E132&gt;0),"",SUMIF(OFFSET(CÁLCULO!$M$15,CRONO!$E131,0,OFFSET(ORÇAMENTO!$D$15,CRONO!$E131,0)),1,OFFSET(ORÇAMENTO!$X$15,CRONO!$E131,0,OFFSET(ORÇAMENTO!$D$15,CRONO!$E131,0))))</f>
        <v/>
      </c>
      <c r="G133" s="223"/>
      <c r="R133" s="224" t="str">
        <f t="shared" ref="R133" ca="1" si="282">L131&amp;"$"</f>
        <v>1$</v>
      </c>
      <c r="S133" s="225"/>
      <c r="T133" s="226">
        <f ca="1">IF($Q131=2,IF(AND(ACOMPANHAMENTO="PLE",ISNUMBER($E131)),SUMIF((OFFSET(CÁLCULO!$AM$15:$AW$15,$E131,0,OFFSET(ORÇAMENTO!$D$15,CRONO!$E131,0))),"&lt;="&amp;CRONO!T$12,OFFSET(CÁLCULO!$AB$15:$AL$15,$E131,0,OFFSET(ORÇAMENTO!$D$15,CRONO!$E131,0)))+IF(AND($E133&lt;&gt;"",$E133&lt;&gt;0),SUMIF(CÁLCULO!$AM$15:$AW$32,"&lt;="&amp;CRONO!T$12,CÁLCULO!$AB$15:$AL$32)/(ORÇAMENTO!$X$15-CÁLCULO.TotalAdmLocal)*CRONO!$E133,0),T132*$R131),SUMIF(OFFSET($R133,1,0,$Q131-2),($L131+1)&amp;"$",OFFSET(T133,1,0,$Q131-2)))</f>
        <v>0</v>
      </c>
      <c r="U133" s="222">
        <f ca="1">IF($Q131=2,IF(AND(ACOMPANHAMENTO="PLE",ISNUMBER($E131)),SUMIF((OFFSET(CÁLCULO!$AM$15:$AW$15,$E131,0,OFFSET(ORÇAMENTO!$D$15,CRONO!$E131,0))),"="&amp;CRONO!U$12,OFFSET(CÁLCULO!$AB$15:$AL$15,$E131,0,OFFSET(ORÇAMENTO!$D$15,CRONO!$E131,0)))+IF(AND($E133&lt;&gt;"",$E133&lt;&gt;0),SUMIF(CÁLCULO!$AM$15:$AW$32,"="&amp;CRONO!U$12,CÁLCULO!$AB$15:$AL$32)/(ORÇAMENTO!$X$15-CÁLCULO.TotalAdmLocal)*CRONO!$E133,0),U132*$R131),SUMIF(OFFSET($R133,1,0,$Q131-2),($L131+1)&amp;"$",OFFSET(U133,1,0,$Q131-2)))</f>
        <v>0</v>
      </c>
      <c r="V133" s="222">
        <f ca="1">IF($Q131=2,IF(AND(ACOMPANHAMENTO="PLE",ISNUMBER($E131)),SUMIF((OFFSET(CÁLCULO!$AM$15:$AW$15,$E131,0,OFFSET(ORÇAMENTO!$D$15,CRONO!$E131,0))),"="&amp;CRONO!V$12,OFFSET(CÁLCULO!$AB$15:$AL$15,$E131,0,OFFSET(ORÇAMENTO!$D$15,CRONO!$E131,0)))+IF(AND($E133&lt;&gt;"",$E133&lt;&gt;0),SUMIF(CÁLCULO!$AM$15:$AW$32,"="&amp;CRONO!V$12,CÁLCULO!$AB$15:$AL$32)/(ORÇAMENTO!$X$15-CÁLCULO.TotalAdmLocal)*CRONO!$E133,0),V132*$R131),SUMIF(OFFSET($R133,1,0,$Q131-2),($L131+1)&amp;"$",OFFSET(V133,1,0,$Q131-2)))</f>
        <v>0</v>
      </c>
      <c r="W133" s="222">
        <f ca="1">IF($Q131=2,IF(AND(ACOMPANHAMENTO="PLE",ISNUMBER($E131)),SUMIF((OFFSET(CÁLCULO!$AM$15:$AW$15,$E131,0,OFFSET(ORÇAMENTO!$D$15,CRONO!$E131,0))),"="&amp;CRONO!W$12,OFFSET(CÁLCULO!$AB$15:$AL$15,$E131,0,OFFSET(ORÇAMENTO!$D$15,CRONO!$E131,0)))+IF(AND($E133&lt;&gt;"",$E133&lt;&gt;0),SUMIF(CÁLCULO!$AM$15:$AW$32,"="&amp;CRONO!W$12,CÁLCULO!$AB$15:$AL$32)/(ORÇAMENTO!$X$15-CÁLCULO.TotalAdmLocal)*CRONO!$E133,0),W132*$R131),SUMIF(OFFSET($R133,1,0,$Q131-2),($L131+1)&amp;"$",OFFSET(W133,1,0,$Q131-2)))</f>
        <v>0</v>
      </c>
      <c r="X133" s="222">
        <f ca="1">IF($Q131=2,IF(AND(ACOMPANHAMENTO="PLE",ISNUMBER($E131)),SUMIF((OFFSET(CÁLCULO!$AM$15:$AW$15,$E131,0,OFFSET(ORÇAMENTO!$D$15,CRONO!$E131,0))),"="&amp;CRONO!X$12,OFFSET(CÁLCULO!$AB$15:$AL$15,$E131,0,OFFSET(ORÇAMENTO!$D$15,CRONO!$E131,0)))+IF(AND($E133&lt;&gt;"",$E133&lt;&gt;0),SUMIF(CÁLCULO!$AM$15:$AW$32,"="&amp;CRONO!X$12,CÁLCULO!$AB$15:$AL$32)/(ORÇAMENTO!$X$15-CÁLCULO.TotalAdmLocal)*CRONO!$E133,0),X132*$R131),SUMIF(OFFSET($R133,1,0,$Q131-2),($L131+1)&amp;"$",OFFSET(X133,1,0,$Q131-2)))</f>
        <v>0</v>
      </c>
      <c r="Y133" s="222">
        <f ca="1">IF($Q131=2,IF(AND(ACOMPANHAMENTO="PLE",ISNUMBER($E131)),SUMIF((OFFSET(CÁLCULO!$AM$15:$AW$15,$E131,0,OFFSET(ORÇAMENTO!$D$15,CRONO!$E131,0))),"="&amp;CRONO!Y$12,OFFSET(CÁLCULO!$AB$15:$AL$15,$E131,0,OFFSET(ORÇAMENTO!$D$15,CRONO!$E131,0)))+IF(AND($E133&lt;&gt;"",$E133&lt;&gt;0),SUMIF(CÁLCULO!$AM$15:$AW$32,"="&amp;CRONO!Y$12,CÁLCULO!$AB$15:$AL$32)/(ORÇAMENTO!$X$15-CÁLCULO.TotalAdmLocal)*CRONO!$E133,0),Y132*$R131),SUMIF(OFFSET($R133,1,0,$Q131-2),($L131+1)&amp;"$",OFFSET(Y133,1,0,$Q131-2)))</f>
        <v>0</v>
      </c>
      <c r="Z133" s="222">
        <f ca="1">IF($Q131=2,IF(AND(ACOMPANHAMENTO="PLE",ISNUMBER($E131)),SUMIF((OFFSET(CÁLCULO!$AM$15:$AW$15,$E131,0,OFFSET(ORÇAMENTO!$D$15,CRONO!$E131,0))),"="&amp;CRONO!Z$12,OFFSET(CÁLCULO!$AB$15:$AL$15,$E131,0,OFFSET(ORÇAMENTO!$D$15,CRONO!$E131,0)))+IF(AND($E133&lt;&gt;"",$E133&lt;&gt;0),SUMIF(CÁLCULO!$AM$15:$AW$32,"="&amp;CRONO!Z$12,CÁLCULO!$AB$15:$AL$32)/(ORÇAMENTO!$X$15-CÁLCULO.TotalAdmLocal)*CRONO!$E133,0),Z132*$R131),SUMIF(OFFSET($R133,1,0,$Q131-2),($L131+1)&amp;"$",OFFSET(Z133,1,0,$Q131-2)))</f>
        <v>0</v>
      </c>
      <c r="AA133" s="222">
        <f ca="1">IF($Q131=2,IF(AND(ACOMPANHAMENTO="PLE",ISNUMBER($E131)),SUMIF((OFFSET(CÁLCULO!$AM$15:$AW$15,$E131,0,OFFSET(ORÇAMENTO!$D$15,CRONO!$E131,0))),"="&amp;CRONO!AA$12,OFFSET(CÁLCULO!$AB$15:$AL$15,$E131,0,OFFSET(ORÇAMENTO!$D$15,CRONO!$E131,0)))+IF(AND($E133&lt;&gt;"",$E133&lt;&gt;0),SUMIF(CÁLCULO!$AM$15:$AW$32,"="&amp;CRONO!AA$12,CÁLCULO!$AB$15:$AL$32)/(ORÇAMENTO!$X$15-CÁLCULO.TotalAdmLocal)*CRONO!$E133,0),AA132*$R131),SUMIF(OFFSET($R133,1,0,$Q131-2),($L131+1)&amp;"$",OFFSET(AA133,1,0,$Q131-2)))</f>
        <v>0</v>
      </c>
      <c r="AB133" s="222">
        <f ca="1">IF($Q131=2,IF(AND(ACOMPANHAMENTO="PLE",ISNUMBER($E131)),SUMIF((OFFSET(CÁLCULO!$AM$15:$AW$15,$E131,0,OFFSET(ORÇAMENTO!$D$15,CRONO!$E131,0))),"="&amp;CRONO!AB$12,OFFSET(CÁLCULO!$AB$15:$AL$15,$E131,0,OFFSET(ORÇAMENTO!$D$15,CRONO!$E131,0)))+IF(AND($E133&lt;&gt;"",$E133&lt;&gt;0),SUMIF(CÁLCULO!$AM$15:$AW$32,"="&amp;CRONO!AB$12,CÁLCULO!$AB$15:$AL$32)/(ORÇAMENTO!$X$15-CÁLCULO.TotalAdmLocal)*CRONO!$E133,0),AB132*$R131),SUMIF(OFFSET($R133,1,0,$Q131-2),($L131+1)&amp;"$",OFFSET(AB133,1,0,$Q131-2)))</f>
        <v>0</v>
      </c>
      <c r="AC133" s="222">
        <f ca="1">IF($Q131=2,IF(AND(ACOMPANHAMENTO="PLE",ISNUMBER($E131)),SUMIF((OFFSET(CÁLCULO!$AM$15:$AW$15,$E131,0,OFFSET(ORÇAMENTO!$D$15,CRONO!$E131,0))),"="&amp;CRONO!AC$12,OFFSET(CÁLCULO!$AB$15:$AL$15,$E131,0,OFFSET(ORÇAMENTO!$D$15,CRONO!$E131,0)))+IF(AND($E133&lt;&gt;"",$E133&lt;&gt;0),SUMIF(CÁLCULO!$AM$15:$AW$32,"="&amp;CRONO!AC$12,CÁLCULO!$AB$15:$AL$32)/(ORÇAMENTO!$X$15-CÁLCULO.TotalAdmLocal)*CRONO!$E133,0),AC132*$R131),SUMIF(OFFSET($R133,1,0,$Q131-2),($L131+1)&amp;"$",OFFSET(AC133,1,0,$Q131-2)))</f>
        <v>0</v>
      </c>
      <c r="AD133" s="222">
        <f ca="1">IF($Q131=2,IF(AND(ACOMPANHAMENTO="PLE",ISNUMBER($E131)),SUMIF((OFFSET(CÁLCULO!$AM$15:$AW$15,$E131,0,OFFSET(ORÇAMENTO!$D$15,CRONO!$E131,0))),"="&amp;CRONO!AD$12,OFFSET(CÁLCULO!$AB$15:$AL$15,$E131,0,OFFSET(ORÇAMENTO!$D$15,CRONO!$E131,0)))+IF(AND($E133&lt;&gt;"",$E133&lt;&gt;0),SUMIF(CÁLCULO!$AM$15:$AW$32,"="&amp;CRONO!AD$12,CÁLCULO!$AB$15:$AL$32)/(ORÇAMENTO!$X$15-CÁLCULO.TotalAdmLocal)*CRONO!$E133,0),AD132*$R131),SUMIF(OFFSET($R133,1,0,$Q131-2),($L131+1)&amp;"$",OFFSET(AD133,1,0,$Q131-2)))</f>
        <v>0</v>
      </c>
      <c r="AE133" s="227">
        <f ca="1">IF($Q131=2,IF(AND(ACOMPANHAMENTO="PLE",ISNUMBER($E131)),SUMIF((OFFSET(CÁLCULO!$AM$15:$AW$15,$E131,0,OFFSET(ORÇAMENTO!$D$15,CRONO!$E131,0))),"="&amp;CRONO!AE$12,OFFSET(CÁLCULO!$AB$15:$AL$15,$E131,0,OFFSET(ORÇAMENTO!$D$15,CRONO!$E131,0)))+IF(AND($E133&lt;&gt;"",$E133&lt;&gt;0),SUMIF(CÁLCULO!$AM$15:$AW$32,"="&amp;CRONO!AE$12,CÁLCULO!$AB$15:$AL$32)/(ORÇAMENTO!$X$15-CÁLCULO.TotalAdmLocal)*CRONO!$E133,0),AE132*$R131),SUMIF(OFFSET($R133,1,0,$Q131-2),($L131+1)&amp;"$",OFFSET(AE133,1,0,$Q131-2)))</f>
        <v>0</v>
      </c>
    </row>
    <row r="134" spans="1:32" hidden="1" x14ac:dyDescent="0.25">
      <c r="A134" s="203">
        <f t="shared" ref="A134" ca="1" si="283">OFFSET(A134,-3,0)+1</f>
        <v>41</v>
      </c>
      <c r="B134" s="203">
        <f ca="1">IF($Q134&lt;&gt;2,0,IF($R134=0,1,IF(E135&gt;0,OFFSET(QCI!$M$13,SUBSTITUTE(E135,".",""),0),OFFSET(ORÇAMENTO!$AA$15,CRONO!$E134,0))/$R134))</f>
        <v>0</v>
      </c>
      <c r="C134" s="203">
        <f ca="1">IF($Q134&lt;&gt;2,0,IF($R134=0,1,IF(E135&gt;0,OFFSET(QCI!$N$13,SUBSTITUTE(E135,".",""),0),OFFSET(ORÇAMENTO!$AB$15,CRONO!$E134,0))/$R134))</f>
        <v>0</v>
      </c>
      <c r="D134" s="206" t="e">
        <f ca="1">IF(AND($Q134=2,ACOMPANHAMENTO="BM"),D135,D136/$R134)</f>
        <v>#VALUE!</v>
      </c>
      <c r="E134" s="203" t="e">
        <f ca="1">IF(A134&lt;=ORÇAMENTO.MáximoListaCrono,MATCH(A134,ORÇAMENTO.ListaCrono,0),NA())</f>
        <v>#N/A</v>
      </c>
      <c r="F134" s="203" t="str">
        <f t="shared" ref="F134" ca="1" si="284">IF(AND($E135&lt;&gt;-1,$R134&gt;0),"F","")</f>
        <v/>
      </c>
      <c r="G134" s="207" t="str">
        <f ca="1">IF(OR(R134=0,R134=""),"Linha",IF(AND(OR(ACOMPANHAMENTO="PLE",$Q134&lt;&gt;2),$E135=0),"Linha",1-SUM(T134:AF134)))</f>
        <v>Linha</v>
      </c>
      <c r="H134" s="208" t="str">
        <f ca="1">IF($E135=0,OFFSET(ORÇAMENTO!O$15,$E134,0),IF($E135&lt;&gt;-1,OFFSET(QCI!$D$13,$E135,0),""))</f>
        <v/>
      </c>
      <c r="I134" s="209" t="str">
        <f ca="1">IF($E135=0,OFFSET(ORÇAMENTO!R$15,$E134,0),IF($E135&lt;&gt;-1,OFFSET(QCI!$G$13,$E135,0),""))</f>
        <v/>
      </c>
      <c r="J134" s="209"/>
      <c r="K134" s="209"/>
      <c r="L134" s="210">
        <f ca="1">IF($E135=0,OFFSET(ORÇAMENTO!C$15,$E134,0),1)</f>
        <v>1</v>
      </c>
      <c r="M134" s="211">
        <f ca="1">IF($E135=-1,0,IF(M$13&lt;=$L134,IF(ISERROR(MATCH(M$13,OFFSET($L134,1,0,ROW($L$164)-ROW($L134)-1),0)),ROW($L$164)-ROW($L134)-1,MATCH(M$13,OFFSET($L134,1,0,ROW($L$164)-ROW($L134)-1),0)-1),0))</f>
        <v>0</v>
      </c>
      <c r="N134" s="211">
        <f ca="1">IF($E135=-1,0,IF(N$13&lt;=$L134,IF(ISERROR(MATCH(N$13,OFFSET($L134,1,0,ROW($L$164)-ROW($L134)-1),0)),ROW($L$164)-ROW($L134)-1,MATCH(N$13,OFFSET($L134,1,0,ROW($L$164)-ROW($L134)-1),0)-1),0))</f>
        <v>0</v>
      </c>
      <c r="O134" s="211">
        <f ca="1">IF($E135=-1,0,IF(O$13&lt;=$L134,IF(ISERROR(MATCH(O$13,OFFSET($L134,1,0,ROW($L$164)-ROW($L134)-1),0)),ROW($L$164)-ROW($L134)-1,MATCH(O$13,OFFSET($L134,1,0,ROW($L$164)-ROW($L134)-1),0)-1),0))</f>
        <v>0</v>
      </c>
      <c r="P134" s="211">
        <f ca="1">IF($E135=-1,0,IF(P$13&lt;=$L134,IF(ISERROR(MATCH(P$13,OFFSET($L134,1,0,ROW($L$164)-ROW($L134)-1),0)),ROW($L$164)-ROW($L134)-1,MATCH(P$13,OFFSET($L134,1,0,ROW($L$164)-ROW($L134)-1),0)-1),0))</f>
        <v>0</v>
      </c>
      <c r="Q134" s="211">
        <f t="shared" ref="Q134" ca="1" si="285">MIN(OFFSET(L134,0,1,,L134))</f>
        <v>0</v>
      </c>
      <c r="R134" s="212" t="str">
        <f ca="1">IF($E135=0,OFFSET(ORÇAMENTO!X$15,$E134,0),IF($E135&lt;&gt;-1,OFFSET(QCI!$O$13,$E135,0),""))</f>
        <v/>
      </c>
      <c r="S134" s="213" t="s">
        <v>270</v>
      </c>
      <c r="T134" s="214" t="e">
        <f t="shared" ref="T134:AE134" ca="1" si="286">IF(AND($Q134=2,ACOMPANHAMENTO="BM"),T135,T136/$R134)</f>
        <v>#VALUE!</v>
      </c>
      <c r="U134" s="206" t="e">
        <f t="shared" ca="1" si="286"/>
        <v>#VALUE!</v>
      </c>
      <c r="V134" s="206" t="e">
        <f t="shared" ca="1" si="286"/>
        <v>#VALUE!</v>
      </c>
      <c r="W134" s="206" t="e">
        <f t="shared" ca="1" si="286"/>
        <v>#VALUE!</v>
      </c>
      <c r="X134" s="206" t="e">
        <f t="shared" ca="1" si="286"/>
        <v>#VALUE!</v>
      </c>
      <c r="Y134" s="206" t="e">
        <f t="shared" ca="1" si="286"/>
        <v>#VALUE!</v>
      </c>
      <c r="Z134" s="206" t="e">
        <f t="shared" ca="1" si="286"/>
        <v>#VALUE!</v>
      </c>
      <c r="AA134" s="206" t="e">
        <f t="shared" ca="1" si="286"/>
        <v>#VALUE!</v>
      </c>
      <c r="AB134" s="206" t="e">
        <f t="shared" ca="1" si="286"/>
        <v>#VALUE!</v>
      </c>
      <c r="AC134" s="206" t="e">
        <f t="shared" ca="1" si="286"/>
        <v>#VALUE!</v>
      </c>
      <c r="AD134" s="206" t="e">
        <f t="shared" ca="1" si="286"/>
        <v>#VALUE!</v>
      </c>
      <c r="AE134" s="215" t="e">
        <f t="shared" ca="1" si="286"/>
        <v>#VALUE!</v>
      </c>
    </row>
    <row r="135" spans="1:32" ht="12.75" hidden="1" customHeight="1" x14ac:dyDescent="0.25">
      <c r="D135" s="568"/>
      <c r="E135" s="203">
        <f ca="1">IF(ISERROR(E134),IF(1+COUNTIF($L$13:OFFSET(L134,-1,0),1)&lt;=MAX(QCI!$D$13:$D$24),1+COUNTIF($L$13:OFFSET(L134,-1,0),1),-1),0)</f>
        <v>-1</v>
      </c>
      <c r="F135" s="203" t="str">
        <f t="shared" ref="F135" ca="1" si="287">IF(AND($E135&lt;&gt;-1,$R134&gt;0),"F","")</f>
        <v/>
      </c>
      <c r="G135" s="216" t="str">
        <f ca="1">IF(OR(R134=0,R134=""),"vazia",IF(AND(OR(ACOMPANHAMENTO="PLE",$Q134&lt;&gt;2),$E135=0),"calculada","--&gt;"))</f>
        <v>vazia</v>
      </c>
      <c r="H135" s="217"/>
      <c r="I135" s="218" t="str">
        <f t="shared" ref="I135" ca="1" si="288">IF(AND(G134&lt;&gt;0,ISNUMBER(G134)),"PREENCHA ESTA LINHA --&gt;","")</f>
        <v/>
      </c>
      <c r="J135" s="218"/>
      <c r="K135" s="218"/>
      <c r="L135" s="219"/>
      <c r="M135" s="219"/>
      <c r="N135" s="219"/>
      <c r="O135" s="219"/>
      <c r="P135" s="219"/>
      <c r="Q135" s="219"/>
      <c r="R135" s="220"/>
      <c r="S135" s="221"/>
      <c r="T135" s="569"/>
      <c r="U135" s="568"/>
      <c r="V135" s="568"/>
      <c r="W135" s="568"/>
      <c r="X135" s="568"/>
      <c r="Y135" s="568"/>
      <c r="Z135" s="568"/>
      <c r="AA135" s="568"/>
      <c r="AB135" s="568"/>
      <c r="AC135" s="568"/>
      <c r="AD135" s="568"/>
      <c r="AE135" s="570"/>
      <c r="AF135" s="532"/>
    </row>
    <row r="136" spans="1:32" ht="0.15" hidden="1" customHeight="1" x14ac:dyDescent="0.25">
      <c r="D136" s="222">
        <f ca="1">IF($Q134=2,IF(AND(ACOMPANHAMENTO="PLE",ISNUMBER($E134)),SUMIF((OFFSET(CÁLCULO!$AM$15:$AW$15,$E134,0,OFFSET(ORÇAMENTO!$D$15,CRONO!$E134,0))),"="&amp;CRONO!D$12,OFFSET(CÁLCULO!$AB$15:$AL$15,$E134,0,OFFSET(ORÇAMENTO!$D$15,CRONO!$E134,0)))+IF(AND($E136&lt;&gt;"",$E136&lt;&gt;0),SUMIF(CÁLCULO!$AM$15:$AW$32,"="&amp;CRONO!D$12,CÁLCULO!$AB$15:$AL$32)/(ORÇAMENTO!$X$15-CÁLCULO.TotalAdmLocal)*CRONO!$E136,0),D135*$R134),SUMIF(OFFSET($R136,1,0,$Q134-2),($L134+1)&amp;"$",OFFSET(D136,1,0,$Q134-2)))</f>
        <v>0</v>
      </c>
      <c r="E136" s="203" t="str">
        <f ca="1">IF(OR($Q134&lt;&gt;2,AUTOEVENTO&lt;&gt;"manual",$E135&gt;0),"",SUMIF(OFFSET(CÁLCULO!$M$15,CRONO!$E134,0,OFFSET(ORÇAMENTO!$D$15,CRONO!$E134,0)),1,OFFSET(ORÇAMENTO!$X$15,CRONO!$E134,0,OFFSET(ORÇAMENTO!$D$15,CRONO!$E134,0))))</f>
        <v/>
      </c>
      <c r="G136" s="223"/>
      <c r="R136" s="224" t="str">
        <f t="shared" ref="R136" ca="1" si="289">L134&amp;"$"</f>
        <v>1$</v>
      </c>
      <c r="S136" s="225"/>
      <c r="T136" s="226">
        <f ca="1">IF($Q134=2,IF(AND(ACOMPANHAMENTO="PLE",ISNUMBER($E134)),SUMIF((OFFSET(CÁLCULO!$AM$15:$AW$15,$E134,0,OFFSET(ORÇAMENTO!$D$15,CRONO!$E134,0))),"&lt;="&amp;CRONO!T$12,OFFSET(CÁLCULO!$AB$15:$AL$15,$E134,0,OFFSET(ORÇAMENTO!$D$15,CRONO!$E134,0)))+IF(AND($E136&lt;&gt;"",$E136&lt;&gt;0),SUMIF(CÁLCULO!$AM$15:$AW$32,"&lt;="&amp;CRONO!T$12,CÁLCULO!$AB$15:$AL$32)/(ORÇAMENTO!$X$15-CÁLCULO.TotalAdmLocal)*CRONO!$E136,0),T135*$R134),SUMIF(OFFSET($R136,1,0,$Q134-2),($L134+1)&amp;"$",OFFSET(T136,1,0,$Q134-2)))</f>
        <v>0</v>
      </c>
      <c r="U136" s="222">
        <f ca="1">IF($Q134=2,IF(AND(ACOMPANHAMENTO="PLE",ISNUMBER($E134)),SUMIF((OFFSET(CÁLCULO!$AM$15:$AW$15,$E134,0,OFFSET(ORÇAMENTO!$D$15,CRONO!$E134,0))),"="&amp;CRONO!U$12,OFFSET(CÁLCULO!$AB$15:$AL$15,$E134,0,OFFSET(ORÇAMENTO!$D$15,CRONO!$E134,0)))+IF(AND($E136&lt;&gt;"",$E136&lt;&gt;0),SUMIF(CÁLCULO!$AM$15:$AW$32,"="&amp;CRONO!U$12,CÁLCULO!$AB$15:$AL$32)/(ORÇAMENTO!$X$15-CÁLCULO.TotalAdmLocal)*CRONO!$E136,0),U135*$R134),SUMIF(OFFSET($R136,1,0,$Q134-2),($L134+1)&amp;"$",OFFSET(U136,1,0,$Q134-2)))</f>
        <v>0</v>
      </c>
      <c r="V136" s="222">
        <f ca="1">IF($Q134=2,IF(AND(ACOMPANHAMENTO="PLE",ISNUMBER($E134)),SUMIF((OFFSET(CÁLCULO!$AM$15:$AW$15,$E134,0,OFFSET(ORÇAMENTO!$D$15,CRONO!$E134,0))),"="&amp;CRONO!V$12,OFFSET(CÁLCULO!$AB$15:$AL$15,$E134,0,OFFSET(ORÇAMENTO!$D$15,CRONO!$E134,0)))+IF(AND($E136&lt;&gt;"",$E136&lt;&gt;0),SUMIF(CÁLCULO!$AM$15:$AW$32,"="&amp;CRONO!V$12,CÁLCULO!$AB$15:$AL$32)/(ORÇAMENTO!$X$15-CÁLCULO.TotalAdmLocal)*CRONO!$E136,0),V135*$R134),SUMIF(OFFSET($R136,1,0,$Q134-2),($L134+1)&amp;"$",OFFSET(V136,1,0,$Q134-2)))</f>
        <v>0</v>
      </c>
      <c r="W136" s="222">
        <f ca="1">IF($Q134=2,IF(AND(ACOMPANHAMENTO="PLE",ISNUMBER($E134)),SUMIF((OFFSET(CÁLCULO!$AM$15:$AW$15,$E134,0,OFFSET(ORÇAMENTO!$D$15,CRONO!$E134,0))),"="&amp;CRONO!W$12,OFFSET(CÁLCULO!$AB$15:$AL$15,$E134,0,OFFSET(ORÇAMENTO!$D$15,CRONO!$E134,0)))+IF(AND($E136&lt;&gt;"",$E136&lt;&gt;0),SUMIF(CÁLCULO!$AM$15:$AW$32,"="&amp;CRONO!W$12,CÁLCULO!$AB$15:$AL$32)/(ORÇAMENTO!$X$15-CÁLCULO.TotalAdmLocal)*CRONO!$E136,0),W135*$R134),SUMIF(OFFSET($R136,1,0,$Q134-2),($L134+1)&amp;"$",OFFSET(W136,1,0,$Q134-2)))</f>
        <v>0</v>
      </c>
      <c r="X136" s="222">
        <f ca="1">IF($Q134=2,IF(AND(ACOMPANHAMENTO="PLE",ISNUMBER($E134)),SUMIF((OFFSET(CÁLCULO!$AM$15:$AW$15,$E134,0,OFFSET(ORÇAMENTO!$D$15,CRONO!$E134,0))),"="&amp;CRONO!X$12,OFFSET(CÁLCULO!$AB$15:$AL$15,$E134,0,OFFSET(ORÇAMENTO!$D$15,CRONO!$E134,0)))+IF(AND($E136&lt;&gt;"",$E136&lt;&gt;0),SUMIF(CÁLCULO!$AM$15:$AW$32,"="&amp;CRONO!X$12,CÁLCULO!$AB$15:$AL$32)/(ORÇAMENTO!$X$15-CÁLCULO.TotalAdmLocal)*CRONO!$E136,0),X135*$R134),SUMIF(OFFSET($R136,1,0,$Q134-2),($L134+1)&amp;"$",OFFSET(X136,1,0,$Q134-2)))</f>
        <v>0</v>
      </c>
      <c r="Y136" s="222">
        <f ca="1">IF($Q134=2,IF(AND(ACOMPANHAMENTO="PLE",ISNUMBER($E134)),SUMIF((OFFSET(CÁLCULO!$AM$15:$AW$15,$E134,0,OFFSET(ORÇAMENTO!$D$15,CRONO!$E134,0))),"="&amp;CRONO!Y$12,OFFSET(CÁLCULO!$AB$15:$AL$15,$E134,0,OFFSET(ORÇAMENTO!$D$15,CRONO!$E134,0)))+IF(AND($E136&lt;&gt;"",$E136&lt;&gt;0),SUMIF(CÁLCULO!$AM$15:$AW$32,"="&amp;CRONO!Y$12,CÁLCULO!$AB$15:$AL$32)/(ORÇAMENTO!$X$15-CÁLCULO.TotalAdmLocal)*CRONO!$E136,0),Y135*$R134),SUMIF(OFFSET($R136,1,0,$Q134-2),($L134+1)&amp;"$",OFFSET(Y136,1,0,$Q134-2)))</f>
        <v>0</v>
      </c>
      <c r="Z136" s="222">
        <f ca="1">IF($Q134=2,IF(AND(ACOMPANHAMENTO="PLE",ISNUMBER($E134)),SUMIF((OFFSET(CÁLCULO!$AM$15:$AW$15,$E134,0,OFFSET(ORÇAMENTO!$D$15,CRONO!$E134,0))),"="&amp;CRONO!Z$12,OFFSET(CÁLCULO!$AB$15:$AL$15,$E134,0,OFFSET(ORÇAMENTO!$D$15,CRONO!$E134,0)))+IF(AND($E136&lt;&gt;"",$E136&lt;&gt;0),SUMIF(CÁLCULO!$AM$15:$AW$32,"="&amp;CRONO!Z$12,CÁLCULO!$AB$15:$AL$32)/(ORÇAMENTO!$X$15-CÁLCULO.TotalAdmLocal)*CRONO!$E136,0),Z135*$R134),SUMIF(OFFSET($R136,1,0,$Q134-2),($L134+1)&amp;"$",OFFSET(Z136,1,0,$Q134-2)))</f>
        <v>0</v>
      </c>
      <c r="AA136" s="222">
        <f ca="1">IF($Q134=2,IF(AND(ACOMPANHAMENTO="PLE",ISNUMBER($E134)),SUMIF((OFFSET(CÁLCULO!$AM$15:$AW$15,$E134,0,OFFSET(ORÇAMENTO!$D$15,CRONO!$E134,0))),"="&amp;CRONO!AA$12,OFFSET(CÁLCULO!$AB$15:$AL$15,$E134,0,OFFSET(ORÇAMENTO!$D$15,CRONO!$E134,0)))+IF(AND($E136&lt;&gt;"",$E136&lt;&gt;0),SUMIF(CÁLCULO!$AM$15:$AW$32,"="&amp;CRONO!AA$12,CÁLCULO!$AB$15:$AL$32)/(ORÇAMENTO!$X$15-CÁLCULO.TotalAdmLocal)*CRONO!$E136,0),AA135*$R134),SUMIF(OFFSET($R136,1,0,$Q134-2),($L134+1)&amp;"$",OFFSET(AA136,1,0,$Q134-2)))</f>
        <v>0</v>
      </c>
      <c r="AB136" s="222">
        <f ca="1">IF($Q134=2,IF(AND(ACOMPANHAMENTO="PLE",ISNUMBER($E134)),SUMIF((OFFSET(CÁLCULO!$AM$15:$AW$15,$E134,0,OFFSET(ORÇAMENTO!$D$15,CRONO!$E134,0))),"="&amp;CRONO!AB$12,OFFSET(CÁLCULO!$AB$15:$AL$15,$E134,0,OFFSET(ORÇAMENTO!$D$15,CRONO!$E134,0)))+IF(AND($E136&lt;&gt;"",$E136&lt;&gt;0),SUMIF(CÁLCULO!$AM$15:$AW$32,"="&amp;CRONO!AB$12,CÁLCULO!$AB$15:$AL$32)/(ORÇAMENTO!$X$15-CÁLCULO.TotalAdmLocal)*CRONO!$E136,0),AB135*$R134),SUMIF(OFFSET($R136,1,0,$Q134-2),($L134+1)&amp;"$",OFFSET(AB136,1,0,$Q134-2)))</f>
        <v>0</v>
      </c>
      <c r="AC136" s="222">
        <f ca="1">IF($Q134=2,IF(AND(ACOMPANHAMENTO="PLE",ISNUMBER($E134)),SUMIF((OFFSET(CÁLCULO!$AM$15:$AW$15,$E134,0,OFFSET(ORÇAMENTO!$D$15,CRONO!$E134,0))),"="&amp;CRONO!AC$12,OFFSET(CÁLCULO!$AB$15:$AL$15,$E134,0,OFFSET(ORÇAMENTO!$D$15,CRONO!$E134,0)))+IF(AND($E136&lt;&gt;"",$E136&lt;&gt;0),SUMIF(CÁLCULO!$AM$15:$AW$32,"="&amp;CRONO!AC$12,CÁLCULO!$AB$15:$AL$32)/(ORÇAMENTO!$X$15-CÁLCULO.TotalAdmLocal)*CRONO!$E136,0),AC135*$R134),SUMIF(OFFSET($R136,1,0,$Q134-2),($L134+1)&amp;"$",OFFSET(AC136,1,0,$Q134-2)))</f>
        <v>0</v>
      </c>
      <c r="AD136" s="222">
        <f ca="1">IF($Q134=2,IF(AND(ACOMPANHAMENTO="PLE",ISNUMBER($E134)),SUMIF((OFFSET(CÁLCULO!$AM$15:$AW$15,$E134,0,OFFSET(ORÇAMENTO!$D$15,CRONO!$E134,0))),"="&amp;CRONO!AD$12,OFFSET(CÁLCULO!$AB$15:$AL$15,$E134,0,OFFSET(ORÇAMENTO!$D$15,CRONO!$E134,0)))+IF(AND($E136&lt;&gt;"",$E136&lt;&gt;0),SUMIF(CÁLCULO!$AM$15:$AW$32,"="&amp;CRONO!AD$12,CÁLCULO!$AB$15:$AL$32)/(ORÇAMENTO!$X$15-CÁLCULO.TotalAdmLocal)*CRONO!$E136,0),AD135*$R134),SUMIF(OFFSET($R136,1,0,$Q134-2),($L134+1)&amp;"$",OFFSET(AD136,1,0,$Q134-2)))</f>
        <v>0</v>
      </c>
      <c r="AE136" s="227">
        <f ca="1">IF($Q134=2,IF(AND(ACOMPANHAMENTO="PLE",ISNUMBER($E134)),SUMIF((OFFSET(CÁLCULO!$AM$15:$AW$15,$E134,0,OFFSET(ORÇAMENTO!$D$15,CRONO!$E134,0))),"="&amp;CRONO!AE$12,OFFSET(CÁLCULO!$AB$15:$AL$15,$E134,0,OFFSET(ORÇAMENTO!$D$15,CRONO!$E134,0)))+IF(AND($E136&lt;&gt;"",$E136&lt;&gt;0),SUMIF(CÁLCULO!$AM$15:$AW$32,"="&amp;CRONO!AE$12,CÁLCULO!$AB$15:$AL$32)/(ORÇAMENTO!$X$15-CÁLCULO.TotalAdmLocal)*CRONO!$E136,0),AE135*$R134),SUMIF(OFFSET($R136,1,0,$Q134-2),($L134+1)&amp;"$",OFFSET(AE136,1,0,$Q134-2)))</f>
        <v>0</v>
      </c>
    </row>
    <row r="137" spans="1:32" hidden="1" x14ac:dyDescent="0.25">
      <c r="A137" s="203">
        <f t="shared" ref="A137" ca="1" si="290">OFFSET(A137,-3,0)+1</f>
        <v>42</v>
      </c>
      <c r="B137" s="203">
        <f ca="1">IF($Q137&lt;&gt;2,0,IF($R137=0,1,IF(E138&gt;0,OFFSET(QCI!$M$13,SUBSTITUTE(E138,".",""),0),OFFSET(ORÇAMENTO!$AA$15,CRONO!$E137,0))/$R137))</f>
        <v>0</v>
      </c>
      <c r="C137" s="203">
        <f ca="1">IF($Q137&lt;&gt;2,0,IF($R137=0,1,IF(E138&gt;0,OFFSET(QCI!$N$13,SUBSTITUTE(E138,".",""),0),OFFSET(ORÇAMENTO!$AB$15,CRONO!$E137,0))/$R137))</f>
        <v>0</v>
      </c>
      <c r="D137" s="206" t="e">
        <f ca="1">IF(AND($Q137=2,ACOMPANHAMENTO="BM"),D138,D139/$R137)</f>
        <v>#VALUE!</v>
      </c>
      <c r="E137" s="203" t="e">
        <f ca="1">IF(A137&lt;=ORÇAMENTO.MáximoListaCrono,MATCH(A137,ORÇAMENTO.ListaCrono,0),NA())</f>
        <v>#N/A</v>
      </c>
      <c r="F137" s="203" t="str">
        <f t="shared" ref="F137" ca="1" si="291">IF(AND($E138&lt;&gt;-1,$R137&gt;0),"F","")</f>
        <v/>
      </c>
      <c r="G137" s="207" t="str">
        <f ca="1">IF(OR(R137=0,R137=""),"Linha",IF(AND(OR(ACOMPANHAMENTO="PLE",$Q137&lt;&gt;2),$E138=0),"Linha",1-SUM(T137:AF137)))</f>
        <v>Linha</v>
      </c>
      <c r="H137" s="208" t="str">
        <f ca="1">IF($E138=0,OFFSET(ORÇAMENTO!O$15,$E137,0),IF($E138&lt;&gt;-1,OFFSET(QCI!$D$13,$E138,0),""))</f>
        <v/>
      </c>
      <c r="I137" s="209" t="str">
        <f ca="1">IF($E138=0,OFFSET(ORÇAMENTO!R$15,$E137,0),IF($E138&lt;&gt;-1,OFFSET(QCI!$G$13,$E138,0),""))</f>
        <v/>
      </c>
      <c r="J137" s="209"/>
      <c r="K137" s="209"/>
      <c r="L137" s="210">
        <f ca="1">IF($E138=0,OFFSET(ORÇAMENTO!C$15,$E137,0),1)</f>
        <v>1</v>
      </c>
      <c r="M137" s="211">
        <f ca="1">IF($E138=-1,0,IF(M$13&lt;=$L137,IF(ISERROR(MATCH(M$13,OFFSET($L137,1,0,ROW($L$164)-ROW($L137)-1),0)),ROW($L$164)-ROW($L137)-1,MATCH(M$13,OFFSET($L137,1,0,ROW($L$164)-ROW($L137)-1),0)-1),0))</f>
        <v>0</v>
      </c>
      <c r="N137" s="211">
        <f ca="1">IF($E138=-1,0,IF(N$13&lt;=$L137,IF(ISERROR(MATCH(N$13,OFFSET($L137,1,0,ROW($L$164)-ROW($L137)-1),0)),ROW($L$164)-ROW($L137)-1,MATCH(N$13,OFFSET($L137,1,0,ROW($L$164)-ROW($L137)-1),0)-1),0))</f>
        <v>0</v>
      </c>
      <c r="O137" s="211">
        <f ca="1">IF($E138=-1,0,IF(O$13&lt;=$L137,IF(ISERROR(MATCH(O$13,OFFSET($L137,1,0,ROW($L$164)-ROW($L137)-1),0)),ROW($L$164)-ROW($L137)-1,MATCH(O$13,OFFSET($L137,1,0,ROW($L$164)-ROW($L137)-1),0)-1),0))</f>
        <v>0</v>
      </c>
      <c r="P137" s="211">
        <f ca="1">IF($E138=-1,0,IF(P$13&lt;=$L137,IF(ISERROR(MATCH(P$13,OFFSET($L137,1,0,ROW($L$164)-ROW($L137)-1),0)),ROW($L$164)-ROW($L137)-1,MATCH(P$13,OFFSET($L137,1,0,ROW($L$164)-ROW($L137)-1),0)-1),0))</f>
        <v>0</v>
      </c>
      <c r="Q137" s="211">
        <f t="shared" ref="Q137" ca="1" si="292">MIN(OFFSET(L137,0,1,,L137))</f>
        <v>0</v>
      </c>
      <c r="R137" s="212" t="str">
        <f ca="1">IF($E138=0,OFFSET(ORÇAMENTO!X$15,$E137,0),IF($E138&lt;&gt;-1,OFFSET(QCI!$O$13,$E138,0),""))</f>
        <v/>
      </c>
      <c r="S137" s="213" t="s">
        <v>270</v>
      </c>
      <c r="T137" s="214" t="e">
        <f t="shared" ref="T137:AE137" ca="1" si="293">IF(AND($Q137=2,ACOMPANHAMENTO="BM"),T138,T139/$R137)</f>
        <v>#VALUE!</v>
      </c>
      <c r="U137" s="206" t="e">
        <f t="shared" ca="1" si="293"/>
        <v>#VALUE!</v>
      </c>
      <c r="V137" s="206" t="e">
        <f t="shared" ca="1" si="293"/>
        <v>#VALUE!</v>
      </c>
      <c r="W137" s="206" t="e">
        <f t="shared" ca="1" si="293"/>
        <v>#VALUE!</v>
      </c>
      <c r="X137" s="206" t="e">
        <f t="shared" ca="1" si="293"/>
        <v>#VALUE!</v>
      </c>
      <c r="Y137" s="206" t="e">
        <f t="shared" ca="1" si="293"/>
        <v>#VALUE!</v>
      </c>
      <c r="Z137" s="206" t="e">
        <f t="shared" ca="1" si="293"/>
        <v>#VALUE!</v>
      </c>
      <c r="AA137" s="206" t="e">
        <f t="shared" ca="1" si="293"/>
        <v>#VALUE!</v>
      </c>
      <c r="AB137" s="206" t="e">
        <f t="shared" ca="1" si="293"/>
        <v>#VALUE!</v>
      </c>
      <c r="AC137" s="206" t="e">
        <f t="shared" ca="1" si="293"/>
        <v>#VALUE!</v>
      </c>
      <c r="AD137" s="206" t="e">
        <f t="shared" ca="1" si="293"/>
        <v>#VALUE!</v>
      </c>
      <c r="AE137" s="215" t="e">
        <f t="shared" ca="1" si="293"/>
        <v>#VALUE!</v>
      </c>
    </row>
    <row r="138" spans="1:32" ht="12.75" hidden="1" customHeight="1" x14ac:dyDescent="0.25">
      <c r="D138" s="568"/>
      <c r="E138" s="203">
        <f ca="1">IF(ISERROR(E137),IF(1+COUNTIF($L$13:OFFSET(L137,-1,0),1)&lt;=MAX(QCI!$D$13:$D$24),1+COUNTIF($L$13:OFFSET(L137,-1,0),1),-1),0)</f>
        <v>-1</v>
      </c>
      <c r="F138" s="203" t="str">
        <f t="shared" ref="F138" ca="1" si="294">IF(AND($E138&lt;&gt;-1,$R137&gt;0),"F","")</f>
        <v/>
      </c>
      <c r="G138" s="216" t="str">
        <f ca="1">IF(OR(R137=0,R137=""),"vazia",IF(AND(OR(ACOMPANHAMENTO="PLE",$Q137&lt;&gt;2),$E138=0),"calculada","--&gt;"))</f>
        <v>vazia</v>
      </c>
      <c r="H138" s="217"/>
      <c r="I138" s="218" t="str">
        <f t="shared" ref="I138" ca="1" si="295">IF(AND(G137&lt;&gt;0,ISNUMBER(G137)),"PREENCHA ESTA LINHA --&gt;","")</f>
        <v/>
      </c>
      <c r="J138" s="218"/>
      <c r="K138" s="218"/>
      <c r="L138" s="219"/>
      <c r="M138" s="219"/>
      <c r="N138" s="219"/>
      <c r="O138" s="219"/>
      <c r="P138" s="219"/>
      <c r="Q138" s="219"/>
      <c r="R138" s="220"/>
      <c r="S138" s="221"/>
      <c r="T138" s="569"/>
      <c r="U138" s="568"/>
      <c r="V138" s="568"/>
      <c r="W138" s="568"/>
      <c r="X138" s="568"/>
      <c r="Y138" s="568"/>
      <c r="Z138" s="568"/>
      <c r="AA138" s="568"/>
      <c r="AB138" s="568"/>
      <c r="AC138" s="568"/>
      <c r="AD138" s="568"/>
      <c r="AE138" s="570"/>
      <c r="AF138" s="532"/>
    </row>
    <row r="139" spans="1:32" ht="0.15" hidden="1" customHeight="1" x14ac:dyDescent="0.25">
      <c r="D139" s="222">
        <f ca="1">IF($Q137=2,IF(AND(ACOMPANHAMENTO="PLE",ISNUMBER($E137)),SUMIF((OFFSET(CÁLCULO!$AM$15:$AW$15,$E137,0,OFFSET(ORÇAMENTO!$D$15,CRONO!$E137,0))),"="&amp;CRONO!D$12,OFFSET(CÁLCULO!$AB$15:$AL$15,$E137,0,OFFSET(ORÇAMENTO!$D$15,CRONO!$E137,0)))+IF(AND($E139&lt;&gt;"",$E139&lt;&gt;0),SUMIF(CÁLCULO!$AM$15:$AW$32,"="&amp;CRONO!D$12,CÁLCULO!$AB$15:$AL$32)/(ORÇAMENTO!$X$15-CÁLCULO.TotalAdmLocal)*CRONO!$E139,0),D138*$R137),SUMIF(OFFSET($R139,1,0,$Q137-2),($L137+1)&amp;"$",OFFSET(D139,1,0,$Q137-2)))</f>
        <v>0</v>
      </c>
      <c r="E139" s="203" t="str">
        <f ca="1">IF(OR($Q137&lt;&gt;2,AUTOEVENTO&lt;&gt;"manual",$E138&gt;0),"",SUMIF(OFFSET(CÁLCULO!$M$15,CRONO!$E137,0,OFFSET(ORÇAMENTO!$D$15,CRONO!$E137,0)),1,OFFSET(ORÇAMENTO!$X$15,CRONO!$E137,0,OFFSET(ORÇAMENTO!$D$15,CRONO!$E137,0))))</f>
        <v/>
      </c>
      <c r="G139" s="223"/>
      <c r="R139" s="224" t="str">
        <f t="shared" ref="R139" ca="1" si="296">L137&amp;"$"</f>
        <v>1$</v>
      </c>
      <c r="S139" s="225"/>
      <c r="T139" s="226">
        <f ca="1">IF($Q137=2,IF(AND(ACOMPANHAMENTO="PLE",ISNUMBER($E137)),SUMIF((OFFSET(CÁLCULO!$AM$15:$AW$15,$E137,0,OFFSET(ORÇAMENTO!$D$15,CRONO!$E137,0))),"&lt;="&amp;CRONO!T$12,OFFSET(CÁLCULO!$AB$15:$AL$15,$E137,0,OFFSET(ORÇAMENTO!$D$15,CRONO!$E137,0)))+IF(AND($E139&lt;&gt;"",$E139&lt;&gt;0),SUMIF(CÁLCULO!$AM$15:$AW$32,"&lt;="&amp;CRONO!T$12,CÁLCULO!$AB$15:$AL$32)/(ORÇAMENTO!$X$15-CÁLCULO.TotalAdmLocal)*CRONO!$E139,0),T138*$R137),SUMIF(OFFSET($R139,1,0,$Q137-2),($L137+1)&amp;"$",OFFSET(T139,1,0,$Q137-2)))</f>
        <v>0</v>
      </c>
      <c r="U139" s="222">
        <f ca="1">IF($Q137=2,IF(AND(ACOMPANHAMENTO="PLE",ISNUMBER($E137)),SUMIF((OFFSET(CÁLCULO!$AM$15:$AW$15,$E137,0,OFFSET(ORÇAMENTO!$D$15,CRONO!$E137,0))),"="&amp;CRONO!U$12,OFFSET(CÁLCULO!$AB$15:$AL$15,$E137,0,OFFSET(ORÇAMENTO!$D$15,CRONO!$E137,0)))+IF(AND($E139&lt;&gt;"",$E139&lt;&gt;0),SUMIF(CÁLCULO!$AM$15:$AW$32,"="&amp;CRONO!U$12,CÁLCULO!$AB$15:$AL$32)/(ORÇAMENTO!$X$15-CÁLCULO.TotalAdmLocal)*CRONO!$E139,0),U138*$R137),SUMIF(OFFSET($R139,1,0,$Q137-2),($L137+1)&amp;"$",OFFSET(U139,1,0,$Q137-2)))</f>
        <v>0</v>
      </c>
      <c r="V139" s="222">
        <f ca="1">IF($Q137=2,IF(AND(ACOMPANHAMENTO="PLE",ISNUMBER($E137)),SUMIF((OFFSET(CÁLCULO!$AM$15:$AW$15,$E137,0,OFFSET(ORÇAMENTO!$D$15,CRONO!$E137,0))),"="&amp;CRONO!V$12,OFFSET(CÁLCULO!$AB$15:$AL$15,$E137,0,OFFSET(ORÇAMENTO!$D$15,CRONO!$E137,0)))+IF(AND($E139&lt;&gt;"",$E139&lt;&gt;0),SUMIF(CÁLCULO!$AM$15:$AW$32,"="&amp;CRONO!V$12,CÁLCULO!$AB$15:$AL$32)/(ORÇAMENTO!$X$15-CÁLCULO.TotalAdmLocal)*CRONO!$E139,0),V138*$R137),SUMIF(OFFSET($R139,1,0,$Q137-2),($L137+1)&amp;"$",OFFSET(V139,1,0,$Q137-2)))</f>
        <v>0</v>
      </c>
      <c r="W139" s="222">
        <f ca="1">IF($Q137=2,IF(AND(ACOMPANHAMENTO="PLE",ISNUMBER($E137)),SUMIF((OFFSET(CÁLCULO!$AM$15:$AW$15,$E137,0,OFFSET(ORÇAMENTO!$D$15,CRONO!$E137,0))),"="&amp;CRONO!W$12,OFFSET(CÁLCULO!$AB$15:$AL$15,$E137,0,OFFSET(ORÇAMENTO!$D$15,CRONO!$E137,0)))+IF(AND($E139&lt;&gt;"",$E139&lt;&gt;0),SUMIF(CÁLCULO!$AM$15:$AW$32,"="&amp;CRONO!W$12,CÁLCULO!$AB$15:$AL$32)/(ORÇAMENTO!$X$15-CÁLCULO.TotalAdmLocal)*CRONO!$E139,0),W138*$R137),SUMIF(OFFSET($R139,1,0,$Q137-2),($L137+1)&amp;"$",OFFSET(W139,1,0,$Q137-2)))</f>
        <v>0</v>
      </c>
      <c r="X139" s="222">
        <f ca="1">IF($Q137=2,IF(AND(ACOMPANHAMENTO="PLE",ISNUMBER($E137)),SUMIF((OFFSET(CÁLCULO!$AM$15:$AW$15,$E137,0,OFFSET(ORÇAMENTO!$D$15,CRONO!$E137,0))),"="&amp;CRONO!X$12,OFFSET(CÁLCULO!$AB$15:$AL$15,$E137,0,OFFSET(ORÇAMENTO!$D$15,CRONO!$E137,0)))+IF(AND($E139&lt;&gt;"",$E139&lt;&gt;0),SUMIF(CÁLCULO!$AM$15:$AW$32,"="&amp;CRONO!X$12,CÁLCULO!$AB$15:$AL$32)/(ORÇAMENTO!$X$15-CÁLCULO.TotalAdmLocal)*CRONO!$E139,0),X138*$R137),SUMIF(OFFSET($R139,1,0,$Q137-2),($L137+1)&amp;"$",OFFSET(X139,1,0,$Q137-2)))</f>
        <v>0</v>
      </c>
      <c r="Y139" s="222">
        <f ca="1">IF($Q137=2,IF(AND(ACOMPANHAMENTO="PLE",ISNUMBER($E137)),SUMIF((OFFSET(CÁLCULO!$AM$15:$AW$15,$E137,0,OFFSET(ORÇAMENTO!$D$15,CRONO!$E137,0))),"="&amp;CRONO!Y$12,OFFSET(CÁLCULO!$AB$15:$AL$15,$E137,0,OFFSET(ORÇAMENTO!$D$15,CRONO!$E137,0)))+IF(AND($E139&lt;&gt;"",$E139&lt;&gt;0),SUMIF(CÁLCULO!$AM$15:$AW$32,"="&amp;CRONO!Y$12,CÁLCULO!$AB$15:$AL$32)/(ORÇAMENTO!$X$15-CÁLCULO.TotalAdmLocal)*CRONO!$E139,0),Y138*$R137),SUMIF(OFFSET($R139,1,0,$Q137-2),($L137+1)&amp;"$",OFFSET(Y139,1,0,$Q137-2)))</f>
        <v>0</v>
      </c>
      <c r="Z139" s="222">
        <f ca="1">IF($Q137=2,IF(AND(ACOMPANHAMENTO="PLE",ISNUMBER($E137)),SUMIF((OFFSET(CÁLCULO!$AM$15:$AW$15,$E137,0,OFFSET(ORÇAMENTO!$D$15,CRONO!$E137,0))),"="&amp;CRONO!Z$12,OFFSET(CÁLCULO!$AB$15:$AL$15,$E137,0,OFFSET(ORÇAMENTO!$D$15,CRONO!$E137,0)))+IF(AND($E139&lt;&gt;"",$E139&lt;&gt;0),SUMIF(CÁLCULO!$AM$15:$AW$32,"="&amp;CRONO!Z$12,CÁLCULO!$AB$15:$AL$32)/(ORÇAMENTO!$X$15-CÁLCULO.TotalAdmLocal)*CRONO!$E139,0),Z138*$R137),SUMIF(OFFSET($R139,1,0,$Q137-2),($L137+1)&amp;"$",OFFSET(Z139,1,0,$Q137-2)))</f>
        <v>0</v>
      </c>
      <c r="AA139" s="222">
        <f ca="1">IF($Q137=2,IF(AND(ACOMPANHAMENTO="PLE",ISNUMBER($E137)),SUMIF((OFFSET(CÁLCULO!$AM$15:$AW$15,$E137,0,OFFSET(ORÇAMENTO!$D$15,CRONO!$E137,0))),"="&amp;CRONO!AA$12,OFFSET(CÁLCULO!$AB$15:$AL$15,$E137,0,OFFSET(ORÇAMENTO!$D$15,CRONO!$E137,0)))+IF(AND($E139&lt;&gt;"",$E139&lt;&gt;0),SUMIF(CÁLCULO!$AM$15:$AW$32,"="&amp;CRONO!AA$12,CÁLCULO!$AB$15:$AL$32)/(ORÇAMENTO!$X$15-CÁLCULO.TotalAdmLocal)*CRONO!$E139,0),AA138*$R137),SUMIF(OFFSET($R139,1,0,$Q137-2),($L137+1)&amp;"$",OFFSET(AA139,1,0,$Q137-2)))</f>
        <v>0</v>
      </c>
      <c r="AB139" s="222">
        <f ca="1">IF($Q137=2,IF(AND(ACOMPANHAMENTO="PLE",ISNUMBER($E137)),SUMIF((OFFSET(CÁLCULO!$AM$15:$AW$15,$E137,0,OFFSET(ORÇAMENTO!$D$15,CRONO!$E137,0))),"="&amp;CRONO!AB$12,OFFSET(CÁLCULO!$AB$15:$AL$15,$E137,0,OFFSET(ORÇAMENTO!$D$15,CRONO!$E137,0)))+IF(AND($E139&lt;&gt;"",$E139&lt;&gt;0),SUMIF(CÁLCULO!$AM$15:$AW$32,"="&amp;CRONO!AB$12,CÁLCULO!$AB$15:$AL$32)/(ORÇAMENTO!$X$15-CÁLCULO.TotalAdmLocal)*CRONO!$E139,0),AB138*$R137),SUMIF(OFFSET($R139,1,0,$Q137-2),($L137+1)&amp;"$",OFFSET(AB139,1,0,$Q137-2)))</f>
        <v>0</v>
      </c>
      <c r="AC139" s="222">
        <f ca="1">IF($Q137=2,IF(AND(ACOMPANHAMENTO="PLE",ISNUMBER($E137)),SUMIF((OFFSET(CÁLCULO!$AM$15:$AW$15,$E137,0,OFFSET(ORÇAMENTO!$D$15,CRONO!$E137,0))),"="&amp;CRONO!AC$12,OFFSET(CÁLCULO!$AB$15:$AL$15,$E137,0,OFFSET(ORÇAMENTO!$D$15,CRONO!$E137,0)))+IF(AND($E139&lt;&gt;"",$E139&lt;&gt;0),SUMIF(CÁLCULO!$AM$15:$AW$32,"="&amp;CRONO!AC$12,CÁLCULO!$AB$15:$AL$32)/(ORÇAMENTO!$X$15-CÁLCULO.TotalAdmLocal)*CRONO!$E139,0),AC138*$R137),SUMIF(OFFSET($R139,1,0,$Q137-2),($L137+1)&amp;"$",OFFSET(AC139,1,0,$Q137-2)))</f>
        <v>0</v>
      </c>
      <c r="AD139" s="222">
        <f ca="1">IF($Q137=2,IF(AND(ACOMPANHAMENTO="PLE",ISNUMBER($E137)),SUMIF((OFFSET(CÁLCULO!$AM$15:$AW$15,$E137,0,OFFSET(ORÇAMENTO!$D$15,CRONO!$E137,0))),"="&amp;CRONO!AD$12,OFFSET(CÁLCULO!$AB$15:$AL$15,$E137,0,OFFSET(ORÇAMENTO!$D$15,CRONO!$E137,0)))+IF(AND($E139&lt;&gt;"",$E139&lt;&gt;0),SUMIF(CÁLCULO!$AM$15:$AW$32,"="&amp;CRONO!AD$12,CÁLCULO!$AB$15:$AL$32)/(ORÇAMENTO!$X$15-CÁLCULO.TotalAdmLocal)*CRONO!$E139,0),AD138*$R137),SUMIF(OFFSET($R139,1,0,$Q137-2),($L137+1)&amp;"$",OFFSET(AD139,1,0,$Q137-2)))</f>
        <v>0</v>
      </c>
      <c r="AE139" s="227">
        <f ca="1">IF($Q137=2,IF(AND(ACOMPANHAMENTO="PLE",ISNUMBER($E137)),SUMIF((OFFSET(CÁLCULO!$AM$15:$AW$15,$E137,0,OFFSET(ORÇAMENTO!$D$15,CRONO!$E137,0))),"="&amp;CRONO!AE$12,OFFSET(CÁLCULO!$AB$15:$AL$15,$E137,0,OFFSET(ORÇAMENTO!$D$15,CRONO!$E137,0)))+IF(AND($E139&lt;&gt;"",$E139&lt;&gt;0),SUMIF(CÁLCULO!$AM$15:$AW$32,"="&amp;CRONO!AE$12,CÁLCULO!$AB$15:$AL$32)/(ORÇAMENTO!$X$15-CÁLCULO.TotalAdmLocal)*CRONO!$E139,0),AE138*$R137),SUMIF(OFFSET($R139,1,0,$Q137-2),($L137+1)&amp;"$",OFFSET(AE139,1,0,$Q137-2)))</f>
        <v>0</v>
      </c>
    </row>
    <row r="140" spans="1:32" hidden="1" x14ac:dyDescent="0.25">
      <c r="A140" s="203">
        <f t="shared" ref="A140" ca="1" si="297">OFFSET(A140,-3,0)+1</f>
        <v>43</v>
      </c>
      <c r="B140" s="203">
        <f ca="1">IF($Q140&lt;&gt;2,0,IF($R140=0,1,IF(E141&gt;0,OFFSET(QCI!$M$13,SUBSTITUTE(E141,".",""),0),OFFSET(ORÇAMENTO!$AA$15,CRONO!$E140,0))/$R140))</f>
        <v>0</v>
      </c>
      <c r="C140" s="203">
        <f ca="1">IF($Q140&lt;&gt;2,0,IF($R140=0,1,IF(E141&gt;0,OFFSET(QCI!$N$13,SUBSTITUTE(E141,".",""),0),OFFSET(ORÇAMENTO!$AB$15,CRONO!$E140,0))/$R140))</f>
        <v>0</v>
      </c>
      <c r="D140" s="206" t="e">
        <f ca="1">IF(AND($Q140=2,ACOMPANHAMENTO="BM"),D141,D142/$R140)</f>
        <v>#VALUE!</v>
      </c>
      <c r="E140" s="203" t="e">
        <f ca="1">IF(A140&lt;=ORÇAMENTO.MáximoListaCrono,MATCH(A140,ORÇAMENTO.ListaCrono,0),NA())</f>
        <v>#N/A</v>
      </c>
      <c r="F140" s="203" t="str">
        <f t="shared" ref="F140" ca="1" si="298">IF(AND($E141&lt;&gt;-1,$R140&gt;0),"F","")</f>
        <v/>
      </c>
      <c r="G140" s="207" t="str">
        <f ca="1">IF(OR(R140=0,R140=""),"Linha",IF(AND(OR(ACOMPANHAMENTO="PLE",$Q140&lt;&gt;2),$E141=0),"Linha",1-SUM(T140:AF140)))</f>
        <v>Linha</v>
      </c>
      <c r="H140" s="208" t="str">
        <f ca="1">IF($E141=0,OFFSET(ORÇAMENTO!O$15,$E140,0),IF($E141&lt;&gt;-1,OFFSET(QCI!$D$13,$E141,0),""))</f>
        <v/>
      </c>
      <c r="I140" s="209" t="str">
        <f ca="1">IF($E141=0,OFFSET(ORÇAMENTO!R$15,$E140,0),IF($E141&lt;&gt;-1,OFFSET(QCI!$G$13,$E141,0),""))</f>
        <v/>
      </c>
      <c r="J140" s="209"/>
      <c r="K140" s="209"/>
      <c r="L140" s="210">
        <f ca="1">IF($E141=0,OFFSET(ORÇAMENTO!C$15,$E140,0),1)</f>
        <v>1</v>
      </c>
      <c r="M140" s="211">
        <f ca="1">IF($E141=-1,0,IF(M$13&lt;=$L140,IF(ISERROR(MATCH(M$13,OFFSET($L140,1,0,ROW($L$164)-ROW($L140)-1),0)),ROW($L$164)-ROW($L140)-1,MATCH(M$13,OFFSET($L140,1,0,ROW($L$164)-ROW($L140)-1),0)-1),0))</f>
        <v>0</v>
      </c>
      <c r="N140" s="211">
        <f ca="1">IF($E141=-1,0,IF(N$13&lt;=$L140,IF(ISERROR(MATCH(N$13,OFFSET($L140,1,0,ROW($L$164)-ROW($L140)-1),0)),ROW($L$164)-ROW($L140)-1,MATCH(N$13,OFFSET($L140,1,0,ROW($L$164)-ROW($L140)-1),0)-1),0))</f>
        <v>0</v>
      </c>
      <c r="O140" s="211">
        <f ca="1">IF($E141=-1,0,IF(O$13&lt;=$L140,IF(ISERROR(MATCH(O$13,OFFSET($L140,1,0,ROW($L$164)-ROW($L140)-1),0)),ROW($L$164)-ROW($L140)-1,MATCH(O$13,OFFSET($L140,1,0,ROW($L$164)-ROW($L140)-1),0)-1),0))</f>
        <v>0</v>
      </c>
      <c r="P140" s="211">
        <f ca="1">IF($E141=-1,0,IF(P$13&lt;=$L140,IF(ISERROR(MATCH(P$13,OFFSET($L140,1,0,ROW($L$164)-ROW($L140)-1),0)),ROW($L$164)-ROW($L140)-1,MATCH(P$13,OFFSET($L140,1,0,ROW($L$164)-ROW($L140)-1),0)-1),0))</f>
        <v>0</v>
      </c>
      <c r="Q140" s="211">
        <f t="shared" ref="Q140" ca="1" si="299">MIN(OFFSET(L140,0,1,,L140))</f>
        <v>0</v>
      </c>
      <c r="R140" s="212" t="str">
        <f ca="1">IF($E141=0,OFFSET(ORÇAMENTO!X$15,$E140,0),IF($E141&lt;&gt;-1,OFFSET(QCI!$O$13,$E141,0),""))</f>
        <v/>
      </c>
      <c r="S140" s="213" t="s">
        <v>270</v>
      </c>
      <c r="T140" s="214" t="e">
        <f t="shared" ref="T140:AE140" ca="1" si="300">IF(AND($Q140=2,ACOMPANHAMENTO="BM"),T141,T142/$R140)</f>
        <v>#VALUE!</v>
      </c>
      <c r="U140" s="206" t="e">
        <f t="shared" ca="1" si="300"/>
        <v>#VALUE!</v>
      </c>
      <c r="V140" s="206" t="e">
        <f t="shared" ca="1" si="300"/>
        <v>#VALUE!</v>
      </c>
      <c r="W140" s="206" t="e">
        <f t="shared" ca="1" si="300"/>
        <v>#VALUE!</v>
      </c>
      <c r="X140" s="206" t="e">
        <f t="shared" ca="1" si="300"/>
        <v>#VALUE!</v>
      </c>
      <c r="Y140" s="206" t="e">
        <f t="shared" ca="1" si="300"/>
        <v>#VALUE!</v>
      </c>
      <c r="Z140" s="206" t="e">
        <f t="shared" ca="1" si="300"/>
        <v>#VALUE!</v>
      </c>
      <c r="AA140" s="206" t="e">
        <f t="shared" ca="1" si="300"/>
        <v>#VALUE!</v>
      </c>
      <c r="AB140" s="206" t="e">
        <f t="shared" ca="1" si="300"/>
        <v>#VALUE!</v>
      </c>
      <c r="AC140" s="206" t="e">
        <f t="shared" ca="1" si="300"/>
        <v>#VALUE!</v>
      </c>
      <c r="AD140" s="206" t="e">
        <f t="shared" ca="1" si="300"/>
        <v>#VALUE!</v>
      </c>
      <c r="AE140" s="215" t="e">
        <f t="shared" ca="1" si="300"/>
        <v>#VALUE!</v>
      </c>
    </row>
    <row r="141" spans="1:32" ht="12.75" hidden="1" customHeight="1" x14ac:dyDescent="0.25">
      <c r="D141" s="568"/>
      <c r="E141" s="203">
        <f ca="1">IF(ISERROR(E140),IF(1+COUNTIF($L$13:OFFSET(L140,-1,0),1)&lt;=MAX(QCI!$D$13:$D$24),1+COUNTIF($L$13:OFFSET(L140,-1,0),1),-1),0)</f>
        <v>-1</v>
      </c>
      <c r="F141" s="203" t="str">
        <f t="shared" ref="F141" ca="1" si="301">IF(AND($E141&lt;&gt;-1,$R140&gt;0),"F","")</f>
        <v/>
      </c>
      <c r="G141" s="216" t="str">
        <f ca="1">IF(OR(R140=0,R140=""),"vazia",IF(AND(OR(ACOMPANHAMENTO="PLE",$Q140&lt;&gt;2),$E141=0),"calculada","--&gt;"))</f>
        <v>vazia</v>
      </c>
      <c r="H141" s="217"/>
      <c r="I141" s="218" t="str">
        <f t="shared" ref="I141" ca="1" si="302">IF(AND(G140&lt;&gt;0,ISNUMBER(G140)),"PREENCHA ESTA LINHA --&gt;","")</f>
        <v/>
      </c>
      <c r="J141" s="218"/>
      <c r="K141" s="218"/>
      <c r="L141" s="219"/>
      <c r="M141" s="219"/>
      <c r="N141" s="219"/>
      <c r="O141" s="219"/>
      <c r="P141" s="219"/>
      <c r="Q141" s="219"/>
      <c r="R141" s="220"/>
      <c r="S141" s="221"/>
      <c r="T141" s="569"/>
      <c r="U141" s="568"/>
      <c r="V141" s="568"/>
      <c r="W141" s="568"/>
      <c r="X141" s="568"/>
      <c r="Y141" s="568"/>
      <c r="Z141" s="568"/>
      <c r="AA141" s="568"/>
      <c r="AB141" s="568"/>
      <c r="AC141" s="568"/>
      <c r="AD141" s="568"/>
      <c r="AE141" s="570"/>
      <c r="AF141" s="532"/>
    </row>
    <row r="142" spans="1:32" ht="0.15" hidden="1" customHeight="1" x14ac:dyDescent="0.25">
      <c r="D142" s="222">
        <f ca="1">IF($Q140=2,IF(AND(ACOMPANHAMENTO="PLE",ISNUMBER($E140)),SUMIF((OFFSET(CÁLCULO!$AM$15:$AW$15,$E140,0,OFFSET(ORÇAMENTO!$D$15,CRONO!$E140,0))),"="&amp;CRONO!D$12,OFFSET(CÁLCULO!$AB$15:$AL$15,$E140,0,OFFSET(ORÇAMENTO!$D$15,CRONO!$E140,0)))+IF(AND($E142&lt;&gt;"",$E142&lt;&gt;0),SUMIF(CÁLCULO!$AM$15:$AW$32,"="&amp;CRONO!D$12,CÁLCULO!$AB$15:$AL$32)/(ORÇAMENTO!$X$15-CÁLCULO.TotalAdmLocal)*CRONO!$E142,0),D141*$R140),SUMIF(OFFSET($R142,1,0,$Q140-2),($L140+1)&amp;"$",OFFSET(D142,1,0,$Q140-2)))</f>
        <v>0</v>
      </c>
      <c r="E142" s="203" t="str">
        <f ca="1">IF(OR($Q140&lt;&gt;2,AUTOEVENTO&lt;&gt;"manual",$E141&gt;0),"",SUMIF(OFFSET(CÁLCULO!$M$15,CRONO!$E140,0,OFFSET(ORÇAMENTO!$D$15,CRONO!$E140,0)),1,OFFSET(ORÇAMENTO!$X$15,CRONO!$E140,0,OFFSET(ORÇAMENTO!$D$15,CRONO!$E140,0))))</f>
        <v/>
      </c>
      <c r="G142" s="223"/>
      <c r="R142" s="224" t="str">
        <f t="shared" ref="R142" ca="1" si="303">L140&amp;"$"</f>
        <v>1$</v>
      </c>
      <c r="S142" s="225"/>
      <c r="T142" s="226">
        <f ca="1">IF($Q140=2,IF(AND(ACOMPANHAMENTO="PLE",ISNUMBER($E140)),SUMIF((OFFSET(CÁLCULO!$AM$15:$AW$15,$E140,0,OFFSET(ORÇAMENTO!$D$15,CRONO!$E140,0))),"&lt;="&amp;CRONO!T$12,OFFSET(CÁLCULO!$AB$15:$AL$15,$E140,0,OFFSET(ORÇAMENTO!$D$15,CRONO!$E140,0)))+IF(AND($E142&lt;&gt;"",$E142&lt;&gt;0),SUMIF(CÁLCULO!$AM$15:$AW$32,"&lt;="&amp;CRONO!T$12,CÁLCULO!$AB$15:$AL$32)/(ORÇAMENTO!$X$15-CÁLCULO.TotalAdmLocal)*CRONO!$E142,0),T141*$R140),SUMIF(OFFSET($R142,1,0,$Q140-2),($L140+1)&amp;"$",OFFSET(T142,1,0,$Q140-2)))</f>
        <v>0</v>
      </c>
      <c r="U142" s="222">
        <f ca="1">IF($Q140=2,IF(AND(ACOMPANHAMENTO="PLE",ISNUMBER($E140)),SUMIF((OFFSET(CÁLCULO!$AM$15:$AW$15,$E140,0,OFFSET(ORÇAMENTO!$D$15,CRONO!$E140,0))),"="&amp;CRONO!U$12,OFFSET(CÁLCULO!$AB$15:$AL$15,$E140,0,OFFSET(ORÇAMENTO!$D$15,CRONO!$E140,0)))+IF(AND($E142&lt;&gt;"",$E142&lt;&gt;0),SUMIF(CÁLCULO!$AM$15:$AW$32,"="&amp;CRONO!U$12,CÁLCULO!$AB$15:$AL$32)/(ORÇAMENTO!$X$15-CÁLCULO.TotalAdmLocal)*CRONO!$E142,0),U141*$R140),SUMIF(OFFSET($R142,1,0,$Q140-2),($L140+1)&amp;"$",OFFSET(U142,1,0,$Q140-2)))</f>
        <v>0</v>
      </c>
      <c r="V142" s="222">
        <f ca="1">IF($Q140=2,IF(AND(ACOMPANHAMENTO="PLE",ISNUMBER($E140)),SUMIF((OFFSET(CÁLCULO!$AM$15:$AW$15,$E140,0,OFFSET(ORÇAMENTO!$D$15,CRONO!$E140,0))),"="&amp;CRONO!V$12,OFFSET(CÁLCULO!$AB$15:$AL$15,$E140,0,OFFSET(ORÇAMENTO!$D$15,CRONO!$E140,0)))+IF(AND($E142&lt;&gt;"",$E142&lt;&gt;0),SUMIF(CÁLCULO!$AM$15:$AW$32,"="&amp;CRONO!V$12,CÁLCULO!$AB$15:$AL$32)/(ORÇAMENTO!$X$15-CÁLCULO.TotalAdmLocal)*CRONO!$E142,0),V141*$R140),SUMIF(OFFSET($R142,1,0,$Q140-2),($L140+1)&amp;"$",OFFSET(V142,1,0,$Q140-2)))</f>
        <v>0</v>
      </c>
      <c r="W142" s="222">
        <f ca="1">IF($Q140=2,IF(AND(ACOMPANHAMENTO="PLE",ISNUMBER($E140)),SUMIF((OFFSET(CÁLCULO!$AM$15:$AW$15,$E140,0,OFFSET(ORÇAMENTO!$D$15,CRONO!$E140,0))),"="&amp;CRONO!W$12,OFFSET(CÁLCULO!$AB$15:$AL$15,$E140,0,OFFSET(ORÇAMENTO!$D$15,CRONO!$E140,0)))+IF(AND($E142&lt;&gt;"",$E142&lt;&gt;0),SUMIF(CÁLCULO!$AM$15:$AW$32,"="&amp;CRONO!W$12,CÁLCULO!$AB$15:$AL$32)/(ORÇAMENTO!$X$15-CÁLCULO.TotalAdmLocal)*CRONO!$E142,0),W141*$R140),SUMIF(OFFSET($R142,1,0,$Q140-2),($L140+1)&amp;"$",OFFSET(W142,1,0,$Q140-2)))</f>
        <v>0</v>
      </c>
      <c r="X142" s="222">
        <f ca="1">IF($Q140=2,IF(AND(ACOMPANHAMENTO="PLE",ISNUMBER($E140)),SUMIF((OFFSET(CÁLCULO!$AM$15:$AW$15,$E140,0,OFFSET(ORÇAMENTO!$D$15,CRONO!$E140,0))),"="&amp;CRONO!X$12,OFFSET(CÁLCULO!$AB$15:$AL$15,$E140,0,OFFSET(ORÇAMENTO!$D$15,CRONO!$E140,0)))+IF(AND($E142&lt;&gt;"",$E142&lt;&gt;0),SUMIF(CÁLCULO!$AM$15:$AW$32,"="&amp;CRONO!X$12,CÁLCULO!$AB$15:$AL$32)/(ORÇAMENTO!$X$15-CÁLCULO.TotalAdmLocal)*CRONO!$E142,0),X141*$R140),SUMIF(OFFSET($R142,1,0,$Q140-2),($L140+1)&amp;"$",OFFSET(X142,1,0,$Q140-2)))</f>
        <v>0</v>
      </c>
      <c r="Y142" s="222">
        <f ca="1">IF($Q140=2,IF(AND(ACOMPANHAMENTO="PLE",ISNUMBER($E140)),SUMIF((OFFSET(CÁLCULO!$AM$15:$AW$15,$E140,0,OFFSET(ORÇAMENTO!$D$15,CRONO!$E140,0))),"="&amp;CRONO!Y$12,OFFSET(CÁLCULO!$AB$15:$AL$15,$E140,0,OFFSET(ORÇAMENTO!$D$15,CRONO!$E140,0)))+IF(AND($E142&lt;&gt;"",$E142&lt;&gt;0),SUMIF(CÁLCULO!$AM$15:$AW$32,"="&amp;CRONO!Y$12,CÁLCULO!$AB$15:$AL$32)/(ORÇAMENTO!$X$15-CÁLCULO.TotalAdmLocal)*CRONO!$E142,0),Y141*$R140),SUMIF(OFFSET($R142,1,0,$Q140-2),($L140+1)&amp;"$",OFFSET(Y142,1,0,$Q140-2)))</f>
        <v>0</v>
      </c>
      <c r="Z142" s="222">
        <f ca="1">IF($Q140=2,IF(AND(ACOMPANHAMENTO="PLE",ISNUMBER($E140)),SUMIF((OFFSET(CÁLCULO!$AM$15:$AW$15,$E140,0,OFFSET(ORÇAMENTO!$D$15,CRONO!$E140,0))),"="&amp;CRONO!Z$12,OFFSET(CÁLCULO!$AB$15:$AL$15,$E140,0,OFFSET(ORÇAMENTO!$D$15,CRONO!$E140,0)))+IF(AND($E142&lt;&gt;"",$E142&lt;&gt;0),SUMIF(CÁLCULO!$AM$15:$AW$32,"="&amp;CRONO!Z$12,CÁLCULO!$AB$15:$AL$32)/(ORÇAMENTO!$X$15-CÁLCULO.TotalAdmLocal)*CRONO!$E142,0),Z141*$R140),SUMIF(OFFSET($R142,1,0,$Q140-2),($L140+1)&amp;"$",OFFSET(Z142,1,0,$Q140-2)))</f>
        <v>0</v>
      </c>
      <c r="AA142" s="222">
        <f ca="1">IF($Q140=2,IF(AND(ACOMPANHAMENTO="PLE",ISNUMBER($E140)),SUMIF((OFFSET(CÁLCULO!$AM$15:$AW$15,$E140,0,OFFSET(ORÇAMENTO!$D$15,CRONO!$E140,0))),"="&amp;CRONO!AA$12,OFFSET(CÁLCULO!$AB$15:$AL$15,$E140,0,OFFSET(ORÇAMENTO!$D$15,CRONO!$E140,0)))+IF(AND($E142&lt;&gt;"",$E142&lt;&gt;0),SUMIF(CÁLCULO!$AM$15:$AW$32,"="&amp;CRONO!AA$12,CÁLCULO!$AB$15:$AL$32)/(ORÇAMENTO!$X$15-CÁLCULO.TotalAdmLocal)*CRONO!$E142,0),AA141*$R140),SUMIF(OFFSET($R142,1,0,$Q140-2),($L140+1)&amp;"$",OFFSET(AA142,1,0,$Q140-2)))</f>
        <v>0</v>
      </c>
      <c r="AB142" s="222">
        <f ca="1">IF($Q140=2,IF(AND(ACOMPANHAMENTO="PLE",ISNUMBER($E140)),SUMIF((OFFSET(CÁLCULO!$AM$15:$AW$15,$E140,0,OFFSET(ORÇAMENTO!$D$15,CRONO!$E140,0))),"="&amp;CRONO!AB$12,OFFSET(CÁLCULO!$AB$15:$AL$15,$E140,0,OFFSET(ORÇAMENTO!$D$15,CRONO!$E140,0)))+IF(AND($E142&lt;&gt;"",$E142&lt;&gt;0),SUMIF(CÁLCULO!$AM$15:$AW$32,"="&amp;CRONO!AB$12,CÁLCULO!$AB$15:$AL$32)/(ORÇAMENTO!$X$15-CÁLCULO.TotalAdmLocal)*CRONO!$E142,0),AB141*$R140),SUMIF(OFFSET($R142,1,0,$Q140-2),($L140+1)&amp;"$",OFFSET(AB142,1,0,$Q140-2)))</f>
        <v>0</v>
      </c>
      <c r="AC142" s="222">
        <f ca="1">IF($Q140=2,IF(AND(ACOMPANHAMENTO="PLE",ISNUMBER($E140)),SUMIF((OFFSET(CÁLCULO!$AM$15:$AW$15,$E140,0,OFFSET(ORÇAMENTO!$D$15,CRONO!$E140,0))),"="&amp;CRONO!AC$12,OFFSET(CÁLCULO!$AB$15:$AL$15,$E140,0,OFFSET(ORÇAMENTO!$D$15,CRONO!$E140,0)))+IF(AND($E142&lt;&gt;"",$E142&lt;&gt;0),SUMIF(CÁLCULO!$AM$15:$AW$32,"="&amp;CRONO!AC$12,CÁLCULO!$AB$15:$AL$32)/(ORÇAMENTO!$X$15-CÁLCULO.TotalAdmLocal)*CRONO!$E142,0),AC141*$R140),SUMIF(OFFSET($R142,1,0,$Q140-2),($L140+1)&amp;"$",OFFSET(AC142,1,0,$Q140-2)))</f>
        <v>0</v>
      </c>
      <c r="AD142" s="222">
        <f ca="1">IF($Q140=2,IF(AND(ACOMPANHAMENTO="PLE",ISNUMBER($E140)),SUMIF((OFFSET(CÁLCULO!$AM$15:$AW$15,$E140,0,OFFSET(ORÇAMENTO!$D$15,CRONO!$E140,0))),"="&amp;CRONO!AD$12,OFFSET(CÁLCULO!$AB$15:$AL$15,$E140,0,OFFSET(ORÇAMENTO!$D$15,CRONO!$E140,0)))+IF(AND($E142&lt;&gt;"",$E142&lt;&gt;0),SUMIF(CÁLCULO!$AM$15:$AW$32,"="&amp;CRONO!AD$12,CÁLCULO!$AB$15:$AL$32)/(ORÇAMENTO!$X$15-CÁLCULO.TotalAdmLocal)*CRONO!$E142,0),AD141*$R140),SUMIF(OFFSET($R142,1,0,$Q140-2),($L140+1)&amp;"$",OFFSET(AD142,1,0,$Q140-2)))</f>
        <v>0</v>
      </c>
      <c r="AE142" s="227">
        <f ca="1">IF($Q140=2,IF(AND(ACOMPANHAMENTO="PLE",ISNUMBER($E140)),SUMIF((OFFSET(CÁLCULO!$AM$15:$AW$15,$E140,0,OFFSET(ORÇAMENTO!$D$15,CRONO!$E140,0))),"="&amp;CRONO!AE$12,OFFSET(CÁLCULO!$AB$15:$AL$15,$E140,0,OFFSET(ORÇAMENTO!$D$15,CRONO!$E140,0)))+IF(AND($E142&lt;&gt;"",$E142&lt;&gt;0),SUMIF(CÁLCULO!$AM$15:$AW$32,"="&amp;CRONO!AE$12,CÁLCULO!$AB$15:$AL$32)/(ORÇAMENTO!$X$15-CÁLCULO.TotalAdmLocal)*CRONO!$E142,0),AE141*$R140),SUMIF(OFFSET($R142,1,0,$Q140-2),($L140+1)&amp;"$",OFFSET(AE142,1,0,$Q140-2)))</f>
        <v>0</v>
      </c>
    </row>
    <row r="143" spans="1:32" hidden="1" x14ac:dyDescent="0.25">
      <c r="A143" s="203">
        <f t="shared" ref="A143" ca="1" si="304">OFFSET(A143,-3,0)+1</f>
        <v>44</v>
      </c>
      <c r="B143" s="203">
        <f ca="1">IF($Q143&lt;&gt;2,0,IF($R143=0,1,IF(E144&gt;0,OFFSET(QCI!$M$13,SUBSTITUTE(E144,".",""),0),OFFSET(ORÇAMENTO!$AA$15,CRONO!$E143,0))/$R143))</f>
        <v>0</v>
      </c>
      <c r="C143" s="203">
        <f ca="1">IF($Q143&lt;&gt;2,0,IF($R143=0,1,IF(E144&gt;0,OFFSET(QCI!$N$13,SUBSTITUTE(E144,".",""),0),OFFSET(ORÇAMENTO!$AB$15,CRONO!$E143,0))/$R143))</f>
        <v>0</v>
      </c>
      <c r="D143" s="206" t="e">
        <f ca="1">IF(AND($Q143=2,ACOMPANHAMENTO="BM"),D144,D145/$R143)</f>
        <v>#VALUE!</v>
      </c>
      <c r="E143" s="203" t="e">
        <f ca="1">IF(A143&lt;=ORÇAMENTO.MáximoListaCrono,MATCH(A143,ORÇAMENTO.ListaCrono,0),NA())</f>
        <v>#N/A</v>
      </c>
      <c r="F143" s="203" t="str">
        <f t="shared" ref="F143" ca="1" si="305">IF(AND($E144&lt;&gt;-1,$R143&gt;0),"F","")</f>
        <v/>
      </c>
      <c r="G143" s="207" t="str">
        <f ca="1">IF(OR(R143=0,R143=""),"Linha",IF(AND(OR(ACOMPANHAMENTO="PLE",$Q143&lt;&gt;2),$E144=0),"Linha",1-SUM(T143:AF143)))</f>
        <v>Linha</v>
      </c>
      <c r="H143" s="208" t="str">
        <f ca="1">IF($E144=0,OFFSET(ORÇAMENTO!O$15,$E143,0),IF($E144&lt;&gt;-1,OFFSET(QCI!$D$13,$E144,0),""))</f>
        <v/>
      </c>
      <c r="I143" s="209" t="str">
        <f ca="1">IF($E144=0,OFFSET(ORÇAMENTO!R$15,$E143,0),IF($E144&lt;&gt;-1,OFFSET(QCI!$G$13,$E144,0),""))</f>
        <v/>
      </c>
      <c r="J143" s="209"/>
      <c r="K143" s="209"/>
      <c r="L143" s="210">
        <f ca="1">IF($E144=0,OFFSET(ORÇAMENTO!C$15,$E143,0),1)</f>
        <v>1</v>
      </c>
      <c r="M143" s="211">
        <f ca="1">IF($E144=-1,0,IF(M$13&lt;=$L143,IF(ISERROR(MATCH(M$13,OFFSET($L143,1,0,ROW($L$164)-ROW($L143)-1),0)),ROW($L$164)-ROW($L143)-1,MATCH(M$13,OFFSET($L143,1,0,ROW($L$164)-ROW($L143)-1),0)-1),0))</f>
        <v>0</v>
      </c>
      <c r="N143" s="211">
        <f ca="1">IF($E144=-1,0,IF(N$13&lt;=$L143,IF(ISERROR(MATCH(N$13,OFFSET($L143,1,0,ROW($L$164)-ROW($L143)-1),0)),ROW($L$164)-ROW($L143)-1,MATCH(N$13,OFFSET($L143,1,0,ROW($L$164)-ROW($L143)-1),0)-1),0))</f>
        <v>0</v>
      </c>
      <c r="O143" s="211">
        <f ca="1">IF($E144=-1,0,IF(O$13&lt;=$L143,IF(ISERROR(MATCH(O$13,OFFSET($L143,1,0,ROW($L$164)-ROW($L143)-1),0)),ROW($L$164)-ROW($L143)-1,MATCH(O$13,OFFSET($L143,1,0,ROW($L$164)-ROW($L143)-1),0)-1),0))</f>
        <v>0</v>
      </c>
      <c r="P143" s="211">
        <f ca="1">IF($E144=-1,0,IF(P$13&lt;=$L143,IF(ISERROR(MATCH(P$13,OFFSET($L143,1,0,ROW($L$164)-ROW($L143)-1),0)),ROW($L$164)-ROW($L143)-1,MATCH(P$13,OFFSET($L143,1,0,ROW($L$164)-ROW($L143)-1),0)-1),0))</f>
        <v>0</v>
      </c>
      <c r="Q143" s="211">
        <f t="shared" ref="Q143" ca="1" si="306">MIN(OFFSET(L143,0,1,,L143))</f>
        <v>0</v>
      </c>
      <c r="R143" s="212" t="str">
        <f ca="1">IF($E144=0,OFFSET(ORÇAMENTO!X$15,$E143,0),IF($E144&lt;&gt;-1,OFFSET(QCI!$O$13,$E144,0),""))</f>
        <v/>
      </c>
      <c r="S143" s="213" t="s">
        <v>270</v>
      </c>
      <c r="T143" s="214" t="e">
        <f t="shared" ref="T143:AE143" ca="1" si="307">IF(AND($Q143=2,ACOMPANHAMENTO="BM"),T144,T145/$R143)</f>
        <v>#VALUE!</v>
      </c>
      <c r="U143" s="206" t="e">
        <f t="shared" ca="1" si="307"/>
        <v>#VALUE!</v>
      </c>
      <c r="V143" s="206" t="e">
        <f t="shared" ca="1" si="307"/>
        <v>#VALUE!</v>
      </c>
      <c r="W143" s="206" t="e">
        <f t="shared" ca="1" si="307"/>
        <v>#VALUE!</v>
      </c>
      <c r="X143" s="206" t="e">
        <f t="shared" ca="1" si="307"/>
        <v>#VALUE!</v>
      </c>
      <c r="Y143" s="206" t="e">
        <f t="shared" ca="1" si="307"/>
        <v>#VALUE!</v>
      </c>
      <c r="Z143" s="206" t="e">
        <f t="shared" ca="1" si="307"/>
        <v>#VALUE!</v>
      </c>
      <c r="AA143" s="206" t="e">
        <f t="shared" ca="1" si="307"/>
        <v>#VALUE!</v>
      </c>
      <c r="AB143" s="206" t="e">
        <f t="shared" ca="1" si="307"/>
        <v>#VALUE!</v>
      </c>
      <c r="AC143" s="206" t="e">
        <f t="shared" ca="1" si="307"/>
        <v>#VALUE!</v>
      </c>
      <c r="AD143" s="206" t="e">
        <f t="shared" ca="1" si="307"/>
        <v>#VALUE!</v>
      </c>
      <c r="AE143" s="215" t="e">
        <f t="shared" ca="1" si="307"/>
        <v>#VALUE!</v>
      </c>
    </row>
    <row r="144" spans="1:32" ht="12.75" hidden="1" customHeight="1" x14ac:dyDescent="0.25">
      <c r="D144" s="568"/>
      <c r="E144" s="203">
        <f ca="1">IF(ISERROR(E143),IF(1+COUNTIF($L$13:OFFSET(L143,-1,0),1)&lt;=MAX(QCI!$D$13:$D$24),1+COUNTIF($L$13:OFFSET(L143,-1,0),1),-1),0)</f>
        <v>-1</v>
      </c>
      <c r="F144" s="203" t="str">
        <f t="shared" ref="F144" ca="1" si="308">IF(AND($E144&lt;&gt;-1,$R143&gt;0),"F","")</f>
        <v/>
      </c>
      <c r="G144" s="216" t="str">
        <f ca="1">IF(OR(R143=0,R143=""),"vazia",IF(AND(OR(ACOMPANHAMENTO="PLE",$Q143&lt;&gt;2),$E144=0),"calculada","--&gt;"))</f>
        <v>vazia</v>
      </c>
      <c r="H144" s="217"/>
      <c r="I144" s="218" t="str">
        <f t="shared" ref="I144" ca="1" si="309">IF(AND(G143&lt;&gt;0,ISNUMBER(G143)),"PREENCHA ESTA LINHA --&gt;","")</f>
        <v/>
      </c>
      <c r="J144" s="218"/>
      <c r="K144" s="218"/>
      <c r="L144" s="219"/>
      <c r="M144" s="219"/>
      <c r="N144" s="219"/>
      <c r="O144" s="219"/>
      <c r="P144" s="219"/>
      <c r="Q144" s="219"/>
      <c r="R144" s="220"/>
      <c r="S144" s="221"/>
      <c r="T144" s="569"/>
      <c r="U144" s="568"/>
      <c r="V144" s="568"/>
      <c r="W144" s="568"/>
      <c r="X144" s="568"/>
      <c r="Y144" s="568"/>
      <c r="Z144" s="568"/>
      <c r="AA144" s="568"/>
      <c r="AB144" s="568"/>
      <c r="AC144" s="568"/>
      <c r="AD144" s="568"/>
      <c r="AE144" s="570"/>
      <c r="AF144" s="532"/>
    </row>
    <row r="145" spans="1:32" ht="0.15" hidden="1" customHeight="1" x14ac:dyDescent="0.25">
      <c r="D145" s="222">
        <f ca="1">IF($Q143=2,IF(AND(ACOMPANHAMENTO="PLE",ISNUMBER($E143)),SUMIF((OFFSET(CÁLCULO!$AM$15:$AW$15,$E143,0,OFFSET(ORÇAMENTO!$D$15,CRONO!$E143,0))),"="&amp;CRONO!D$12,OFFSET(CÁLCULO!$AB$15:$AL$15,$E143,0,OFFSET(ORÇAMENTO!$D$15,CRONO!$E143,0)))+IF(AND($E145&lt;&gt;"",$E145&lt;&gt;0),SUMIF(CÁLCULO!$AM$15:$AW$32,"="&amp;CRONO!D$12,CÁLCULO!$AB$15:$AL$32)/(ORÇAMENTO!$X$15-CÁLCULO.TotalAdmLocal)*CRONO!$E145,0),D144*$R143),SUMIF(OFFSET($R145,1,0,$Q143-2),($L143+1)&amp;"$",OFFSET(D145,1,0,$Q143-2)))</f>
        <v>0</v>
      </c>
      <c r="E145" s="203" t="str">
        <f ca="1">IF(OR($Q143&lt;&gt;2,AUTOEVENTO&lt;&gt;"manual",$E144&gt;0),"",SUMIF(OFFSET(CÁLCULO!$M$15,CRONO!$E143,0,OFFSET(ORÇAMENTO!$D$15,CRONO!$E143,0)),1,OFFSET(ORÇAMENTO!$X$15,CRONO!$E143,0,OFFSET(ORÇAMENTO!$D$15,CRONO!$E143,0))))</f>
        <v/>
      </c>
      <c r="G145" s="223"/>
      <c r="R145" s="224" t="str">
        <f t="shared" ref="R145" ca="1" si="310">L143&amp;"$"</f>
        <v>1$</v>
      </c>
      <c r="S145" s="225"/>
      <c r="T145" s="226">
        <f ca="1">IF($Q143=2,IF(AND(ACOMPANHAMENTO="PLE",ISNUMBER($E143)),SUMIF((OFFSET(CÁLCULO!$AM$15:$AW$15,$E143,0,OFFSET(ORÇAMENTO!$D$15,CRONO!$E143,0))),"&lt;="&amp;CRONO!T$12,OFFSET(CÁLCULO!$AB$15:$AL$15,$E143,0,OFFSET(ORÇAMENTO!$D$15,CRONO!$E143,0)))+IF(AND($E145&lt;&gt;"",$E145&lt;&gt;0),SUMIF(CÁLCULO!$AM$15:$AW$32,"&lt;="&amp;CRONO!T$12,CÁLCULO!$AB$15:$AL$32)/(ORÇAMENTO!$X$15-CÁLCULO.TotalAdmLocal)*CRONO!$E145,0),T144*$R143),SUMIF(OFFSET($R145,1,0,$Q143-2),($L143+1)&amp;"$",OFFSET(T145,1,0,$Q143-2)))</f>
        <v>0</v>
      </c>
      <c r="U145" s="222">
        <f ca="1">IF($Q143=2,IF(AND(ACOMPANHAMENTO="PLE",ISNUMBER($E143)),SUMIF((OFFSET(CÁLCULO!$AM$15:$AW$15,$E143,0,OFFSET(ORÇAMENTO!$D$15,CRONO!$E143,0))),"="&amp;CRONO!U$12,OFFSET(CÁLCULO!$AB$15:$AL$15,$E143,0,OFFSET(ORÇAMENTO!$D$15,CRONO!$E143,0)))+IF(AND($E145&lt;&gt;"",$E145&lt;&gt;0),SUMIF(CÁLCULO!$AM$15:$AW$32,"="&amp;CRONO!U$12,CÁLCULO!$AB$15:$AL$32)/(ORÇAMENTO!$X$15-CÁLCULO.TotalAdmLocal)*CRONO!$E145,0),U144*$R143),SUMIF(OFFSET($R145,1,0,$Q143-2),($L143+1)&amp;"$",OFFSET(U145,1,0,$Q143-2)))</f>
        <v>0</v>
      </c>
      <c r="V145" s="222">
        <f ca="1">IF($Q143=2,IF(AND(ACOMPANHAMENTO="PLE",ISNUMBER($E143)),SUMIF((OFFSET(CÁLCULO!$AM$15:$AW$15,$E143,0,OFFSET(ORÇAMENTO!$D$15,CRONO!$E143,0))),"="&amp;CRONO!V$12,OFFSET(CÁLCULO!$AB$15:$AL$15,$E143,0,OFFSET(ORÇAMENTO!$D$15,CRONO!$E143,0)))+IF(AND($E145&lt;&gt;"",$E145&lt;&gt;0),SUMIF(CÁLCULO!$AM$15:$AW$32,"="&amp;CRONO!V$12,CÁLCULO!$AB$15:$AL$32)/(ORÇAMENTO!$X$15-CÁLCULO.TotalAdmLocal)*CRONO!$E145,0),V144*$R143),SUMIF(OFFSET($R145,1,0,$Q143-2),($L143+1)&amp;"$",OFFSET(V145,1,0,$Q143-2)))</f>
        <v>0</v>
      </c>
      <c r="W145" s="222">
        <f ca="1">IF($Q143=2,IF(AND(ACOMPANHAMENTO="PLE",ISNUMBER($E143)),SUMIF((OFFSET(CÁLCULO!$AM$15:$AW$15,$E143,0,OFFSET(ORÇAMENTO!$D$15,CRONO!$E143,0))),"="&amp;CRONO!W$12,OFFSET(CÁLCULO!$AB$15:$AL$15,$E143,0,OFFSET(ORÇAMENTO!$D$15,CRONO!$E143,0)))+IF(AND($E145&lt;&gt;"",$E145&lt;&gt;0),SUMIF(CÁLCULO!$AM$15:$AW$32,"="&amp;CRONO!W$12,CÁLCULO!$AB$15:$AL$32)/(ORÇAMENTO!$X$15-CÁLCULO.TotalAdmLocal)*CRONO!$E145,0),W144*$R143),SUMIF(OFFSET($R145,1,0,$Q143-2),($L143+1)&amp;"$",OFFSET(W145,1,0,$Q143-2)))</f>
        <v>0</v>
      </c>
      <c r="X145" s="222">
        <f ca="1">IF($Q143=2,IF(AND(ACOMPANHAMENTO="PLE",ISNUMBER($E143)),SUMIF((OFFSET(CÁLCULO!$AM$15:$AW$15,$E143,0,OFFSET(ORÇAMENTO!$D$15,CRONO!$E143,0))),"="&amp;CRONO!X$12,OFFSET(CÁLCULO!$AB$15:$AL$15,$E143,0,OFFSET(ORÇAMENTO!$D$15,CRONO!$E143,0)))+IF(AND($E145&lt;&gt;"",$E145&lt;&gt;0),SUMIF(CÁLCULO!$AM$15:$AW$32,"="&amp;CRONO!X$12,CÁLCULO!$AB$15:$AL$32)/(ORÇAMENTO!$X$15-CÁLCULO.TotalAdmLocal)*CRONO!$E145,0),X144*$R143),SUMIF(OFFSET($R145,1,0,$Q143-2),($L143+1)&amp;"$",OFFSET(X145,1,0,$Q143-2)))</f>
        <v>0</v>
      </c>
      <c r="Y145" s="222">
        <f ca="1">IF($Q143=2,IF(AND(ACOMPANHAMENTO="PLE",ISNUMBER($E143)),SUMIF((OFFSET(CÁLCULO!$AM$15:$AW$15,$E143,0,OFFSET(ORÇAMENTO!$D$15,CRONO!$E143,0))),"="&amp;CRONO!Y$12,OFFSET(CÁLCULO!$AB$15:$AL$15,$E143,0,OFFSET(ORÇAMENTO!$D$15,CRONO!$E143,0)))+IF(AND($E145&lt;&gt;"",$E145&lt;&gt;0),SUMIF(CÁLCULO!$AM$15:$AW$32,"="&amp;CRONO!Y$12,CÁLCULO!$AB$15:$AL$32)/(ORÇAMENTO!$X$15-CÁLCULO.TotalAdmLocal)*CRONO!$E145,0),Y144*$R143),SUMIF(OFFSET($R145,1,0,$Q143-2),($L143+1)&amp;"$",OFFSET(Y145,1,0,$Q143-2)))</f>
        <v>0</v>
      </c>
      <c r="Z145" s="222">
        <f ca="1">IF($Q143=2,IF(AND(ACOMPANHAMENTO="PLE",ISNUMBER($E143)),SUMIF((OFFSET(CÁLCULO!$AM$15:$AW$15,$E143,0,OFFSET(ORÇAMENTO!$D$15,CRONO!$E143,0))),"="&amp;CRONO!Z$12,OFFSET(CÁLCULO!$AB$15:$AL$15,$E143,0,OFFSET(ORÇAMENTO!$D$15,CRONO!$E143,0)))+IF(AND($E145&lt;&gt;"",$E145&lt;&gt;0),SUMIF(CÁLCULO!$AM$15:$AW$32,"="&amp;CRONO!Z$12,CÁLCULO!$AB$15:$AL$32)/(ORÇAMENTO!$X$15-CÁLCULO.TotalAdmLocal)*CRONO!$E145,0),Z144*$R143),SUMIF(OFFSET($R145,1,0,$Q143-2),($L143+1)&amp;"$",OFFSET(Z145,1,0,$Q143-2)))</f>
        <v>0</v>
      </c>
      <c r="AA145" s="222">
        <f ca="1">IF($Q143=2,IF(AND(ACOMPANHAMENTO="PLE",ISNUMBER($E143)),SUMIF((OFFSET(CÁLCULO!$AM$15:$AW$15,$E143,0,OFFSET(ORÇAMENTO!$D$15,CRONO!$E143,0))),"="&amp;CRONO!AA$12,OFFSET(CÁLCULO!$AB$15:$AL$15,$E143,0,OFFSET(ORÇAMENTO!$D$15,CRONO!$E143,0)))+IF(AND($E145&lt;&gt;"",$E145&lt;&gt;0),SUMIF(CÁLCULO!$AM$15:$AW$32,"="&amp;CRONO!AA$12,CÁLCULO!$AB$15:$AL$32)/(ORÇAMENTO!$X$15-CÁLCULO.TotalAdmLocal)*CRONO!$E145,0),AA144*$R143),SUMIF(OFFSET($R145,1,0,$Q143-2),($L143+1)&amp;"$",OFFSET(AA145,1,0,$Q143-2)))</f>
        <v>0</v>
      </c>
      <c r="AB145" s="222">
        <f ca="1">IF($Q143=2,IF(AND(ACOMPANHAMENTO="PLE",ISNUMBER($E143)),SUMIF((OFFSET(CÁLCULO!$AM$15:$AW$15,$E143,0,OFFSET(ORÇAMENTO!$D$15,CRONO!$E143,0))),"="&amp;CRONO!AB$12,OFFSET(CÁLCULO!$AB$15:$AL$15,$E143,0,OFFSET(ORÇAMENTO!$D$15,CRONO!$E143,0)))+IF(AND($E145&lt;&gt;"",$E145&lt;&gt;0),SUMIF(CÁLCULO!$AM$15:$AW$32,"="&amp;CRONO!AB$12,CÁLCULO!$AB$15:$AL$32)/(ORÇAMENTO!$X$15-CÁLCULO.TotalAdmLocal)*CRONO!$E145,0),AB144*$R143),SUMIF(OFFSET($R145,1,0,$Q143-2),($L143+1)&amp;"$",OFFSET(AB145,1,0,$Q143-2)))</f>
        <v>0</v>
      </c>
      <c r="AC145" s="222">
        <f ca="1">IF($Q143=2,IF(AND(ACOMPANHAMENTO="PLE",ISNUMBER($E143)),SUMIF((OFFSET(CÁLCULO!$AM$15:$AW$15,$E143,0,OFFSET(ORÇAMENTO!$D$15,CRONO!$E143,0))),"="&amp;CRONO!AC$12,OFFSET(CÁLCULO!$AB$15:$AL$15,$E143,0,OFFSET(ORÇAMENTO!$D$15,CRONO!$E143,0)))+IF(AND($E145&lt;&gt;"",$E145&lt;&gt;0),SUMIF(CÁLCULO!$AM$15:$AW$32,"="&amp;CRONO!AC$12,CÁLCULO!$AB$15:$AL$32)/(ORÇAMENTO!$X$15-CÁLCULO.TotalAdmLocal)*CRONO!$E145,0),AC144*$R143),SUMIF(OFFSET($R145,1,0,$Q143-2),($L143+1)&amp;"$",OFFSET(AC145,1,0,$Q143-2)))</f>
        <v>0</v>
      </c>
      <c r="AD145" s="222">
        <f ca="1">IF($Q143=2,IF(AND(ACOMPANHAMENTO="PLE",ISNUMBER($E143)),SUMIF((OFFSET(CÁLCULO!$AM$15:$AW$15,$E143,0,OFFSET(ORÇAMENTO!$D$15,CRONO!$E143,0))),"="&amp;CRONO!AD$12,OFFSET(CÁLCULO!$AB$15:$AL$15,$E143,0,OFFSET(ORÇAMENTO!$D$15,CRONO!$E143,0)))+IF(AND($E145&lt;&gt;"",$E145&lt;&gt;0),SUMIF(CÁLCULO!$AM$15:$AW$32,"="&amp;CRONO!AD$12,CÁLCULO!$AB$15:$AL$32)/(ORÇAMENTO!$X$15-CÁLCULO.TotalAdmLocal)*CRONO!$E145,0),AD144*$R143),SUMIF(OFFSET($R145,1,0,$Q143-2),($L143+1)&amp;"$",OFFSET(AD145,1,0,$Q143-2)))</f>
        <v>0</v>
      </c>
      <c r="AE145" s="227">
        <f ca="1">IF($Q143=2,IF(AND(ACOMPANHAMENTO="PLE",ISNUMBER($E143)),SUMIF((OFFSET(CÁLCULO!$AM$15:$AW$15,$E143,0,OFFSET(ORÇAMENTO!$D$15,CRONO!$E143,0))),"="&amp;CRONO!AE$12,OFFSET(CÁLCULO!$AB$15:$AL$15,$E143,0,OFFSET(ORÇAMENTO!$D$15,CRONO!$E143,0)))+IF(AND($E145&lt;&gt;"",$E145&lt;&gt;0),SUMIF(CÁLCULO!$AM$15:$AW$32,"="&amp;CRONO!AE$12,CÁLCULO!$AB$15:$AL$32)/(ORÇAMENTO!$X$15-CÁLCULO.TotalAdmLocal)*CRONO!$E145,0),AE144*$R143),SUMIF(OFFSET($R145,1,0,$Q143-2),($L143+1)&amp;"$",OFFSET(AE145,1,0,$Q143-2)))</f>
        <v>0</v>
      </c>
    </row>
    <row r="146" spans="1:32" hidden="1" x14ac:dyDescent="0.25">
      <c r="A146" s="203">
        <f t="shared" ref="A146" ca="1" si="311">OFFSET(A146,-3,0)+1</f>
        <v>45</v>
      </c>
      <c r="B146" s="203">
        <f ca="1">IF($Q146&lt;&gt;2,0,IF($R146=0,1,IF(E147&gt;0,OFFSET(QCI!$M$13,SUBSTITUTE(E147,".",""),0),OFFSET(ORÇAMENTO!$AA$15,CRONO!$E146,0))/$R146))</f>
        <v>0</v>
      </c>
      <c r="C146" s="203">
        <f ca="1">IF($Q146&lt;&gt;2,0,IF($R146=0,1,IF(E147&gt;0,OFFSET(QCI!$N$13,SUBSTITUTE(E147,".",""),0),OFFSET(ORÇAMENTO!$AB$15,CRONO!$E146,0))/$R146))</f>
        <v>0</v>
      </c>
      <c r="D146" s="206" t="e">
        <f ca="1">IF(AND($Q146=2,ACOMPANHAMENTO="BM"),D147,D148/$R146)</f>
        <v>#VALUE!</v>
      </c>
      <c r="E146" s="203" t="e">
        <f ca="1">IF(A146&lt;=ORÇAMENTO.MáximoListaCrono,MATCH(A146,ORÇAMENTO.ListaCrono,0),NA())</f>
        <v>#N/A</v>
      </c>
      <c r="F146" s="203" t="str">
        <f t="shared" ref="F146" ca="1" si="312">IF(AND($E147&lt;&gt;-1,$R146&gt;0),"F","")</f>
        <v/>
      </c>
      <c r="G146" s="207" t="str">
        <f ca="1">IF(OR(R146=0,R146=""),"Linha",IF(AND(OR(ACOMPANHAMENTO="PLE",$Q146&lt;&gt;2),$E147=0),"Linha",1-SUM(T146:AF146)))</f>
        <v>Linha</v>
      </c>
      <c r="H146" s="208" t="str">
        <f ca="1">IF($E147=0,OFFSET(ORÇAMENTO!O$15,$E146,0),IF($E147&lt;&gt;-1,OFFSET(QCI!$D$13,$E147,0),""))</f>
        <v/>
      </c>
      <c r="I146" s="209" t="str">
        <f ca="1">IF($E147=0,OFFSET(ORÇAMENTO!R$15,$E146,0),IF($E147&lt;&gt;-1,OFFSET(QCI!$G$13,$E147,0),""))</f>
        <v/>
      </c>
      <c r="J146" s="209"/>
      <c r="K146" s="209"/>
      <c r="L146" s="210">
        <f ca="1">IF($E147=0,OFFSET(ORÇAMENTO!C$15,$E146,0),1)</f>
        <v>1</v>
      </c>
      <c r="M146" s="211">
        <f ca="1">IF($E147=-1,0,IF(M$13&lt;=$L146,IF(ISERROR(MATCH(M$13,OFFSET($L146,1,0,ROW($L$164)-ROW($L146)-1),0)),ROW($L$164)-ROW($L146)-1,MATCH(M$13,OFFSET($L146,1,0,ROW($L$164)-ROW($L146)-1),0)-1),0))</f>
        <v>0</v>
      </c>
      <c r="N146" s="211">
        <f ca="1">IF($E147=-1,0,IF(N$13&lt;=$L146,IF(ISERROR(MATCH(N$13,OFFSET($L146,1,0,ROW($L$164)-ROW($L146)-1),0)),ROW($L$164)-ROW($L146)-1,MATCH(N$13,OFFSET($L146,1,0,ROW($L$164)-ROW($L146)-1),0)-1),0))</f>
        <v>0</v>
      </c>
      <c r="O146" s="211">
        <f ca="1">IF($E147=-1,0,IF(O$13&lt;=$L146,IF(ISERROR(MATCH(O$13,OFFSET($L146,1,0,ROW($L$164)-ROW($L146)-1),0)),ROW($L$164)-ROW($L146)-1,MATCH(O$13,OFFSET($L146,1,0,ROW($L$164)-ROW($L146)-1),0)-1),0))</f>
        <v>0</v>
      </c>
      <c r="P146" s="211">
        <f ca="1">IF($E147=-1,0,IF(P$13&lt;=$L146,IF(ISERROR(MATCH(P$13,OFFSET($L146,1,0,ROW($L$164)-ROW($L146)-1),0)),ROW($L$164)-ROW($L146)-1,MATCH(P$13,OFFSET($L146,1,0,ROW($L$164)-ROW($L146)-1),0)-1),0))</f>
        <v>0</v>
      </c>
      <c r="Q146" s="211">
        <f t="shared" ref="Q146" ca="1" si="313">MIN(OFFSET(L146,0,1,,L146))</f>
        <v>0</v>
      </c>
      <c r="R146" s="212" t="str">
        <f ca="1">IF($E147=0,OFFSET(ORÇAMENTO!X$15,$E146,0),IF($E147&lt;&gt;-1,OFFSET(QCI!$O$13,$E147,0),""))</f>
        <v/>
      </c>
      <c r="S146" s="213" t="s">
        <v>270</v>
      </c>
      <c r="T146" s="214" t="e">
        <f t="shared" ref="T146:AE146" ca="1" si="314">IF(AND($Q146=2,ACOMPANHAMENTO="BM"),T147,T148/$R146)</f>
        <v>#VALUE!</v>
      </c>
      <c r="U146" s="206" t="e">
        <f t="shared" ca="1" si="314"/>
        <v>#VALUE!</v>
      </c>
      <c r="V146" s="206" t="e">
        <f t="shared" ca="1" si="314"/>
        <v>#VALUE!</v>
      </c>
      <c r="W146" s="206" t="e">
        <f t="shared" ca="1" si="314"/>
        <v>#VALUE!</v>
      </c>
      <c r="X146" s="206" t="e">
        <f t="shared" ca="1" si="314"/>
        <v>#VALUE!</v>
      </c>
      <c r="Y146" s="206" t="e">
        <f t="shared" ca="1" si="314"/>
        <v>#VALUE!</v>
      </c>
      <c r="Z146" s="206" t="e">
        <f t="shared" ca="1" si="314"/>
        <v>#VALUE!</v>
      </c>
      <c r="AA146" s="206" t="e">
        <f t="shared" ca="1" si="314"/>
        <v>#VALUE!</v>
      </c>
      <c r="AB146" s="206" t="e">
        <f t="shared" ca="1" si="314"/>
        <v>#VALUE!</v>
      </c>
      <c r="AC146" s="206" t="e">
        <f t="shared" ca="1" si="314"/>
        <v>#VALUE!</v>
      </c>
      <c r="AD146" s="206" t="e">
        <f t="shared" ca="1" si="314"/>
        <v>#VALUE!</v>
      </c>
      <c r="AE146" s="215" t="e">
        <f t="shared" ca="1" si="314"/>
        <v>#VALUE!</v>
      </c>
    </row>
    <row r="147" spans="1:32" ht="12.75" hidden="1" customHeight="1" x14ac:dyDescent="0.25">
      <c r="D147" s="568"/>
      <c r="E147" s="203">
        <f ca="1">IF(ISERROR(E146),IF(1+COUNTIF($L$13:OFFSET(L146,-1,0),1)&lt;=MAX(QCI!$D$13:$D$24),1+COUNTIF($L$13:OFFSET(L146,-1,0),1),-1),0)</f>
        <v>-1</v>
      </c>
      <c r="F147" s="203" t="str">
        <f t="shared" ref="F147" ca="1" si="315">IF(AND($E147&lt;&gt;-1,$R146&gt;0),"F","")</f>
        <v/>
      </c>
      <c r="G147" s="216" t="str">
        <f ca="1">IF(OR(R146=0,R146=""),"vazia",IF(AND(OR(ACOMPANHAMENTO="PLE",$Q146&lt;&gt;2),$E147=0),"calculada","--&gt;"))</f>
        <v>vazia</v>
      </c>
      <c r="H147" s="217"/>
      <c r="I147" s="218" t="str">
        <f t="shared" ref="I147" ca="1" si="316">IF(AND(G146&lt;&gt;0,ISNUMBER(G146)),"PREENCHA ESTA LINHA --&gt;","")</f>
        <v/>
      </c>
      <c r="J147" s="218"/>
      <c r="K147" s="218"/>
      <c r="L147" s="219"/>
      <c r="M147" s="219"/>
      <c r="N147" s="219"/>
      <c r="O147" s="219"/>
      <c r="P147" s="219"/>
      <c r="Q147" s="219"/>
      <c r="R147" s="220"/>
      <c r="S147" s="221"/>
      <c r="T147" s="569"/>
      <c r="U147" s="568"/>
      <c r="V147" s="568"/>
      <c r="W147" s="568"/>
      <c r="X147" s="568"/>
      <c r="Y147" s="568"/>
      <c r="Z147" s="568"/>
      <c r="AA147" s="568"/>
      <c r="AB147" s="568"/>
      <c r="AC147" s="568"/>
      <c r="AD147" s="568"/>
      <c r="AE147" s="570"/>
      <c r="AF147" s="532"/>
    </row>
    <row r="148" spans="1:32" ht="0.15" hidden="1" customHeight="1" x14ac:dyDescent="0.25">
      <c r="D148" s="222">
        <f ca="1">IF($Q146=2,IF(AND(ACOMPANHAMENTO="PLE",ISNUMBER($E146)),SUMIF((OFFSET(CÁLCULO!$AM$15:$AW$15,$E146,0,OFFSET(ORÇAMENTO!$D$15,CRONO!$E146,0))),"="&amp;CRONO!D$12,OFFSET(CÁLCULO!$AB$15:$AL$15,$E146,0,OFFSET(ORÇAMENTO!$D$15,CRONO!$E146,0)))+IF(AND($E148&lt;&gt;"",$E148&lt;&gt;0),SUMIF(CÁLCULO!$AM$15:$AW$32,"="&amp;CRONO!D$12,CÁLCULO!$AB$15:$AL$32)/(ORÇAMENTO!$X$15-CÁLCULO.TotalAdmLocal)*CRONO!$E148,0),D147*$R146),SUMIF(OFFSET($R148,1,0,$Q146-2),($L146+1)&amp;"$",OFFSET(D148,1,0,$Q146-2)))</f>
        <v>0</v>
      </c>
      <c r="E148" s="203" t="str">
        <f ca="1">IF(OR($Q146&lt;&gt;2,AUTOEVENTO&lt;&gt;"manual",$E147&gt;0),"",SUMIF(OFFSET(CÁLCULO!$M$15,CRONO!$E146,0,OFFSET(ORÇAMENTO!$D$15,CRONO!$E146,0)),1,OFFSET(ORÇAMENTO!$X$15,CRONO!$E146,0,OFFSET(ORÇAMENTO!$D$15,CRONO!$E146,0))))</f>
        <v/>
      </c>
      <c r="G148" s="223"/>
      <c r="R148" s="224" t="str">
        <f t="shared" ref="R148" ca="1" si="317">L146&amp;"$"</f>
        <v>1$</v>
      </c>
      <c r="S148" s="225"/>
      <c r="T148" s="226">
        <f ca="1">IF($Q146=2,IF(AND(ACOMPANHAMENTO="PLE",ISNUMBER($E146)),SUMIF((OFFSET(CÁLCULO!$AM$15:$AW$15,$E146,0,OFFSET(ORÇAMENTO!$D$15,CRONO!$E146,0))),"&lt;="&amp;CRONO!T$12,OFFSET(CÁLCULO!$AB$15:$AL$15,$E146,0,OFFSET(ORÇAMENTO!$D$15,CRONO!$E146,0)))+IF(AND($E148&lt;&gt;"",$E148&lt;&gt;0),SUMIF(CÁLCULO!$AM$15:$AW$32,"&lt;="&amp;CRONO!T$12,CÁLCULO!$AB$15:$AL$32)/(ORÇAMENTO!$X$15-CÁLCULO.TotalAdmLocal)*CRONO!$E148,0),T147*$R146),SUMIF(OFFSET($R148,1,0,$Q146-2),($L146+1)&amp;"$",OFFSET(T148,1,0,$Q146-2)))</f>
        <v>0</v>
      </c>
      <c r="U148" s="222">
        <f ca="1">IF($Q146=2,IF(AND(ACOMPANHAMENTO="PLE",ISNUMBER($E146)),SUMIF((OFFSET(CÁLCULO!$AM$15:$AW$15,$E146,0,OFFSET(ORÇAMENTO!$D$15,CRONO!$E146,0))),"="&amp;CRONO!U$12,OFFSET(CÁLCULO!$AB$15:$AL$15,$E146,0,OFFSET(ORÇAMENTO!$D$15,CRONO!$E146,0)))+IF(AND($E148&lt;&gt;"",$E148&lt;&gt;0),SUMIF(CÁLCULO!$AM$15:$AW$32,"="&amp;CRONO!U$12,CÁLCULO!$AB$15:$AL$32)/(ORÇAMENTO!$X$15-CÁLCULO.TotalAdmLocal)*CRONO!$E148,0),U147*$R146),SUMIF(OFFSET($R148,1,0,$Q146-2),($L146+1)&amp;"$",OFFSET(U148,1,0,$Q146-2)))</f>
        <v>0</v>
      </c>
      <c r="V148" s="222">
        <f ca="1">IF($Q146=2,IF(AND(ACOMPANHAMENTO="PLE",ISNUMBER($E146)),SUMIF((OFFSET(CÁLCULO!$AM$15:$AW$15,$E146,0,OFFSET(ORÇAMENTO!$D$15,CRONO!$E146,0))),"="&amp;CRONO!V$12,OFFSET(CÁLCULO!$AB$15:$AL$15,$E146,0,OFFSET(ORÇAMENTO!$D$15,CRONO!$E146,0)))+IF(AND($E148&lt;&gt;"",$E148&lt;&gt;0),SUMIF(CÁLCULO!$AM$15:$AW$32,"="&amp;CRONO!V$12,CÁLCULO!$AB$15:$AL$32)/(ORÇAMENTO!$X$15-CÁLCULO.TotalAdmLocal)*CRONO!$E148,0),V147*$R146),SUMIF(OFFSET($R148,1,0,$Q146-2),($L146+1)&amp;"$",OFFSET(V148,1,0,$Q146-2)))</f>
        <v>0</v>
      </c>
      <c r="W148" s="222">
        <f ca="1">IF($Q146=2,IF(AND(ACOMPANHAMENTO="PLE",ISNUMBER($E146)),SUMIF((OFFSET(CÁLCULO!$AM$15:$AW$15,$E146,0,OFFSET(ORÇAMENTO!$D$15,CRONO!$E146,0))),"="&amp;CRONO!W$12,OFFSET(CÁLCULO!$AB$15:$AL$15,$E146,0,OFFSET(ORÇAMENTO!$D$15,CRONO!$E146,0)))+IF(AND($E148&lt;&gt;"",$E148&lt;&gt;0),SUMIF(CÁLCULO!$AM$15:$AW$32,"="&amp;CRONO!W$12,CÁLCULO!$AB$15:$AL$32)/(ORÇAMENTO!$X$15-CÁLCULO.TotalAdmLocal)*CRONO!$E148,0),W147*$R146),SUMIF(OFFSET($R148,1,0,$Q146-2),($L146+1)&amp;"$",OFFSET(W148,1,0,$Q146-2)))</f>
        <v>0</v>
      </c>
      <c r="X148" s="222">
        <f ca="1">IF($Q146=2,IF(AND(ACOMPANHAMENTO="PLE",ISNUMBER($E146)),SUMIF((OFFSET(CÁLCULO!$AM$15:$AW$15,$E146,0,OFFSET(ORÇAMENTO!$D$15,CRONO!$E146,0))),"="&amp;CRONO!X$12,OFFSET(CÁLCULO!$AB$15:$AL$15,$E146,0,OFFSET(ORÇAMENTO!$D$15,CRONO!$E146,0)))+IF(AND($E148&lt;&gt;"",$E148&lt;&gt;0),SUMIF(CÁLCULO!$AM$15:$AW$32,"="&amp;CRONO!X$12,CÁLCULO!$AB$15:$AL$32)/(ORÇAMENTO!$X$15-CÁLCULO.TotalAdmLocal)*CRONO!$E148,0),X147*$R146),SUMIF(OFFSET($R148,1,0,$Q146-2),($L146+1)&amp;"$",OFFSET(X148,1,0,$Q146-2)))</f>
        <v>0</v>
      </c>
      <c r="Y148" s="222">
        <f ca="1">IF($Q146=2,IF(AND(ACOMPANHAMENTO="PLE",ISNUMBER($E146)),SUMIF((OFFSET(CÁLCULO!$AM$15:$AW$15,$E146,0,OFFSET(ORÇAMENTO!$D$15,CRONO!$E146,0))),"="&amp;CRONO!Y$12,OFFSET(CÁLCULO!$AB$15:$AL$15,$E146,0,OFFSET(ORÇAMENTO!$D$15,CRONO!$E146,0)))+IF(AND($E148&lt;&gt;"",$E148&lt;&gt;0),SUMIF(CÁLCULO!$AM$15:$AW$32,"="&amp;CRONO!Y$12,CÁLCULO!$AB$15:$AL$32)/(ORÇAMENTO!$X$15-CÁLCULO.TotalAdmLocal)*CRONO!$E148,0),Y147*$R146),SUMIF(OFFSET($R148,1,0,$Q146-2),($L146+1)&amp;"$",OFFSET(Y148,1,0,$Q146-2)))</f>
        <v>0</v>
      </c>
      <c r="Z148" s="222">
        <f ca="1">IF($Q146=2,IF(AND(ACOMPANHAMENTO="PLE",ISNUMBER($E146)),SUMIF((OFFSET(CÁLCULO!$AM$15:$AW$15,$E146,0,OFFSET(ORÇAMENTO!$D$15,CRONO!$E146,0))),"="&amp;CRONO!Z$12,OFFSET(CÁLCULO!$AB$15:$AL$15,$E146,0,OFFSET(ORÇAMENTO!$D$15,CRONO!$E146,0)))+IF(AND($E148&lt;&gt;"",$E148&lt;&gt;0),SUMIF(CÁLCULO!$AM$15:$AW$32,"="&amp;CRONO!Z$12,CÁLCULO!$AB$15:$AL$32)/(ORÇAMENTO!$X$15-CÁLCULO.TotalAdmLocal)*CRONO!$E148,0),Z147*$R146),SUMIF(OFFSET($R148,1,0,$Q146-2),($L146+1)&amp;"$",OFFSET(Z148,1,0,$Q146-2)))</f>
        <v>0</v>
      </c>
      <c r="AA148" s="222">
        <f ca="1">IF($Q146=2,IF(AND(ACOMPANHAMENTO="PLE",ISNUMBER($E146)),SUMIF((OFFSET(CÁLCULO!$AM$15:$AW$15,$E146,0,OFFSET(ORÇAMENTO!$D$15,CRONO!$E146,0))),"="&amp;CRONO!AA$12,OFFSET(CÁLCULO!$AB$15:$AL$15,$E146,0,OFFSET(ORÇAMENTO!$D$15,CRONO!$E146,0)))+IF(AND($E148&lt;&gt;"",$E148&lt;&gt;0),SUMIF(CÁLCULO!$AM$15:$AW$32,"="&amp;CRONO!AA$12,CÁLCULO!$AB$15:$AL$32)/(ORÇAMENTO!$X$15-CÁLCULO.TotalAdmLocal)*CRONO!$E148,0),AA147*$R146),SUMIF(OFFSET($R148,1,0,$Q146-2),($L146+1)&amp;"$",OFFSET(AA148,1,0,$Q146-2)))</f>
        <v>0</v>
      </c>
      <c r="AB148" s="222">
        <f ca="1">IF($Q146=2,IF(AND(ACOMPANHAMENTO="PLE",ISNUMBER($E146)),SUMIF((OFFSET(CÁLCULO!$AM$15:$AW$15,$E146,0,OFFSET(ORÇAMENTO!$D$15,CRONO!$E146,0))),"="&amp;CRONO!AB$12,OFFSET(CÁLCULO!$AB$15:$AL$15,$E146,0,OFFSET(ORÇAMENTO!$D$15,CRONO!$E146,0)))+IF(AND($E148&lt;&gt;"",$E148&lt;&gt;0),SUMIF(CÁLCULO!$AM$15:$AW$32,"="&amp;CRONO!AB$12,CÁLCULO!$AB$15:$AL$32)/(ORÇAMENTO!$X$15-CÁLCULO.TotalAdmLocal)*CRONO!$E148,0),AB147*$R146),SUMIF(OFFSET($R148,1,0,$Q146-2),($L146+1)&amp;"$",OFFSET(AB148,1,0,$Q146-2)))</f>
        <v>0</v>
      </c>
      <c r="AC148" s="222">
        <f ca="1">IF($Q146=2,IF(AND(ACOMPANHAMENTO="PLE",ISNUMBER($E146)),SUMIF((OFFSET(CÁLCULO!$AM$15:$AW$15,$E146,0,OFFSET(ORÇAMENTO!$D$15,CRONO!$E146,0))),"="&amp;CRONO!AC$12,OFFSET(CÁLCULO!$AB$15:$AL$15,$E146,0,OFFSET(ORÇAMENTO!$D$15,CRONO!$E146,0)))+IF(AND($E148&lt;&gt;"",$E148&lt;&gt;0),SUMIF(CÁLCULO!$AM$15:$AW$32,"="&amp;CRONO!AC$12,CÁLCULO!$AB$15:$AL$32)/(ORÇAMENTO!$X$15-CÁLCULO.TotalAdmLocal)*CRONO!$E148,0),AC147*$R146),SUMIF(OFFSET($R148,1,0,$Q146-2),($L146+1)&amp;"$",OFFSET(AC148,1,0,$Q146-2)))</f>
        <v>0</v>
      </c>
      <c r="AD148" s="222">
        <f ca="1">IF($Q146=2,IF(AND(ACOMPANHAMENTO="PLE",ISNUMBER($E146)),SUMIF((OFFSET(CÁLCULO!$AM$15:$AW$15,$E146,0,OFFSET(ORÇAMENTO!$D$15,CRONO!$E146,0))),"="&amp;CRONO!AD$12,OFFSET(CÁLCULO!$AB$15:$AL$15,$E146,0,OFFSET(ORÇAMENTO!$D$15,CRONO!$E146,0)))+IF(AND($E148&lt;&gt;"",$E148&lt;&gt;0),SUMIF(CÁLCULO!$AM$15:$AW$32,"="&amp;CRONO!AD$12,CÁLCULO!$AB$15:$AL$32)/(ORÇAMENTO!$X$15-CÁLCULO.TotalAdmLocal)*CRONO!$E148,0),AD147*$R146),SUMIF(OFFSET($R148,1,0,$Q146-2),($L146+1)&amp;"$",OFFSET(AD148,1,0,$Q146-2)))</f>
        <v>0</v>
      </c>
      <c r="AE148" s="227">
        <f ca="1">IF($Q146=2,IF(AND(ACOMPANHAMENTO="PLE",ISNUMBER($E146)),SUMIF((OFFSET(CÁLCULO!$AM$15:$AW$15,$E146,0,OFFSET(ORÇAMENTO!$D$15,CRONO!$E146,0))),"="&amp;CRONO!AE$12,OFFSET(CÁLCULO!$AB$15:$AL$15,$E146,0,OFFSET(ORÇAMENTO!$D$15,CRONO!$E146,0)))+IF(AND($E148&lt;&gt;"",$E148&lt;&gt;0),SUMIF(CÁLCULO!$AM$15:$AW$32,"="&amp;CRONO!AE$12,CÁLCULO!$AB$15:$AL$32)/(ORÇAMENTO!$X$15-CÁLCULO.TotalAdmLocal)*CRONO!$E148,0),AE147*$R146),SUMIF(OFFSET($R148,1,0,$Q146-2),($L146+1)&amp;"$",OFFSET(AE148,1,0,$Q146-2)))</f>
        <v>0</v>
      </c>
    </row>
    <row r="149" spans="1:32" hidden="1" x14ac:dyDescent="0.25">
      <c r="A149" s="203">
        <f t="shared" ref="A149" ca="1" si="318">OFFSET(A149,-3,0)+1</f>
        <v>46</v>
      </c>
      <c r="B149" s="203">
        <f ca="1">IF($Q149&lt;&gt;2,0,IF($R149=0,1,IF(E150&gt;0,OFFSET(QCI!$M$13,SUBSTITUTE(E150,".",""),0),OFFSET(ORÇAMENTO!$AA$15,CRONO!$E149,0))/$R149))</f>
        <v>0</v>
      </c>
      <c r="C149" s="203">
        <f ca="1">IF($Q149&lt;&gt;2,0,IF($R149=0,1,IF(E150&gt;0,OFFSET(QCI!$N$13,SUBSTITUTE(E150,".",""),0),OFFSET(ORÇAMENTO!$AB$15,CRONO!$E149,0))/$R149))</f>
        <v>0</v>
      </c>
      <c r="D149" s="206" t="e">
        <f ca="1">IF(AND($Q149=2,ACOMPANHAMENTO="BM"),D150,D151/$R149)</f>
        <v>#VALUE!</v>
      </c>
      <c r="E149" s="203" t="e">
        <f ca="1">IF(A149&lt;=ORÇAMENTO.MáximoListaCrono,MATCH(A149,ORÇAMENTO.ListaCrono,0),NA())</f>
        <v>#N/A</v>
      </c>
      <c r="F149" s="203" t="str">
        <f t="shared" ref="F149" ca="1" si="319">IF(AND($E150&lt;&gt;-1,$R149&gt;0),"F","")</f>
        <v/>
      </c>
      <c r="G149" s="207" t="str">
        <f ca="1">IF(OR(R149=0,R149=""),"Linha",IF(AND(OR(ACOMPANHAMENTO="PLE",$Q149&lt;&gt;2),$E150=0),"Linha",1-SUM(T149:AF149)))</f>
        <v>Linha</v>
      </c>
      <c r="H149" s="208" t="str">
        <f ca="1">IF($E150=0,OFFSET(ORÇAMENTO!O$15,$E149,0),IF($E150&lt;&gt;-1,OFFSET(QCI!$D$13,$E150,0),""))</f>
        <v/>
      </c>
      <c r="I149" s="209" t="str">
        <f ca="1">IF($E150=0,OFFSET(ORÇAMENTO!R$15,$E149,0),IF($E150&lt;&gt;-1,OFFSET(QCI!$G$13,$E150,0),""))</f>
        <v/>
      </c>
      <c r="J149" s="209"/>
      <c r="K149" s="209"/>
      <c r="L149" s="210">
        <f ca="1">IF($E150=0,OFFSET(ORÇAMENTO!C$15,$E149,0),1)</f>
        <v>1</v>
      </c>
      <c r="M149" s="211">
        <f ca="1">IF($E150=-1,0,IF(M$13&lt;=$L149,IF(ISERROR(MATCH(M$13,OFFSET($L149,1,0,ROW($L$164)-ROW($L149)-1),0)),ROW($L$164)-ROW($L149)-1,MATCH(M$13,OFFSET($L149,1,0,ROW($L$164)-ROW($L149)-1),0)-1),0))</f>
        <v>0</v>
      </c>
      <c r="N149" s="211">
        <f ca="1">IF($E150=-1,0,IF(N$13&lt;=$L149,IF(ISERROR(MATCH(N$13,OFFSET($L149,1,0,ROW($L$164)-ROW($L149)-1),0)),ROW($L$164)-ROW($L149)-1,MATCH(N$13,OFFSET($L149,1,0,ROW($L$164)-ROW($L149)-1),0)-1),0))</f>
        <v>0</v>
      </c>
      <c r="O149" s="211">
        <f ca="1">IF($E150=-1,0,IF(O$13&lt;=$L149,IF(ISERROR(MATCH(O$13,OFFSET($L149,1,0,ROW($L$164)-ROW($L149)-1),0)),ROW($L$164)-ROW($L149)-1,MATCH(O$13,OFFSET($L149,1,0,ROW($L$164)-ROW($L149)-1),0)-1),0))</f>
        <v>0</v>
      </c>
      <c r="P149" s="211">
        <f ca="1">IF($E150=-1,0,IF(P$13&lt;=$L149,IF(ISERROR(MATCH(P$13,OFFSET($L149,1,0,ROW($L$164)-ROW($L149)-1),0)),ROW($L$164)-ROW($L149)-1,MATCH(P$13,OFFSET($L149,1,0,ROW($L$164)-ROW($L149)-1),0)-1),0))</f>
        <v>0</v>
      </c>
      <c r="Q149" s="211">
        <f t="shared" ref="Q149" ca="1" si="320">MIN(OFFSET(L149,0,1,,L149))</f>
        <v>0</v>
      </c>
      <c r="R149" s="212" t="str">
        <f ca="1">IF($E150=0,OFFSET(ORÇAMENTO!X$15,$E149,0),IF($E150&lt;&gt;-1,OFFSET(QCI!$O$13,$E150,0),""))</f>
        <v/>
      </c>
      <c r="S149" s="213" t="s">
        <v>270</v>
      </c>
      <c r="T149" s="214" t="e">
        <f t="shared" ref="T149:AE149" ca="1" si="321">IF(AND($Q149=2,ACOMPANHAMENTO="BM"),T150,T151/$R149)</f>
        <v>#VALUE!</v>
      </c>
      <c r="U149" s="206" t="e">
        <f t="shared" ca="1" si="321"/>
        <v>#VALUE!</v>
      </c>
      <c r="V149" s="206" t="e">
        <f t="shared" ca="1" si="321"/>
        <v>#VALUE!</v>
      </c>
      <c r="W149" s="206" t="e">
        <f t="shared" ca="1" si="321"/>
        <v>#VALUE!</v>
      </c>
      <c r="X149" s="206" t="e">
        <f t="shared" ca="1" si="321"/>
        <v>#VALUE!</v>
      </c>
      <c r="Y149" s="206" t="e">
        <f t="shared" ca="1" si="321"/>
        <v>#VALUE!</v>
      </c>
      <c r="Z149" s="206" t="e">
        <f t="shared" ca="1" si="321"/>
        <v>#VALUE!</v>
      </c>
      <c r="AA149" s="206" t="e">
        <f t="shared" ca="1" si="321"/>
        <v>#VALUE!</v>
      </c>
      <c r="AB149" s="206" t="e">
        <f t="shared" ca="1" si="321"/>
        <v>#VALUE!</v>
      </c>
      <c r="AC149" s="206" t="e">
        <f t="shared" ca="1" si="321"/>
        <v>#VALUE!</v>
      </c>
      <c r="AD149" s="206" t="e">
        <f t="shared" ca="1" si="321"/>
        <v>#VALUE!</v>
      </c>
      <c r="AE149" s="215" t="e">
        <f t="shared" ca="1" si="321"/>
        <v>#VALUE!</v>
      </c>
    </row>
    <row r="150" spans="1:32" ht="12.75" hidden="1" customHeight="1" x14ac:dyDescent="0.25">
      <c r="D150" s="568"/>
      <c r="E150" s="203">
        <f ca="1">IF(ISERROR(E149),IF(1+COUNTIF($L$13:OFFSET(L149,-1,0),1)&lt;=MAX(QCI!$D$13:$D$24),1+COUNTIF($L$13:OFFSET(L149,-1,0),1),-1),0)</f>
        <v>-1</v>
      </c>
      <c r="F150" s="203" t="str">
        <f t="shared" ref="F150" ca="1" si="322">IF(AND($E150&lt;&gt;-1,$R149&gt;0),"F","")</f>
        <v/>
      </c>
      <c r="G150" s="216" t="str">
        <f ca="1">IF(OR(R149=0,R149=""),"vazia",IF(AND(OR(ACOMPANHAMENTO="PLE",$Q149&lt;&gt;2),$E150=0),"calculada","--&gt;"))</f>
        <v>vazia</v>
      </c>
      <c r="H150" s="217"/>
      <c r="I150" s="218" t="str">
        <f t="shared" ref="I150" ca="1" si="323">IF(AND(G149&lt;&gt;0,ISNUMBER(G149)),"PREENCHA ESTA LINHA --&gt;","")</f>
        <v/>
      </c>
      <c r="J150" s="218"/>
      <c r="K150" s="218"/>
      <c r="L150" s="219"/>
      <c r="M150" s="219"/>
      <c r="N150" s="219"/>
      <c r="O150" s="219"/>
      <c r="P150" s="219"/>
      <c r="Q150" s="219"/>
      <c r="R150" s="220"/>
      <c r="S150" s="221"/>
      <c r="T150" s="569"/>
      <c r="U150" s="568"/>
      <c r="V150" s="568"/>
      <c r="W150" s="568"/>
      <c r="X150" s="568"/>
      <c r="Y150" s="568"/>
      <c r="Z150" s="568"/>
      <c r="AA150" s="568"/>
      <c r="AB150" s="568"/>
      <c r="AC150" s="568"/>
      <c r="AD150" s="568"/>
      <c r="AE150" s="570"/>
      <c r="AF150" s="532"/>
    </row>
    <row r="151" spans="1:32" ht="0.15" hidden="1" customHeight="1" x14ac:dyDescent="0.25">
      <c r="D151" s="222">
        <f ca="1">IF($Q149=2,IF(AND(ACOMPANHAMENTO="PLE",ISNUMBER($E149)),SUMIF((OFFSET(CÁLCULO!$AM$15:$AW$15,$E149,0,OFFSET(ORÇAMENTO!$D$15,CRONO!$E149,0))),"="&amp;CRONO!D$12,OFFSET(CÁLCULO!$AB$15:$AL$15,$E149,0,OFFSET(ORÇAMENTO!$D$15,CRONO!$E149,0)))+IF(AND($E151&lt;&gt;"",$E151&lt;&gt;0),SUMIF(CÁLCULO!$AM$15:$AW$32,"="&amp;CRONO!D$12,CÁLCULO!$AB$15:$AL$32)/(ORÇAMENTO!$X$15-CÁLCULO.TotalAdmLocal)*CRONO!$E151,0),D150*$R149),SUMIF(OFFSET($R151,1,0,$Q149-2),($L149+1)&amp;"$",OFFSET(D151,1,0,$Q149-2)))</f>
        <v>0</v>
      </c>
      <c r="E151" s="203" t="str">
        <f ca="1">IF(OR($Q149&lt;&gt;2,AUTOEVENTO&lt;&gt;"manual",$E150&gt;0),"",SUMIF(OFFSET(CÁLCULO!$M$15,CRONO!$E149,0,OFFSET(ORÇAMENTO!$D$15,CRONO!$E149,0)),1,OFFSET(ORÇAMENTO!$X$15,CRONO!$E149,0,OFFSET(ORÇAMENTO!$D$15,CRONO!$E149,0))))</f>
        <v/>
      </c>
      <c r="G151" s="223"/>
      <c r="R151" s="224" t="str">
        <f t="shared" ref="R151" ca="1" si="324">L149&amp;"$"</f>
        <v>1$</v>
      </c>
      <c r="S151" s="225"/>
      <c r="T151" s="226">
        <f ca="1">IF($Q149=2,IF(AND(ACOMPANHAMENTO="PLE",ISNUMBER($E149)),SUMIF((OFFSET(CÁLCULO!$AM$15:$AW$15,$E149,0,OFFSET(ORÇAMENTO!$D$15,CRONO!$E149,0))),"&lt;="&amp;CRONO!T$12,OFFSET(CÁLCULO!$AB$15:$AL$15,$E149,0,OFFSET(ORÇAMENTO!$D$15,CRONO!$E149,0)))+IF(AND($E151&lt;&gt;"",$E151&lt;&gt;0),SUMIF(CÁLCULO!$AM$15:$AW$32,"&lt;="&amp;CRONO!T$12,CÁLCULO!$AB$15:$AL$32)/(ORÇAMENTO!$X$15-CÁLCULO.TotalAdmLocal)*CRONO!$E151,0),T150*$R149),SUMIF(OFFSET($R151,1,0,$Q149-2),($L149+1)&amp;"$",OFFSET(T151,1,0,$Q149-2)))</f>
        <v>0</v>
      </c>
      <c r="U151" s="222">
        <f ca="1">IF($Q149=2,IF(AND(ACOMPANHAMENTO="PLE",ISNUMBER($E149)),SUMIF((OFFSET(CÁLCULO!$AM$15:$AW$15,$E149,0,OFFSET(ORÇAMENTO!$D$15,CRONO!$E149,0))),"="&amp;CRONO!U$12,OFFSET(CÁLCULO!$AB$15:$AL$15,$E149,0,OFFSET(ORÇAMENTO!$D$15,CRONO!$E149,0)))+IF(AND($E151&lt;&gt;"",$E151&lt;&gt;0),SUMIF(CÁLCULO!$AM$15:$AW$32,"="&amp;CRONO!U$12,CÁLCULO!$AB$15:$AL$32)/(ORÇAMENTO!$X$15-CÁLCULO.TotalAdmLocal)*CRONO!$E151,0),U150*$R149),SUMIF(OFFSET($R151,1,0,$Q149-2),($L149+1)&amp;"$",OFFSET(U151,1,0,$Q149-2)))</f>
        <v>0</v>
      </c>
      <c r="V151" s="222">
        <f ca="1">IF($Q149=2,IF(AND(ACOMPANHAMENTO="PLE",ISNUMBER($E149)),SUMIF((OFFSET(CÁLCULO!$AM$15:$AW$15,$E149,0,OFFSET(ORÇAMENTO!$D$15,CRONO!$E149,0))),"="&amp;CRONO!V$12,OFFSET(CÁLCULO!$AB$15:$AL$15,$E149,0,OFFSET(ORÇAMENTO!$D$15,CRONO!$E149,0)))+IF(AND($E151&lt;&gt;"",$E151&lt;&gt;0),SUMIF(CÁLCULO!$AM$15:$AW$32,"="&amp;CRONO!V$12,CÁLCULO!$AB$15:$AL$32)/(ORÇAMENTO!$X$15-CÁLCULO.TotalAdmLocal)*CRONO!$E151,0),V150*$R149),SUMIF(OFFSET($R151,1,0,$Q149-2),($L149+1)&amp;"$",OFFSET(V151,1,0,$Q149-2)))</f>
        <v>0</v>
      </c>
      <c r="W151" s="222">
        <f ca="1">IF($Q149=2,IF(AND(ACOMPANHAMENTO="PLE",ISNUMBER($E149)),SUMIF((OFFSET(CÁLCULO!$AM$15:$AW$15,$E149,0,OFFSET(ORÇAMENTO!$D$15,CRONO!$E149,0))),"="&amp;CRONO!W$12,OFFSET(CÁLCULO!$AB$15:$AL$15,$E149,0,OFFSET(ORÇAMENTO!$D$15,CRONO!$E149,0)))+IF(AND($E151&lt;&gt;"",$E151&lt;&gt;0),SUMIF(CÁLCULO!$AM$15:$AW$32,"="&amp;CRONO!W$12,CÁLCULO!$AB$15:$AL$32)/(ORÇAMENTO!$X$15-CÁLCULO.TotalAdmLocal)*CRONO!$E151,0),W150*$R149),SUMIF(OFFSET($R151,1,0,$Q149-2),($L149+1)&amp;"$",OFFSET(W151,1,0,$Q149-2)))</f>
        <v>0</v>
      </c>
      <c r="X151" s="222">
        <f ca="1">IF($Q149=2,IF(AND(ACOMPANHAMENTO="PLE",ISNUMBER($E149)),SUMIF((OFFSET(CÁLCULO!$AM$15:$AW$15,$E149,0,OFFSET(ORÇAMENTO!$D$15,CRONO!$E149,0))),"="&amp;CRONO!X$12,OFFSET(CÁLCULO!$AB$15:$AL$15,$E149,0,OFFSET(ORÇAMENTO!$D$15,CRONO!$E149,0)))+IF(AND($E151&lt;&gt;"",$E151&lt;&gt;0),SUMIF(CÁLCULO!$AM$15:$AW$32,"="&amp;CRONO!X$12,CÁLCULO!$AB$15:$AL$32)/(ORÇAMENTO!$X$15-CÁLCULO.TotalAdmLocal)*CRONO!$E151,0),X150*$R149),SUMIF(OFFSET($R151,1,0,$Q149-2),($L149+1)&amp;"$",OFFSET(X151,1,0,$Q149-2)))</f>
        <v>0</v>
      </c>
      <c r="Y151" s="222">
        <f ca="1">IF($Q149=2,IF(AND(ACOMPANHAMENTO="PLE",ISNUMBER($E149)),SUMIF((OFFSET(CÁLCULO!$AM$15:$AW$15,$E149,0,OFFSET(ORÇAMENTO!$D$15,CRONO!$E149,0))),"="&amp;CRONO!Y$12,OFFSET(CÁLCULO!$AB$15:$AL$15,$E149,0,OFFSET(ORÇAMENTO!$D$15,CRONO!$E149,0)))+IF(AND($E151&lt;&gt;"",$E151&lt;&gt;0),SUMIF(CÁLCULO!$AM$15:$AW$32,"="&amp;CRONO!Y$12,CÁLCULO!$AB$15:$AL$32)/(ORÇAMENTO!$X$15-CÁLCULO.TotalAdmLocal)*CRONO!$E151,0),Y150*$R149),SUMIF(OFFSET($R151,1,0,$Q149-2),($L149+1)&amp;"$",OFFSET(Y151,1,0,$Q149-2)))</f>
        <v>0</v>
      </c>
      <c r="Z151" s="222">
        <f ca="1">IF($Q149=2,IF(AND(ACOMPANHAMENTO="PLE",ISNUMBER($E149)),SUMIF((OFFSET(CÁLCULO!$AM$15:$AW$15,$E149,0,OFFSET(ORÇAMENTO!$D$15,CRONO!$E149,0))),"="&amp;CRONO!Z$12,OFFSET(CÁLCULO!$AB$15:$AL$15,$E149,0,OFFSET(ORÇAMENTO!$D$15,CRONO!$E149,0)))+IF(AND($E151&lt;&gt;"",$E151&lt;&gt;0),SUMIF(CÁLCULO!$AM$15:$AW$32,"="&amp;CRONO!Z$12,CÁLCULO!$AB$15:$AL$32)/(ORÇAMENTO!$X$15-CÁLCULO.TotalAdmLocal)*CRONO!$E151,0),Z150*$R149),SUMIF(OFFSET($R151,1,0,$Q149-2),($L149+1)&amp;"$",OFFSET(Z151,1,0,$Q149-2)))</f>
        <v>0</v>
      </c>
      <c r="AA151" s="222">
        <f ca="1">IF($Q149=2,IF(AND(ACOMPANHAMENTO="PLE",ISNUMBER($E149)),SUMIF((OFFSET(CÁLCULO!$AM$15:$AW$15,$E149,0,OFFSET(ORÇAMENTO!$D$15,CRONO!$E149,0))),"="&amp;CRONO!AA$12,OFFSET(CÁLCULO!$AB$15:$AL$15,$E149,0,OFFSET(ORÇAMENTO!$D$15,CRONO!$E149,0)))+IF(AND($E151&lt;&gt;"",$E151&lt;&gt;0),SUMIF(CÁLCULO!$AM$15:$AW$32,"="&amp;CRONO!AA$12,CÁLCULO!$AB$15:$AL$32)/(ORÇAMENTO!$X$15-CÁLCULO.TotalAdmLocal)*CRONO!$E151,0),AA150*$R149),SUMIF(OFFSET($R151,1,0,$Q149-2),($L149+1)&amp;"$",OFFSET(AA151,1,0,$Q149-2)))</f>
        <v>0</v>
      </c>
      <c r="AB151" s="222">
        <f ca="1">IF($Q149=2,IF(AND(ACOMPANHAMENTO="PLE",ISNUMBER($E149)),SUMIF((OFFSET(CÁLCULO!$AM$15:$AW$15,$E149,0,OFFSET(ORÇAMENTO!$D$15,CRONO!$E149,0))),"="&amp;CRONO!AB$12,OFFSET(CÁLCULO!$AB$15:$AL$15,$E149,0,OFFSET(ORÇAMENTO!$D$15,CRONO!$E149,0)))+IF(AND($E151&lt;&gt;"",$E151&lt;&gt;0),SUMIF(CÁLCULO!$AM$15:$AW$32,"="&amp;CRONO!AB$12,CÁLCULO!$AB$15:$AL$32)/(ORÇAMENTO!$X$15-CÁLCULO.TotalAdmLocal)*CRONO!$E151,0),AB150*$R149),SUMIF(OFFSET($R151,1,0,$Q149-2),($L149+1)&amp;"$",OFFSET(AB151,1,0,$Q149-2)))</f>
        <v>0</v>
      </c>
      <c r="AC151" s="222">
        <f ca="1">IF($Q149=2,IF(AND(ACOMPANHAMENTO="PLE",ISNUMBER($E149)),SUMIF((OFFSET(CÁLCULO!$AM$15:$AW$15,$E149,0,OFFSET(ORÇAMENTO!$D$15,CRONO!$E149,0))),"="&amp;CRONO!AC$12,OFFSET(CÁLCULO!$AB$15:$AL$15,$E149,0,OFFSET(ORÇAMENTO!$D$15,CRONO!$E149,0)))+IF(AND($E151&lt;&gt;"",$E151&lt;&gt;0),SUMIF(CÁLCULO!$AM$15:$AW$32,"="&amp;CRONO!AC$12,CÁLCULO!$AB$15:$AL$32)/(ORÇAMENTO!$X$15-CÁLCULO.TotalAdmLocal)*CRONO!$E151,0),AC150*$R149),SUMIF(OFFSET($R151,1,0,$Q149-2),($L149+1)&amp;"$",OFFSET(AC151,1,0,$Q149-2)))</f>
        <v>0</v>
      </c>
      <c r="AD151" s="222">
        <f ca="1">IF($Q149=2,IF(AND(ACOMPANHAMENTO="PLE",ISNUMBER($E149)),SUMIF((OFFSET(CÁLCULO!$AM$15:$AW$15,$E149,0,OFFSET(ORÇAMENTO!$D$15,CRONO!$E149,0))),"="&amp;CRONO!AD$12,OFFSET(CÁLCULO!$AB$15:$AL$15,$E149,0,OFFSET(ORÇAMENTO!$D$15,CRONO!$E149,0)))+IF(AND($E151&lt;&gt;"",$E151&lt;&gt;0),SUMIF(CÁLCULO!$AM$15:$AW$32,"="&amp;CRONO!AD$12,CÁLCULO!$AB$15:$AL$32)/(ORÇAMENTO!$X$15-CÁLCULO.TotalAdmLocal)*CRONO!$E151,0),AD150*$R149),SUMIF(OFFSET($R151,1,0,$Q149-2),($L149+1)&amp;"$",OFFSET(AD151,1,0,$Q149-2)))</f>
        <v>0</v>
      </c>
      <c r="AE151" s="227">
        <f ca="1">IF($Q149=2,IF(AND(ACOMPANHAMENTO="PLE",ISNUMBER($E149)),SUMIF((OFFSET(CÁLCULO!$AM$15:$AW$15,$E149,0,OFFSET(ORÇAMENTO!$D$15,CRONO!$E149,0))),"="&amp;CRONO!AE$12,OFFSET(CÁLCULO!$AB$15:$AL$15,$E149,0,OFFSET(ORÇAMENTO!$D$15,CRONO!$E149,0)))+IF(AND($E151&lt;&gt;"",$E151&lt;&gt;0),SUMIF(CÁLCULO!$AM$15:$AW$32,"="&amp;CRONO!AE$12,CÁLCULO!$AB$15:$AL$32)/(ORÇAMENTO!$X$15-CÁLCULO.TotalAdmLocal)*CRONO!$E151,0),AE150*$R149),SUMIF(OFFSET($R151,1,0,$Q149-2),($L149+1)&amp;"$",OFFSET(AE151,1,0,$Q149-2)))</f>
        <v>0</v>
      </c>
    </row>
    <row r="152" spans="1:32" hidden="1" x14ac:dyDescent="0.25">
      <c r="A152" s="203">
        <f t="shared" ref="A152" ca="1" si="325">OFFSET(A152,-3,0)+1</f>
        <v>47</v>
      </c>
      <c r="B152" s="203">
        <f ca="1">IF($Q152&lt;&gt;2,0,IF($R152=0,1,IF(E153&gt;0,OFFSET(QCI!$M$13,SUBSTITUTE(E153,".",""),0),OFFSET(ORÇAMENTO!$AA$15,CRONO!$E152,0))/$R152))</f>
        <v>0</v>
      </c>
      <c r="C152" s="203">
        <f ca="1">IF($Q152&lt;&gt;2,0,IF($R152=0,1,IF(E153&gt;0,OFFSET(QCI!$N$13,SUBSTITUTE(E153,".",""),0),OFFSET(ORÇAMENTO!$AB$15,CRONO!$E152,0))/$R152))</f>
        <v>0</v>
      </c>
      <c r="D152" s="206" t="e">
        <f ca="1">IF(AND($Q152=2,ACOMPANHAMENTO="BM"),D153,D154/$R152)</f>
        <v>#VALUE!</v>
      </c>
      <c r="E152" s="203" t="e">
        <f ca="1">IF(A152&lt;=ORÇAMENTO.MáximoListaCrono,MATCH(A152,ORÇAMENTO.ListaCrono,0),NA())</f>
        <v>#N/A</v>
      </c>
      <c r="F152" s="203" t="str">
        <f t="shared" ref="F152" ca="1" si="326">IF(AND($E153&lt;&gt;-1,$R152&gt;0),"F","")</f>
        <v/>
      </c>
      <c r="G152" s="207" t="str">
        <f ca="1">IF(OR(R152=0,R152=""),"Linha",IF(AND(OR(ACOMPANHAMENTO="PLE",$Q152&lt;&gt;2),$E153=0),"Linha",1-SUM(T152:AF152)))</f>
        <v>Linha</v>
      </c>
      <c r="H152" s="208" t="str">
        <f ca="1">IF($E153=0,OFFSET(ORÇAMENTO!O$15,$E152,0),IF($E153&lt;&gt;-1,OFFSET(QCI!$D$13,$E153,0),""))</f>
        <v/>
      </c>
      <c r="I152" s="209" t="str">
        <f ca="1">IF($E153=0,OFFSET(ORÇAMENTO!R$15,$E152,0),IF($E153&lt;&gt;-1,OFFSET(QCI!$G$13,$E153,0),""))</f>
        <v/>
      </c>
      <c r="J152" s="209"/>
      <c r="K152" s="209"/>
      <c r="L152" s="210">
        <f ca="1">IF($E153=0,OFFSET(ORÇAMENTO!C$15,$E152,0),1)</f>
        <v>1</v>
      </c>
      <c r="M152" s="211">
        <f ca="1">IF($E153=-1,0,IF(M$13&lt;=$L152,IF(ISERROR(MATCH(M$13,OFFSET($L152,1,0,ROW($L$164)-ROW($L152)-1),0)),ROW($L$164)-ROW($L152)-1,MATCH(M$13,OFFSET($L152,1,0,ROW($L$164)-ROW($L152)-1),0)-1),0))</f>
        <v>0</v>
      </c>
      <c r="N152" s="211">
        <f ca="1">IF($E153=-1,0,IF(N$13&lt;=$L152,IF(ISERROR(MATCH(N$13,OFFSET($L152,1,0,ROW($L$164)-ROW($L152)-1),0)),ROW($L$164)-ROW($L152)-1,MATCH(N$13,OFFSET($L152,1,0,ROW($L$164)-ROW($L152)-1),0)-1),0))</f>
        <v>0</v>
      </c>
      <c r="O152" s="211">
        <f ca="1">IF($E153=-1,0,IF(O$13&lt;=$L152,IF(ISERROR(MATCH(O$13,OFFSET($L152,1,0,ROW($L$164)-ROW($L152)-1),0)),ROW($L$164)-ROW($L152)-1,MATCH(O$13,OFFSET($L152,1,0,ROW($L$164)-ROW($L152)-1),0)-1),0))</f>
        <v>0</v>
      </c>
      <c r="P152" s="211">
        <f ca="1">IF($E153=-1,0,IF(P$13&lt;=$L152,IF(ISERROR(MATCH(P$13,OFFSET($L152,1,0,ROW($L$164)-ROW($L152)-1),0)),ROW($L$164)-ROW($L152)-1,MATCH(P$13,OFFSET($L152,1,0,ROW($L$164)-ROW($L152)-1),0)-1),0))</f>
        <v>0</v>
      </c>
      <c r="Q152" s="211">
        <f t="shared" ref="Q152" ca="1" si="327">MIN(OFFSET(L152,0,1,,L152))</f>
        <v>0</v>
      </c>
      <c r="R152" s="212" t="str">
        <f ca="1">IF($E153=0,OFFSET(ORÇAMENTO!X$15,$E152,0),IF($E153&lt;&gt;-1,OFFSET(QCI!$O$13,$E153,0),""))</f>
        <v/>
      </c>
      <c r="S152" s="213" t="s">
        <v>270</v>
      </c>
      <c r="T152" s="214" t="e">
        <f t="shared" ref="T152:AE152" ca="1" si="328">IF(AND($Q152=2,ACOMPANHAMENTO="BM"),T153,T154/$R152)</f>
        <v>#VALUE!</v>
      </c>
      <c r="U152" s="206" t="e">
        <f t="shared" ca="1" si="328"/>
        <v>#VALUE!</v>
      </c>
      <c r="V152" s="206" t="e">
        <f t="shared" ca="1" si="328"/>
        <v>#VALUE!</v>
      </c>
      <c r="W152" s="206" t="e">
        <f t="shared" ca="1" si="328"/>
        <v>#VALUE!</v>
      </c>
      <c r="X152" s="206" t="e">
        <f t="shared" ca="1" si="328"/>
        <v>#VALUE!</v>
      </c>
      <c r="Y152" s="206" t="e">
        <f t="shared" ca="1" si="328"/>
        <v>#VALUE!</v>
      </c>
      <c r="Z152" s="206" t="e">
        <f t="shared" ca="1" si="328"/>
        <v>#VALUE!</v>
      </c>
      <c r="AA152" s="206" t="e">
        <f t="shared" ca="1" si="328"/>
        <v>#VALUE!</v>
      </c>
      <c r="AB152" s="206" t="e">
        <f t="shared" ca="1" si="328"/>
        <v>#VALUE!</v>
      </c>
      <c r="AC152" s="206" t="e">
        <f t="shared" ca="1" si="328"/>
        <v>#VALUE!</v>
      </c>
      <c r="AD152" s="206" t="e">
        <f t="shared" ca="1" si="328"/>
        <v>#VALUE!</v>
      </c>
      <c r="AE152" s="215" t="e">
        <f t="shared" ca="1" si="328"/>
        <v>#VALUE!</v>
      </c>
    </row>
    <row r="153" spans="1:32" ht="12.75" hidden="1" customHeight="1" x14ac:dyDescent="0.25">
      <c r="D153" s="568"/>
      <c r="E153" s="203">
        <f ca="1">IF(ISERROR(E152),IF(1+COUNTIF($L$13:OFFSET(L152,-1,0),1)&lt;=MAX(QCI!$D$13:$D$24),1+COUNTIF($L$13:OFFSET(L152,-1,0),1),-1),0)</f>
        <v>-1</v>
      </c>
      <c r="F153" s="203" t="str">
        <f t="shared" ref="F153" ca="1" si="329">IF(AND($E153&lt;&gt;-1,$R152&gt;0),"F","")</f>
        <v/>
      </c>
      <c r="G153" s="216" t="str">
        <f ca="1">IF(OR(R152=0,R152=""),"vazia",IF(AND(OR(ACOMPANHAMENTO="PLE",$Q152&lt;&gt;2),$E153=0),"calculada","--&gt;"))</f>
        <v>vazia</v>
      </c>
      <c r="H153" s="217"/>
      <c r="I153" s="218" t="str">
        <f t="shared" ref="I153" ca="1" si="330">IF(AND(G152&lt;&gt;0,ISNUMBER(G152)),"PREENCHA ESTA LINHA --&gt;","")</f>
        <v/>
      </c>
      <c r="J153" s="218"/>
      <c r="K153" s="218"/>
      <c r="L153" s="219"/>
      <c r="M153" s="219"/>
      <c r="N153" s="219"/>
      <c r="O153" s="219"/>
      <c r="P153" s="219"/>
      <c r="Q153" s="219"/>
      <c r="R153" s="220"/>
      <c r="S153" s="221"/>
      <c r="T153" s="569"/>
      <c r="U153" s="568"/>
      <c r="V153" s="568"/>
      <c r="W153" s="568"/>
      <c r="X153" s="568"/>
      <c r="Y153" s="568"/>
      <c r="Z153" s="568"/>
      <c r="AA153" s="568"/>
      <c r="AB153" s="568"/>
      <c r="AC153" s="568"/>
      <c r="AD153" s="568"/>
      <c r="AE153" s="570"/>
      <c r="AF153" s="532"/>
    </row>
    <row r="154" spans="1:32" ht="0.15" hidden="1" customHeight="1" x14ac:dyDescent="0.25">
      <c r="D154" s="222">
        <f ca="1">IF($Q152=2,IF(AND(ACOMPANHAMENTO="PLE",ISNUMBER($E152)),SUMIF((OFFSET(CÁLCULO!$AM$15:$AW$15,$E152,0,OFFSET(ORÇAMENTO!$D$15,CRONO!$E152,0))),"="&amp;CRONO!D$12,OFFSET(CÁLCULO!$AB$15:$AL$15,$E152,0,OFFSET(ORÇAMENTO!$D$15,CRONO!$E152,0)))+IF(AND($E154&lt;&gt;"",$E154&lt;&gt;0),SUMIF(CÁLCULO!$AM$15:$AW$32,"="&amp;CRONO!D$12,CÁLCULO!$AB$15:$AL$32)/(ORÇAMENTO!$X$15-CÁLCULO.TotalAdmLocal)*CRONO!$E154,0),D153*$R152),SUMIF(OFFSET($R154,1,0,$Q152-2),($L152+1)&amp;"$",OFFSET(D154,1,0,$Q152-2)))</f>
        <v>0</v>
      </c>
      <c r="E154" s="203" t="str">
        <f ca="1">IF(OR($Q152&lt;&gt;2,AUTOEVENTO&lt;&gt;"manual",$E153&gt;0),"",SUMIF(OFFSET(CÁLCULO!$M$15,CRONO!$E152,0,OFFSET(ORÇAMENTO!$D$15,CRONO!$E152,0)),1,OFFSET(ORÇAMENTO!$X$15,CRONO!$E152,0,OFFSET(ORÇAMENTO!$D$15,CRONO!$E152,0))))</f>
        <v/>
      </c>
      <c r="G154" s="223"/>
      <c r="R154" s="224" t="str">
        <f t="shared" ref="R154" ca="1" si="331">L152&amp;"$"</f>
        <v>1$</v>
      </c>
      <c r="S154" s="225"/>
      <c r="T154" s="226">
        <f ca="1">IF($Q152=2,IF(AND(ACOMPANHAMENTO="PLE",ISNUMBER($E152)),SUMIF((OFFSET(CÁLCULO!$AM$15:$AW$15,$E152,0,OFFSET(ORÇAMENTO!$D$15,CRONO!$E152,0))),"&lt;="&amp;CRONO!T$12,OFFSET(CÁLCULO!$AB$15:$AL$15,$E152,0,OFFSET(ORÇAMENTO!$D$15,CRONO!$E152,0)))+IF(AND($E154&lt;&gt;"",$E154&lt;&gt;0),SUMIF(CÁLCULO!$AM$15:$AW$32,"&lt;="&amp;CRONO!T$12,CÁLCULO!$AB$15:$AL$32)/(ORÇAMENTO!$X$15-CÁLCULO.TotalAdmLocal)*CRONO!$E154,0),T153*$R152),SUMIF(OFFSET($R154,1,0,$Q152-2),($L152+1)&amp;"$",OFFSET(T154,1,0,$Q152-2)))</f>
        <v>0</v>
      </c>
      <c r="U154" s="222">
        <f ca="1">IF($Q152=2,IF(AND(ACOMPANHAMENTO="PLE",ISNUMBER($E152)),SUMIF((OFFSET(CÁLCULO!$AM$15:$AW$15,$E152,0,OFFSET(ORÇAMENTO!$D$15,CRONO!$E152,0))),"="&amp;CRONO!U$12,OFFSET(CÁLCULO!$AB$15:$AL$15,$E152,0,OFFSET(ORÇAMENTO!$D$15,CRONO!$E152,0)))+IF(AND($E154&lt;&gt;"",$E154&lt;&gt;0),SUMIF(CÁLCULO!$AM$15:$AW$32,"="&amp;CRONO!U$12,CÁLCULO!$AB$15:$AL$32)/(ORÇAMENTO!$X$15-CÁLCULO.TotalAdmLocal)*CRONO!$E154,0),U153*$R152),SUMIF(OFFSET($R154,1,0,$Q152-2),($L152+1)&amp;"$",OFFSET(U154,1,0,$Q152-2)))</f>
        <v>0</v>
      </c>
      <c r="V154" s="222">
        <f ca="1">IF($Q152=2,IF(AND(ACOMPANHAMENTO="PLE",ISNUMBER($E152)),SUMIF((OFFSET(CÁLCULO!$AM$15:$AW$15,$E152,0,OFFSET(ORÇAMENTO!$D$15,CRONO!$E152,0))),"="&amp;CRONO!V$12,OFFSET(CÁLCULO!$AB$15:$AL$15,$E152,0,OFFSET(ORÇAMENTO!$D$15,CRONO!$E152,0)))+IF(AND($E154&lt;&gt;"",$E154&lt;&gt;0),SUMIF(CÁLCULO!$AM$15:$AW$32,"="&amp;CRONO!V$12,CÁLCULO!$AB$15:$AL$32)/(ORÇAMENTO!$X$15-CÁLCULO.TotalAdmLocal)*CRONO!$E154,0),V153*$R152),SUMIF(OFFSET($R154,1,0,$Q152-2),($L152+1)&amp;"$",OFFSET(V154,1,0,$Q152-2)))</f>
        <v>0</v>
      </c>
      <c r="W154" s="222">
        <f ca="1">IF($Q152=2,IF(AND(ACOMPANHAMENTO="PLE",ISNUMBER($E152)),SUMIF((OFFSET(CÁLCULO!$AM$15:$AW$15,$E152,0,OFFSET(ORÇAMENTO!$D$15,CRONO!$E152,0))),"="&amp;CRONO!W$12,OFFSET(CÁLCULO!$AB$15:$AL$15,$E152,0,OFFSET(ORÇAMENTO!$D$15,CRONO!$E152,0)))+IF(AND($E154&lt;&gt;"",$E154&lt;&gt;0),SUMIF(CÁLCULO!$AM$15:$AW$32,"="&amp;CRONO!W$12,CÁLCULO!$AB$15:$AL$32)/(ORÇAMENTO!$X$15-CÁLCULO.TotalAdmLocal)*CRONO!$E154,0),W153*$R152),SUMIF(OFFSET($R154,1,0,$Q152-2),($L152+1)&amp;"$",OFFSET(W154,1,0,$Q152-2)))</f>
        <v>0</v>
      </c>
      <c r="X154" s="222">
        <f ca="1">IF($Q152=2,IF(AND(ACOMPANHAMENTO="PLE",ISNUMBER($E152)),SUMIF((OFFSET(CÁLCULO!$AM$15:$AW$15,$E152,0,OFFSET(ORÇAMENTO!$D$15,CRONO!$E152,0))),"="&amp;CRONO!X$12,OFFSET(CÁLCULO!$AB$15:$AL$15,$E152,0,OFFSET(ORÇAMENTO!$D$15,CRONO!$E152,0)))+IF(AND($E154&lt;&gt;"",$E154&lt;&gt;0),SUMIF(CÁLCULO!$AM$15:$AW$32,"="&amp;CRONO!X$12,CÁLCULO!$AB$15:$AL$32)/(ORÇAMENTO!$X$15-CÁLCULO.TotalAdmLocal)*CRONO!$E154,0),X153*$R152),SUMIF(OFFSET($R154,1,0,$Q152-2),($L152+1)&amp;"$",OFFSET(X154,1,0,$Q152-2)))</f>
        <v>0</v>
      </c>
      <c r="Y154" s="222">
        <f ca="1">IF($Q152=2,IF(AND(ACOMPANHAMENTO="PLE",ISNUMBER($E152)),SUMIF((OFFSET(CÁLCULO!$AM$15:$AW$15,$E152,0,OFFSET(ORÇAMENTO!$D$15,CRONO!$E152,0))),"="&amp;CRONO!Y$12,OFFSET(CÁLCULO!$AB$15:$AL$15,$E152,0,OFFSET(ORÇAMENTO!$D$15,CRONO!$E152,0)))+IF(AND($E154&lt;&gt;"",$E154&lt;&gt;0),SUMIF(CÁLCULO!$AM$15:$AW$32,"="&amp;CRONO!Y$12,CÁLCULO!$AB$15:$AL$32)/(ORÇAMENTO!$X$15-CÁLCULO.TotalAdmLocal)*CRONO!$E154,0),Y153*$R152),SUMIF(OFFSET($R154,1,0,$Q152-2),($L152+1)&amp;"$",OFFSET(Y154,1,0,$Q152-2)))</f>
        <v>0</v>
      </c>
      <c r="Z154" s="222">
        <f ca="1">IF($Q152=2,IF(AND(ACOMPANHAMENTO="PLE",ISNUMBER($E152)),SUMIF((OFFSET(CÁLCULO!$AM$15:$AW$15,$E152,0,OFFSET(ORÇAMENTO!$D$15,CRONO!$E152,0))),"="&amp;CRONO!Z$12,OFFSET(CÁLCULO!$AB$15:$AL$15,$E152,0,OFFSET(ORÇAMENTO!$D$15,CRONO!$E152,0)))+IF(AND($E154&lt;&gt;"",$E154&lt;&gt;0),SUMIF(CÁLCULO!$AM$15:$AW$32,"="&amp;CRONO!Z$12,CÁLCULO!$AB$15:$AL$32)/(ORÇAMENTO!$X$15-CÁLCULO.TotalAdmLocal)*CRONO!$E154,0),Z153*$R152),SUMIF(OFFSET($R154,1,0,$Q152-2),($L152+1)&amp;"$",OFFSET(Z154,1,0,$Q152-2)))</f>
        <v>0</v>
      </c>
      <c r="AA154" s="222">
        <f ca="1">IF($Q152=2,IF(AND(ACOMPANHAMENTO="PLE",ISNUMBER($E152)),SUMIF((OFFSET(CÁLCULO!$AM$15:$AW$15,$E152,0,OFFSET(ORÇAMENTO!$D$15,CRONO!$E152,0))),"="&amp;CRONO!AA$12,OFFSET(CÁLCULO!$AB$15:$AL$15,$E152,0,OFFSET(ORÇAMENTO!$D$15,CRONO!$E152,0)))+IF(AND($E154&lt;&gt;"",$E154&lt;&gt;0),SUMIF(CÁLCULO!$AM$15:$AW$32,"="&amp;CRONO!AA$12,CÁLCULO!$AB$15:$AL$32)/(ORÇAMENTO!$X$15-CÁLCULO.TotalAdmLocal)*CRONO!$E154,0),AA153*$R152),SUMIF(OFFSET($R154,1,0,$Q152-2),($L152+1)&amp;"$",OFFSET(AA154,1,0,$Q152-2)))</f>
        <v>0</v>
      </c>
      <c r="AB154" s="222">
        <f ca="1">IF($Q152=2,IF(AND(ACOMPANHAMENTO="PLE",ISNUMBER($E152)),SUMIF((OFFSET(CÁLCULO!$AM$15:$AW$15,$E152,0,OFFSET(ORÇAMENTO!$D$15,CRONO!$E152,0))),"="&amp;CRONO!AB$12,OFFSET(CÁLCULO!$AB$15:$AL$15,$E152,0,OFFSET(ORÇAMENTO!$D$15,CRONO!$E152,0)))+IF(AND($E154&lt;&gt;"",$E154&lt;&gt;0),SUMIF(CÁLCULO!$AM$15:$AW$32,"="&amp;CRONO!AB$12,CÁLCULO!$AB$15:$AL$32)/(ORÇAMENTO!$X$15-CÁLCULO.TotalAdmLocal)*CRONO!$E154,0),AB153*$R152),SUMIF(OFFSET($R154,1,0,$Q152-2),($L152+1)&amp;"$",OFFSET(AB154,1,0,$Q152-2)))</f>
        <v>0</v>
      </c>
      <c r="AC154" s="222">
        <f ca="1">IF($Q152=2,IF(AND(ACOMPANHAMENTO="PLE",ISNUMBER($E152)),SUMIF((OFFSET(CÁLCULO!$AM$15:$AW$15,$E152,0,OFFSET(ORÇAMENTO!$D$15,CRONO!$E152,0))),"="&amp;CRONO!AC$12,OFFSET(CÁLCULO!$AB$15:$AL$15,$E152,0,OFFSET(ORÇAMENTO!$D$15,CRONO!$E152,0)))+IF(AND($E154&lt;&gt;"",$E154&lt;&gt;0),SUMIF(CÁLCULO!$AM$15:$AW$32,"="&amp;CRONO!AC$12,CÁLCULO!$AB$15:$AL$32)/(ORÇAMENTO!$X$15-CÁLCULO.TotalAdmLocal)*CRONO!$E154,0),AC153*$R152),SUMIF(OFFSET($R154,1,0,$Q152-2),($L152+1)&amp;"$",OFFSET(AC154,1,0,$Q152-2)))</f>
        <v>0</v>
      </c>
      <c r="AD154" s="222">
        <f ca="1">IF($Q152=2,IF(AND(ACOMPANHAMENTO="PLE",ISNUMBER($E152)),SUMIF((OFFSET(CÁLCULO!$AM$15:$AW$15,$E152,0,OFFSET(ORÇAMENTO!$D$15,CRONO!$E152,0))),"="&amp;CRONO!AD$12,OFFSET(CÁLCULO!$AB$15:$AL$15,$E152,0,OFFSET(ORÇAMENTO!$D$15,CRONO!$E152,0)))+IF(AND($E154&lt;&gt;"",$E154&lt;&gt;0),SUMIF(CÁLCULO!$AM$15:$AW$32,"="&amp;CRONO!AD$12,CÁLCULO!$AB$15:$AL$32)/(ORÇAMENTO!$X$15-CÁLCULO.TotalAdmLocal)*CRONO!$E154,0),AD153*$R152),SUMIF(OFFSET($R154,1,0,$Q152-2),($L152+1)&amp;"$",OFFSET(AD154,1,0,$Q152-2)))</f>
        <v>0</v>
      </c>
      <c r="AE154" s="227">
        <f ca="1">IF($Q152=2,IF(AND(ACOMPANHAMENTO="PLE",ISNUMBER($E152)),SUMIF((OFFSET(CÁLCULO!$AM$15:$AW$15,$E152,0,OFFSET(ORÇAMENTO!$D$15,CRONO!$E152,0))),"="&amp;CRONO!AE$12,OFFSET(CÁLCULO!$AB$15:$AL$15,$E152,0,OFFSET(ORÇAMENTO!$D$15,CRONO!$E152,0)))+IF(AND($E154&lt;&gt;"",$E154&lt;&gt;0),SUMIF(CÁLCULO!$AM$15:$AW$32,"="&amp;CRONO!AE$12,CÁLCULO!$AB$15:$AL$32)/(ORÇAMENTO!$X$15-CÁLCULO.TotalAdmLocal)*CRONO!$E154,0),AE153*$R152),SUMIF(OFFSET($R154,1,0,$Q152-2),($L152+1)&amp;"$",OFFSET(AE154,1,0,$Q152-2)))</f>
        <v>0</v>
      </c>
    </row>
    <row r="155" spans="1:32" hidden="1" x14ac:dyDescent="0.25">
      <c r="A155" s="203">
        <f t="shared" ref="A155" ca="1" si="332">OFFSET(A155,-3,0)+1</f>
        <v>48</v>
      </c>
      <c r="B155" s="203">
        <f ca="1">IF($Q155&lt;&gt;2,0,IF($R155=0,1,IF(E156&gt;0,OFFSET(QCI!$M$13,SUBSTITUTE(E156,".",""),0),OFFSET(ORÇAMENTO!$AA$15,CRONO!$E155,0))/$R155))</f>
        <v>0</v>
      </c>
      <c r="C155" s="203">
        <f ca="1">IF($Q155&lt;&gt;2,0,IF($R155=0,1,IF(E156&gt;0,OFFSET(QCI!$N$13,SUBSTITUTE(E156,".",""),0),OFFSET(ORÇAMENTO!$AB$15,CRONO!$E155,0))/$R155))</f>
        <v>0</v>
      </c>
      <c r="D155" s="206" t="e">
        <f ca="1">IF(AND($Q155=2,ACOMPANHAMENTO="BM"),D156,D157/$R155)</f>
        <v>#VALUE!</v>
      </c>
      <c r="E155" s="203" t="e">
        <f ca="1">IF(A155&lt;=ORÇAMENTO.MáximoListaCrono,MATCH(A155,ORÇAMENTO.ListaCrono,0),NA())</f>
        <v>#N/A</v>
      </c>
      <c r="F155" s="203" t="str">
        <f t="shared" ref="F155" ca="1" si="333">IF(AND($E156&lt;&gt;-1,$R155&gt;0),"F","")</f>
        <v/>
      </c>
      <c r="G155" s="207" t="str">
        <f ca="1">IF(OR(R155=0,R155=""),"Linha",IF(AND(OR(ACOMPANHAMENTO="PLE",$Q155&lt;&gt;2),$E156=0),"Linha",1-SUM(T155:AF155)))</f>
        <v>Linha</v>
      </c>
      <c r="H155" s="208" t="str">
        <f ca="1">IF($E156=0,OFFSET(ORÇAMENTO!O$15,$E155,0),IF($E156&lt;&gt;-1,OFFSET(QCI!$D$13,$E156,0),""))</f>
        <v/>
      </c>
      <c r="I155" s="209" t="str">
        <f ca="1">IF($E156=0,OFFSET(ORÇAMENTO!R$15,$E155,0),IF($E156&lt;&gt;-1,OFFSET(QCI!$G$13,$E156,0),""))</f>
        <v/>
      </c>
      <c r="J155" s="209"/>
      <c r="K155" s="209"/>
      <c r="L155" s="210">
        <f ca="1">IF($E156=0,OFFSET(ORÇAMENTO!C$15,$E155,0),1)</f>
        <v>1</v>
      </c>
      <c r="M155" s="211">
        <f ca="1">IF($E156=-1,0,IF(M$13&lt;=$L155,IF(ISERROR(MATCH(M$13,OFFSET($L155,1,0,ROW($L$164)-ROW($L155)-1),0)),ROW($L$164)-ROW($L155)-1,MATCH(M$13,OFFSET($L155,1,0,ROW($L$164)-ROW($L155)-1),0)-1),0))</f>
        <v>0</v>
      </c>
      <c r="N155" s="211">
        <f ca="1">IF($E156=-1,0,IF(N$13&lt;=$L155,IF(ISERROR(MATCH(N$13,OFFSET($L155,1,0,ROW($L$164)-ROW($L155)-1),0)),ROW($L$164)-ROW($L155)-1,MATCH(N$13,OFFSET($L155,1,0,ROW($L$164)-ROW($L155)-1),0)-1),0))</f>
        <v>0</v>
      </c>
      <c r="O155" s="211">
        <f ca="1">IF($E156=-1,0,IF(O$13&lt;=$L155,IF(ISERROR(MATCH(O$13,OFFSET($L155,1,0,ROW($L$164)-ROW($L155)-1),0)),ROW($L$164)-ROW($L155)-1,MATCH(O$13,OFFSET($L155,1,0,ROW($L$164)-ROW($L155)-1),0)-1),0))</f>
        <v>0</v>
      </c>
      <c r="P155" s="211">
        <f ca="1">IF($E156=-1,0,IF(P$13&lt;=$L155,IF(ISERROR(MATCH(P$13,OFFSET($L155,1,0,ROW($L$164)-ROW($L155)-1),0)),ROW($L$164)-ROW($L155)-1,MATCH(P$13,OFFSET($L155,1,0,ROW($L$164)-ROW($L155)-1),0)-1),0))</f>
        <v>0</v>
      </c>
      <c r="Q155" s="211">
        <f t="shared" ref="Q155" ca="1" si="334">MIN(OFFSET(L155,0,1,,L155))</f>
        <v>0</v>
      </c>
      <c r="R155" s="212" t="str">
        <f ca="1">IF($E156=0,OFFSET(ORÇAMENTO!X$15,$E155,0),IF($E156&lt;&gt;-1,OFFSET(QCI!$O$13,$E156,0),""))</f>
        <v/>
      </c>
      <c r="S155" s="213" t="s">
        <v>270</v>
      </c>
      <c r="T155" s="214" t="e">
        <f t="shared" ref="T155:AE155" ca="1" si="335">IF(AND($Q155=2,ACOMPANHAMENTO="BM"),T156,T157/$R155)</f>
        <v>#VALUE!</v>
      </c>
      <c r="U155" s="206" t="e">
        <f t="shared" ca="1" si="335"/>
        <v>#VALUE!</v>
      </c>
      <c r="V155" s="206" t="e">
        <f t="shared" ca="1" si="335"/>
        <v>#VALUE!</v>
      </c>
      <c r="W155" s="206" t="e">
        <f t="shared" ca="1" si="335"/>
        <v>#VALUE!</v>
      </c>
      <c r="X155" s="206" t="e">
        <f t="shared" ca="1" si="335"/>
        <v>#VALUE!</v>
      </c>
      <c r="Y155" s="206" t="e">
        <f t="shared" ca="1" si="335"/>
        <v>#VALUE!</v>
      </c>
      <c r="Z155" s="206" t="e">
        <f t="shared" ca="1" si="335"/>
        <v>#VALUE!</v>
      </c>
      <c r="AA155" s="206" t="e">
        <f t="shared" ca="1" si="335"/>
        <v>#VALUE!</v>
      </c>
      <c r="AB155" s="206" t="e">
        <f t="shared" ca="1" si="335"/>
        <v>#VALUE!</v>
      </c>
      <c r="AC155" s="206" t="e">
        <f t="shared" ca="1" si="335"/>
        <v>#VALUE!</v>
      </c>
      <c r="AD155" s="206" t="e">
        <f t="shared" ca="1" si="335"/>
        <v>#VALUE!</v>
      </c>
      <c r="AE155" s="215" t="e">
        <f t="shared" ca="1" si="335"/>
        <v>#VALUE!</v>
      </c>
    </row>
    <row r="156" spans="1:32" ht="12.75" hidden="1" customHeight="1" x14ac:dyDescent="0.25">
      <c r="D156" s="568"/>
      <c r="E156" s="203">
        <f ca="1">IF(ISERROR(E155),IF(1+COUNTIF($L$13:OFFSET(L155,-1,0),1)&lt;=MAX(QCI!$D$13:$D$24),1+COUNTIF($L$13:OFFSET(L155,-1,0),1),-1),0)</f>
        <v>-1</v>
      </c>
      <c r="F156" s="203" t="str">
        <f t="shared" ref="F156" ca="1" si="336">IF(AND($E156&lt;&gt;-1,$R155&gt;0),"F","")</f>
        <v/>
      </c>
      <c r="G156" s="216" t="str">
        <f ca="1">IF(OR(R155=0,R155=""),"vazia",IF(AND(OR(ACOMPANHAMENTO="PLE",$Q155&lt;&gt;2),$E156=0),"calculada","--&gt;"))</f>
        <v>vazia</v>
      </c>
      <c r="H156" s="217"/>
      <c r="I156" s="218" t="str">
        <f t="shared" ref="I156" ca="1" si="337">IF(AND(G155&lt;&gt;0,ISNUMBER(G155)),"PREENCHA ESTA LINHA --&gt;","")</f>
        <v/>
      </c>
      <c r="J156" s="218"/>
      <c r="K156" s="218"/>
      <c r="L156" s="219"/>
      <c r="M156" s="219"/>
      <c r="N156" s="219"/>
      <c r="O156" s="219"/>
      <c r="P156" s="219"/>
      <c r="Q156" s="219"/>
      <c r="R156" s="220"/>
      <c r="S156" s="221"/>
      <c r="T156" s="569"/>
      <c r="U156" s="568"/>
      <c r="V156" s="568"/>
      <c r="W156" s="568"/>
      <c r="X156" s="568"/>
      <c r="Y156" s="568"/>
      <c r="Z156" s="568"/>
      <c r="AA156" s="568"/>
      <c r="AB156" s="568"/>
      <c r="AC156" s="568"/>
      <c r="AD156" s="568"/>
      <c r="AE156" s="570"/>
      <c r="AF156" s="532"/>
    </row>
    <row r="157" spans="1:32" ht="0.15" hidden="1" customHeight="1" x14ac:dyDescent="0.25">
      <c r="D157" s="222">
        <f ca="1">IF($Q155=2,IF(AND(ACOMPANHAMENTO="PLE",ISNUMBER($E155)),SUMIF((OFFSET(CÁLCULO!$AM$15:$AW$15,$E155,0,OFFSET(ORÇAMENTO!$D$15,CRONO!$E155,0))),"="&amp;CRONO!D$12,OFFSET(CÁLCULO!$AB$15:$AL$15,$E155,0,OFFSET(ORÇAMENTO!$D$15,CRONO!$E155,0)))+IF(AND($E157&lt;&gt;"",$E157&lt;&gt;0),SUMIF(CÁLCULO!$AM$15:$AW$32,"="&amp;CRONO!D$12,CÁLCULO!$AB$15:$AL$32)/(ORÇAMENTO!$X$15-CÁLCULO.TotalAdmLocal)*CRONO!$E157,0),D156*$R155),SUMIF(OFFSET($R157,1,0,$Q155-2),($L155+1)&amp;"$",OFFSET(D157,1,0,$Q155-2)))</f>
        <v>0</v>
      </c>
      <c r="E157" s="203" t="str">
        <f ca="1">IF(OR($Q155&lt;&gt;2,AUTOEVENTO&lt;&gt;"manual",$E156&gt;0),"",SUMIF(OFFSET(CÁLCULO!$M$15,CRONO!$E155,0,OFFSET(ORÇAMENTO!$D$15,CRONO!$E155,0)),1,OFFSET(ORÇAMENTO!$X$15,CRONO!$E155,0,OFFSET(ORÇAMENTO!$D$15,CRONO!$E155,0))))</f>
        <v/>
      </c>
      <c r="G157" s="223"/>
      <c r="R157" s="224" t="str">
        <f t="shared" ref="R157" ca="1" si="338">L155&amp;"$"</f>
        <v>1$</v>
      </c>
      <c r="S157" s="225"/>
      <c r="T157" s="226">
        <f ca="1">IF($Q155=2,IF(AND(ACOMPANHAMENTO="PLE",ISNUMBER($E155)),SUMIF((OFFSET(CÁLCULO!$AM$15:$AW$15,$E155,0,OFFSET(ORÇAMENTO!$D$15,CRONO!$E155,0))),"&lt;="&amp;CRONO!T$12,OFFSET(CÁLCULO!$AB$15:$AL$15,$E155,0,OFFSET(ORÇAMENTO!$D$15,CRONO!$E155,0)))+IF(AND($E157&lt;&gt;"",$E157&lt;&gt;0),SUMIF(CÁLCULO!$AM$15:$AW$32,"&lt;="&amp;CRONO!T$12,CÁLCULO!$AB$15:$AL$32)/(ORÇAMENTO!$X$15-CÁLCULO.TotalAdmLocal)*CRONO!$E157,0),T156*$R155),SUMIF(OFFSET($R157,1,0,$Q155-2),($L155+1)&amp;"$",OFFSET(T157,1,0,$Q155-2)))</f>
        <v>0</v>
      </c>
      <c r="U157" s="222">
        <f ca="1">IF($Q155=2,IF(AND(ACOMPANHAMENTO="PLE",ISNUMBER($E155)),SUMIF((OFFSET(CÁLCULO!$AM$15:$AW$15,$E155,0,OFFSET(ORÇAMENTO!$D$15,CRONO!$E155,0))),"="&amp;CRONO!U$12,OFFSET(CÁLCULO!$AB$15:$AL$15,$E155,0,OFFSET(ORÇAMENTO!$D$15,CRONO!$E155,0)))+IF(AND($E157&lt;&gt;"",$E157&lt;&gt;0),SUMIF(CÁLCULO!$AM$15:$AW$32,"="&amp;CRONO!U$12,CÁLCULO!$AB$15:$AL$32)/(ORÇAMENTO!$X$15-CÁLCULO.TotalAdmLocal)*CRONO!$E157,0),U156*$R155),SUMIF(OFFSET($R157,1,0,$Q155-2),($L155+1)&amp;"$",OFFSET(U157,1,0,$Q155-2)))</f>
        <v>0</v>
      </c>
      <c r="V157" s="222">
        <f ca="1">IF($Q155=2,IF(AND(ACOMPANHAMENTO="PLE",ISNUMBER($E155)),SUMIF((OFFSET(CÁLCULO!$AM$15:$AW$15,$E155,0,OFFSET(ORÇAMENTO!$D$15,CRONO!$E155,0))),"="&amp;CRONO!V$12,OFFSET(CÁLCULO!$AB$15:$AL$15,$E155,0,OFFSET(ORÇAMENTO!$D$15,CRONO!$E155,0)))+IF(AND($E157&lt;&gt;"",$E157&lt;&gt;0),SUMIF(CÁLCULO!$AM$15:$AW$32,"="&amp;CRONO!V$12,CÁLCULO!$AB$15:$AL$32)/(ORÇAMENTO!$X$15-CÁLCULO.TotalAdmLocal)*CRONO!$E157,0),V156*$R155),SUMIF(OFFSET($R157,1,0,$Q155-2),($L155+1)&amp;"$",OFFSET(V157,1,0,$Q155-2)))</f>
        <v>0</v>
      </c>
      <c r="W157" s="222">
        <f ca="1">IF($Q155=2,IF(AND(ACOMPANHAMENTO="PLE",ISNUMBER($E155)),SUMIF((OFFSET(CÁLCULO!$AM$15:$AW$15,$E155,0,OFFSET(ORÇAMENTO!$D$15,CRONO!$E155,0))),"="&amp;CRONO!W$12,OFFSET(CÁLCULO!$AB$15:$AL$15,$E155,0,OFFSET(ORÇAMENTO!$D$15,CRONO!$E155,0)))+IF(AND($E157&lt;&gt;"",$E157&lt;&gt;0),SUMIF(CÁLCULO!$AM$15:$AW$32,"="&amp;CRONO!W$12,CÁLCULO!$AB$15:$AL$32)/(ORÇAMENTO!$X$15-CÁLCULO.TotalAdmLocal)*CRONO!$E157,0),W156*$R155),SUMIF(OFFSET($R157,1,0,$Q155-2),($L155+1)&amp;"$",OFFSET(W157,1,0,$Q155-2)))</f>
        <v>0</v>
      </c>
      <c r="X157" s="222">
        <f ca="1">IF($Q155=2,IF(AND(ACOMPANHAMENTO="PLE",ISNUMBER($E155)),SUMIF((OFFSET(CÁLCULO!$AM$15:$AW$15,$E155,0,OFFSET(ORÇAMENTO!$D$15,CRONO!$E155,0))),"="&amp;CRONO!X$12,OFFSET(CÁLCULO!$AB$15:$AL$15,$E155,0,OFFSET(ORÇAMENTO!$D$15,CRONO!$E155,0)))+IF(AND($E157&lt;&gt;"",$E157&lt;&gt;0),SUMIF(CÁLCULO!$AM$15:$AW$32,"="&amp;CRONO!X$12,CÁLCULO!$AB$15:$AL$32)/(ORÇAMENTO!$X$15-CÁLCULO.TotalAdmLocal)*CRONO!$E157,0),X156*$R155),SUMIF(OFFSET($R157,1,0,$Q155-2),($L155+1)&amp;"$",OFFSET(X157,1,0,$Q155-2)))</f>
        <v>0</v>
      </c>
      <c r="Y157" s="222">
        <f ca="1">IF($Q155=2,IF(AND(ACOMPANHAMENTO="PLE",ISNUMBER($E155)),SUMIF((OFFSET(CÁLCULO!$AM$15:$AW$15,$E155,0,OFFSET(ORÇAMENTO!$D$15,CRONO!$E155,0))),"="&amp;CRONO!Y$12,OFFSET(CÁLCULO!$AB$15:$AL$15,$E155,0,OFFSET(ORÇAMENTO!$D$15,CRONO!$E155,0)))+IF(AND($E157&lt;&gt;"",$E157&lt;&gt;0),SUMIF(CÁLCULO!$AM$15:$AW$32,"="&amp;CRONO!Y$12,CÁLCULO!$AB$15:$AL$32)/(ORÇAMENTO!$X$15-CÁLCULO.TotalAdmLocal)*CRONO!$E157,0),Y156*$R155),SUMIF(OFFSET($R157,1,0,$Q155-2),($L155+1)&amp;"$",OFFSET(Y157,1,0,$Q155-2)))</f>
        <v>0</v>
      </c>
      <c r="Z157" s="222">
        <f ca="1">IF($Q155=2,IF(AND(ACOMPANHAMENTO="PLE",ISNUMBER($E155)),SUMIF((OFFSET(CÁLCULO!$AM$15:$AW$15,$E155,0,OFFSET(ORÇAMENTO!$D$15,CRONO!$E155,0))),"="&amp;CRONO!Z$12,OFFSET(CÁLCULO!$AB$15:$AL$15,$E155,0,OFFSET(ORÇAMENTO!$D$15,CRONO!$E155,0)))+IF(AND($E157&lt;&gt;"",$E157&lt;&gt;0),SUMIF(CÁLCULO!$AM$15:$AW$32,"="&amp;CRONO!Z$12,CÁLCULO!$AB$15:$AL$32)/(ORÇAMENTO!$X$15-CÁLCULO.TotalAdmLocal)*CRONO!$E157,0),Z156*$R155),SUMIF(OFFSET($R157,1,0,$Q155-2),($L155+1)&amp;"$",OFFSET(Z157,1,0,$Q155-2)))</f>
        <v>0</v>
      </c>
      <c r="AA157" s="222">
        <f ca="1">IF($Q155=2,IF(AND(ACOMPANHAMENTO="PLE",ISNUMBER($E155)),SUMIF((OFFSET(CÁLCULO!$AM$15:$AW$15,$E155,0,OFFSET(ORÇAMENTO!$D$15,CRONO!$E155,0))),"="&amp;CRONO!AA$12,OFFSET(CÁLCULO!$AB$15:$AL$15,$E155,0,OFFSET(ORÇAMENTO!$D$15,CRONO!$E155,0)))+IF(AND($E157&lt;&gt;"",$E157&lt;&gt;0),SUMIF(CÁLCULO!$AM$15:$AW$32,"="&amp;CRONO!AA$12,CÁLCULO!$AB$15:$AL$32)/(ORÇAMENTO!$X$15-CÁLCULO.TotalAdmLocal)*CRONO!$E157,0),AA156*$R155),SUMIF(OFFSET($R157,1,0,$Q155-2),($L155+1)&amp;"$",OFFSET(AA157,1,0,$Q155-2)))</f>
        <v>0</v>
      </c>
      <c r="AB157" s="222">
        <f ca="1">IF($Q155=2,IF(AND(ACOMPANHAMENTO="PLE",ISNUMBER($E155)),SUMIF((OFFSET(CÁLCULO!$AM$15:$AW$15,$E155,0,OFFSET(ORÇAMENTO!$D$15,CRONO!$E155,0))),"="&amp;CRONO!AB$12,OFFSET(CÁLCULO!$AB$15:$AL$15,$E155,0,OFFSET(ORÇAMENTO!$D$15,CRONO!$E155,0)))+IF(AND($E157&lt;&gt;"",$E157&lt;&gt;0),SUMIF(CÁLCULO!$AM$15:$AW$32,"="&amp;CRONO!AB$12,CÁLCULO!$AB$15:$AL$32)/(ORÇAMENTO!$X$15-CÁLCULO.TotalAdmLocal)*CRONO!$E157,0),AB156*$R155),SUMIF(OFFSET($R157,1,0,$Q155-2),($L155+1)&amp;"$",OFFSET(AB157,1,0,$Q155-2)))</f>
        <v>0</v>
      </c>
      <c r="AC157" s="222">
        <f ca="1">IF($Q155=2,IF(AND(ACOMPANHAMENTO="PLE",ISNUMBER($E155)),SUMIF((OFFSET(CÁLCULO!$AM$15:$AW$15,$E155,0,OFFSET(ORÇAMENTO!$D$15,CRONO!$E155,0))),"="&amp;CRONO!AC$12,OFFSET(CÁLCULO!$AB$15:$AL$15,$E155,0,OFFSET(ORÇAMENTO!$D$15,CRONO!$E155,0)))+IF(AND($E157&lt;&gt;"",$E157&lt;&gt;0),SUMIF(CÁLCULO!$AM$15:$AW$32,"="&amp;CRONO!AC$12,CÁLCULO!$AB$15:$AL$32)/(ORÇAMENTO!$X$15-CÁLCULO.TotalAdmLocal)*CRONO!$E157,0),AC156*$R155),SUMIF(OFFSET($R157,1,0,$Q155-2),($L155+1)&amp;"$",OFFSET(AC157,1,0,$Q155-2)))</f>
        <v>0</v>
      </c>
      <c r="AD157" s="222">
        <f ca="1">IF($Q155=2,IF(AND(ACOMPANHAMENTO="PLE",ISNUMBER($E155)),SUMIF((OFFSET(CÁLCULO!$AM$15:$AW$15,$E155,0,OFFSET(ORÇAMENTO!$D$15,CRONO!$E155,0))),"="&amp;CRONO!AD$12,OFFSET(CÁLCULO!$AB$15:$AL$15,$E155,0,OFFSET(ORÇAMENTO!$D$15,CRONO!$E155,0)))+IF(AND($E157&lt;&gt;"",$E157&lt;&gt;0),SUMIF(CÁLCULO!$AM$15:$AW$32,"="&amp;CRONO!AD$12,CÁLCULO!$AB$15:$AL$32)/(ORÇAMENTO!$X$15-CÁLCULO.TotalAdmLocal)*CRONO!$E157,0),AD156*$R155),SUMIF(OFFSET($R157,1,0,$Q155-2),($L155+1)&amp;"$",OFFSET(AD157,1,0,$Q155-2)))</f>
        <v>0</v>
      </c>
      <c r="AE157" s="227">
        <f ca="1">IF($Q155=2,IF(AND(ACOMPANHAMENTO="PLE",ISNUMBER($E155)),SUMIF((OFFSET(CÁLCULO!$AM$15:$AW$15,$E155,0,OFFSET(ORÇAMENTO!$D$15,CRONO!$E155,0))),"="&amp;CRONO!AE$12,OFFSET(CÁLCULO!$AB$15:$AL$15,$E155,0,OFFSET(ORÇAMENTO!$D$15,CRONO!$E155,0)))+IF(AND($E157&lt;&gt;"",$E157&lt;&gt;0),SUMIF(CÁLCULO!$AM$15:$AW$32,"="&amp;CRONO!AE$12,CÁLCULO!$AB$15:$AL$32)/(ORÇAMENTO!$X$15-CÁLCULO.TotalAdmLocal)*CRONO!$E157,0),AE156*$R155),SUMIF(OFFSET($R157,1,0,$Q155-2),($L155+1)&amp;"$",OFFSET(AE157,1,0,$Q155-2)))</f>
        <v>0</v>
      </c>
    </row>
    <row r="158" spans="1:32" hidden="1" x14ac:dyDescent="0.25">
      <c r="A158" s="203">
        <f t="shared" ref="A158" ca="1" si="339">OFFSET(A158,-3,0)+1</f>
        <v>49</v>
      </c>
      <c r="B158" s="203">
        <f ca="1">IF($Q158&lt;&gt;2,0,IF($R158=0,1,IF(E159&gt;0,OFFSET(QCI!$M$13,SUBSTITUTE(E159,".",""),0),OFFSET(ORÇAMENTO!$AA$15,CRONO!$E158,0))/$R158))</f>
        <v>0</v>
      </c>
      <c r="C158" s="203">
        <f ca="1">IF($Q158&lt;&gt;2,0,IF($R158=0,1,IF(E159&gt;0,OFFSET(QCI!$N$13,SUBSTITUTE(E159,".",""),0),OFFSET(ORÇAMENTO!$AB$15,CRONO!$E158,0))/$R158))</f>
        <v>0</v>
      </c>
      <c r="D158" s="206" t="e">
        <f ca="1">IF(AND($Q158=2,ACOMPANHAMENTO="BM"),D159,D160/$R158)</f>
        <v>#VALUE!</v>
      </c>
      <c r="E158" s="203" t="e">
        <f ca="1">IF(A158&lt;=ORÇAMENTO.MáximoListaCrono,MATCH(A158,ORÇAMENTO.ListaCrono,0),NA())</f>
        <v>#N/A</v>
      </c>
      <c r="F158" s="203" t="str">
        <f t="shared" ref="F158" ca="1" si="340">IF(AND($E159&lt;&gt;-1,$R158&gt;0),"F","")</f>
        <v/>
      </c>
      <c r="G158" s="207" t="str">
        <f ca="1">IF(OR(R158=0,R158=""),"Linha",IF(AND(OR(ACOMPANHAMENTO="PLE",$Q158&lt;&gt;2),$E159=0),"Linha",1-SUM(T158:AF158)))</f>
        <v>Linha</v>
      </c>
      <c r="H158" s="208" t="str">
        <f ca="1">IF($E159=0,OFFSET(ORÇAMENTO!O$15,$E158,0),IF($E159&lt;&gt;-1,OFFSET(QCI!$D$13,$E159,0),""))</f>
        <v/>
      </c>
      <c r="I158" s="209" t="str">
        <f ca="1">IF($E159=0,OFFSET(ORÇAMENTO!R$15,$E158,0),IF($E159&lt;&gt;-1,OFFSET(QCI!$G$13,$E159,0),""))</f>
        <v/>
      </c>
      <c r="J158" s="209"/>
      <c r="K158" s="209"/>
      <c r="L158" s="210">
        <f ca="1">IF($E159=0,OFFSET(ORÇAMENTO!C$15,$E158,0),1)</f>
        <v>1</v>
      </c>
      <c r="M158" s="211">
        <f t="shared" ref="M158" ca="1" si="341">IF($E159=-1,0,IF(M$13&lt;=$L158,IF(ISERROR(MATCH(M$13,OFFSET($L158,1,0,ROW($L$164)-ROW($L158)-1),0)),ROW($L$164)-ROW($L158)-1,MATCH(M$13,OFFSET($L158,1,0,ROW($L$164)-ROW($L158)-1),0)-1),0))</f>
        <v>0</v>
      </c>
      <c r="N158" s="211">
        <f t="shared" ref="N158" ca="1" si="342">IF($E159=-1,0,IF(N$13&lt;=$L158,IF(ISERROR(MATCH(N$13,OFFSET($L158,1,0,ROW($L$164)-ROW($L158)-1),0)),ROW($L$164)-ROW($L158)-1,MATCH(N$13,OFFSET($L158,1,0,ROW($L$164)-ROW($L158)-1),0)-1),0))</f>
        <v>0</v>
      </c>
      <c r="O158" s="211">
        <f t="shared" ref="O158" ca="1" si="343">IF($E159=-1,0,IF(O$13&lt;=$L158,IF(ISERROR(MATCH(O$13,OFFSET($L158,1,0,ROW($L$164)-ROW($L158)-1),0)),ROW($L$164)-ROW($L158)-1,MATCH(O$13,OFFSET($L158,1,0,ROW($L$164)-ROW($L158)-1),0)-1),0))</f>
        <v>0</v>
      </c>
      <c r="P158" s="211">
        <f t="shared" ref="P158" ca="1" si="344">IF($E159=-1,0,IF(P$13&lt;=$L158,IF(ISERROR(MATCH(P$13,OFFSET($L158,1,0,ROW($L$164)-ROW($L158)-1),0)),ROW($L$164)-ROW($L158)-1,MATCH(P$13,OFFSET($L158,1,0,ROW($L$164)-ROW($L158)-1),0)-1),0))</f>
        <v>0</v>
      </c>
      <c r="Q158" s="211">
        <f t="shared" ref="Q158" ca="1" si="345">MIN(OFFSET(L158,0,1,,L158))</f>
        <v>0</v>
      </c>
      <c r="R158" s="212" t="str">
        <f ca="1">IF($E159=0,OFFSET(ORÇAMENTO!X$15,$E158,0),IF($E159&lt;&gt;-1,OFFSET(QCI!$O$13,$E159,0),""))</f>
        <v/>
      </c>
      <c r="S158" s="213" t="s">
        <v>270</v>
      </c>
      <c r="T158" s="214" t="e">
        <f t="shared" ref="T158:AE158" ca="1" si="346">IF(AND($Q158=2,ACOMPANHAMENTO="BM"),T159,T160/$R158)</f>
        <v>#VALUE!</v>
      </c>
      <c r="U158" s="206" t="e">
        <f t="shared" ca="1" si="346"/>
        <v>#VALUE!</v>
      </c>
      <c r="V158" s="206" t="e">
        <f t="shared" ca="1" si="346"/>
        <v>#VALUE!</v>
      </c>
      <c r="W158" s="206" t="e">
        <f t="shared" ca="1" si="346"/>
        <v>#VALUE!</v>
      </c>
      <c r="X158" s="206" t="e">
        <f t="shared" ca="1" si="346"/>
        <v>#VALUE!</v>
      </c>
      <c r="Y158" s="206" t="e">
        <f t="shared" ca="1" si="346"/>
        <v>#VALUE!</v>
      </c>
      <c r="Z158" s="206" t="e">
        <f t="shared" ca="1" si="346"/>
        <v>#VALUE!</v>
      </c>
      <c r="AA158" s="206" t="e">
        <f t="shared" ca="1" si="346"/>
        <v>#VALUE!</v>
      </c>
      <c r="AB158" s="206" t="e">
        <f t="shared" ca="1" si="346"/>
        <v>#VALUE!</v>
      </c>
      <c r="AC158" s="206" t="e">
        <f t="shared" ca="1" si="346"/>
        <v>#VALUE!</v>
      </c>
      <c r="AD158" s="206" t="e">
        <f t="shared" ca="1" si="346"/>
        <v>#VALUE!</v>
      </c>
      <c r="AE158" s="215" t="e">
        <f t="shared" ca="1" si="346"/>
        <v>#VALUE!</v>
      </c>
    </row>
    <row r="159" spans="1:32" ht="12.75" hidden="1" customHeight="1" x14ac:dyDescent="0.25">
      <c r="D159" s="568"/>
      <c r="E159" s="203">
        <f ca="1">IF(ISERROR(E158),IF(1+COUNTIF($L$13:OFFSET(L158,-1,0),1)&lt;=MAX(QCI!$D$13:$D$24),1+COUNTIF($L$13:OFFSET(L158,-1,0),1),-1),0)</f>
        <v>-1</v>
      </c>
      <c r="F159" s="203" t="str">
        <f t="shared" ref="F159" ca="1" si="347">IF(AND($E159&lt;&gt;-1,$R158&gt;0),"F","")</f>
        <v/>
      </c>
      <c r="G159" s="216" t="str">
        <f ca="1">IF(OR(R158=0,R158=""),"vazia",IF(AND(OR(ACOMPANHAMENTO="PLE",$Q158&lt;&gt;2),$E159=0),"calculada","--&gt;"))</f>
        <v>vazia</v>
      </c>
      <c r="H159" s="217"/>
      <c r="I159" s="218" t="str">
        <f t="shared" ref="I159" ca="1" si="348">IF(AND(G158&lt;&gt;0,ISNUMBER(G158)),"PREENCHA ESTA LINHA --&gt;","")</f>
        <v/>
      </c>
      <c r="J159" s="218"/>
      <c r="K159" s="218"/>
      <c r="L159" s="219"/>
      <c r="M159" s="219"/>
      <c r="N159" s="219"/>
      <c r="O159" s="219"/>
      <c r="P159" s="219"/>
      <c r="Q159" s="219"/>
      <c r="R159" s="220"/>
      <c r="S159" s="221"/>
      <c r="T159" s="569"/>
      <c r="U159" s="568"/>
      <c r="V159" s="568"/>
      <c r="W159" s="568"/>
      <c r="X159" s="568"/>
      <c r="Y159" s="568"/>
      <c r="Z159" s="568"/>
      <c r="AA159" s="568"/>
      <c r="AB159" s="568"/>
      <c r="AC159" s="568"/>
      <c r="AD159" s="568"/>
      <c r="AE159" s="570"/>
      <c r="AF159" s="532"/>
    </row>
    <row r="160" spans="1:32" ht="0.15" hidden="1" customHeight="1" x14ac:dyDescent="0.25">
      <c r="D160" s="222">
        <f ca="1">IF($Q158=2,IF(AND(ACOMPANHAMENTO="PLE",ISNUMBER($E158)),SUMIF((OFFSET(CÁLCULO!$AM$15:$AW$15,$E158,0,OFFSET(ORÇAMENTO!$D$15,CRONO!$E158,0))),"="&amp;CRONO!D$12,OFFSET(CÁLCULO!$AB$15:$AL$15,$E158,0,OFFSET(ORÇAMENTO!$D$15,CRONO!$E158,0)))+IF(AND($E160&lt;&gt;"",$E160&lt;&gt;0),SUMIF(CÁLCULO!$AM$15:$AW$32,"="&amp;CRONO!D$12,CÁLCULO!$AB$15:$AL$32)/(ORÇAMENTO!$X$15-CÁLCULO.TotalAdmLocal)*CRONO!$E160,0),D159*$R158),SUMIF(OFFSET($R160,1,0,$Q158-2),($L158+1)&amp;"$",OFFSET(D160,1,0,$Q158-2)))</f>
        <v>0</v>
      </c>
      <c r="E160" s="203" t="str">
        <f ca="1">IF(OR($Q158&lt;&gt;2,AUTOEVENTO&lt;&gt;"manual",$E159&gt;0),"",SUMIF(OFFSET(CÁLCULO!$M$15,CRONO!$E158,0,OFFSET(ORÇAMENTO!$D$15,CRONO!$E158,0)),1,OFFSET(ORÇAMENTO!$X$15,CRONO!$E158,0,OFFSET(ORÇAMENTO!$D$15,CRONO!$E158,0))))</f>
        <v/>
      </c>
      <c r="G160" s="223"/>
      <c r="R160" s="224" t="str">
        <f t="shared" ref="R160" ca="1" si="349">L158&amp;"$"</f>
        <v>1$</v>
      </c>
      <c r="S160" s="225"/>
      <c r="T160" s="226">
        <f ca="1">IF($Q158=2,IF(AND(ACOMPANHAMENTO="PLE",ISNUMBER($E158)),SUMIF((OFFSET(CÁLCULO!$AM$15:$AW$15,$E158,0,OFFSET(ORÇAMENTO!$D$15,CRONO!$E158,0))),"&lt;="&amp;CRONO!T$12,OFFSET(CÁLCULO!$AB$15:$AL$15,$E158,0,OFFSET(ORÇAMENTO!$D$15,CRONO!$E158,0)))+IF(AND($E160&lt;&gt;"",$E160&lt;&gt;0),SUMIF(CÁLCULO!$AM$15:$AW$32,"&lt;="&amp;CRONO!T$12,CÁLCULO!$AB$15:$AL$32)/(ORÇAMENTO!$X$15-CÁLCULO.TotalAdmLocal)*CRONO!$E160,0),T159*$R158),SUMIF(OFFSET($R160,1,0,$Q158-2),($L158+1)&amp;"$",OFFSET(T160,1,0,$Q158-2)))</f>
        <v>0</v>
      </c>
      <c r="U160" s="222">
        <f ca="1">IF($Q158=2,IF(AND(ACOMPANHAMENTO="PLE",ISNUMBER($E158)),SUMIF((OFFSET(CÁLCULO!$AM$15:$AW$15,$E158,0,OFFSET(ORÇAMENTO!$D$15,CRONO!$E158,0))),"="&amp;CRONO!U$12,OFFSET(CÁLCULO!$AB$15:$AL$15,$E158,0,OFFSET(ORÇAMENTO!$D$15,CRONO!$E158,0)))+IF(AND($E160&lt;&gt;"",$E160&lt;&gt;0),SUMIF(CÁLCULO!$AM$15:$AW$32,"="&amp;CRONO!U$12,CÁLCULO!$AB$15:$AL$32)/(ORÇAMENTO!$X$15-CÁLCULO.TotalAdmLocal)*CRONO!$E160,0),U159*$R158),SUMIF(OFFSET($R160,1,0,$Q158-2),($L158+1)&amp;"$",OFFSET(U160,1,0,$Q158-2)))</f>
        <v>0</v>
      </c>
      <c r="V160" s="222">
        <f ca="1">IF($Q158=2,IF(AND(ACOMPANHAMENTO="PLE",ISNUMBER($E158)),SUMIF((OFFSET(CÁLCULO!$AM$15:$AW$15,$E158,0,OFFSET(ORÇAMENTO!$D$15,CRONO!$E158,0))),"="&amp;CRONO!V$12,OFFSET(CÁLCULO!$AB$15:$AL$15,$E158,0,OFFSET(ORÇAMENTO!$D$15,CRONO!$E158,0)))+IF(AND($E160&lt;&gt;"",$E160&lt;&gt;0),SUMIF(CÁLCULO!$AM$15:$AW$32,"="&amp;CRONO!V$12,CÁLCULO!$AB$15:$AL$32)/(ORÇAMENTO!$X$15-CÁLCULO.TotalAdmLocal)*CRONO!$E160,0),V159*$R158),SUMIF(OFFSET($R160,1,0,$Q158-2),($L158+1)&amp;"$",OFFSET(V160,1,0,$Q158-2)))</f>
        <v>0</v>
      </c>
      <c r="W160" s="222">
        <f ca="1">IF($Q158=2,IF(AND(ACOMPANHAMENTO="PLE",ISNUMBER($E158)),SUMIF((OFFSET(CÁLCULO!$AM$15:$AW$15,$E158,0,OFFSET(ORÇAMENTO!$D$15,CRONO!$E158,0))),"="&amp;CRONO!W$12,OFFSET(CÁLCULO!$AB$15:$AL$15,$E158,0,OFFSET(ORÇAMENTO!$D$15,CRONO!$E158,0)))+IF(AND($E160&lt;&gt;"",$E160&lt;&gt;0),SUMIF(CÁLCULO!$AM$15:$AW$32,"="&amp;CRONO!W$12,CÁLCULO!$AB$15:$AL$32)/(ORÇAMENTO!$X$15-CÁLCULO.TotalAdmLocal)*CRONO!$E160,0),W159*$R158),SUMIF(OFFSET($R160,1,0,$Q158-2),($L158+1)&amp;"$",OFFSET(W160,1,0,$Q158-2)))</f>
        <v>0</v>
      </c>
      <c r="X160" s="222">
        <f ca="1">IF($Q158=2,IF(AND(ACOMPANHAMENTO="PLE",ISNUMBER($E158)),SUMIF((OFFSET(CÁLCULO!$AM$15:$AW$15,$E158,0,OFFSET(ORÇAMENTO!$D$15,CRONO!$E158,0))),"="&amp;CRONO!X$12,OFFSET(CÁLCULO!$AB$15:$AL$15,$E158,0,OFFSET(ORÇAMENTO!$D$15,CRONO!$E158,0)))+IF(AND($E160&lt;&gt;"",$E160&lt;&gt;0),SUMIF(CÁLCULO!$AM$15:$AW$32,"="&amp;CRONO!X$12,CÁLCULO!$AB$15:$AL$32)/(ORÇAMENTO!$X$15-CÁLCULO.TotalAdmLocal)*CRONO!$E160,0),X159*$R158),SUMIF(OFFSET($R160,1,0,$Q158-2),($L158+1)&amp;"$",OFFSET(X160,1,0,$Q158-2)))</f>
        <v>0</v>
      </c>
      <c r="Y160" s="222">
        <f ca="1">IF($Q158=2,IF(AND(ACOMPANHAMENTO="PLE",ISNUMBER($E158)),SUMIF((OFFSET(CÁLCULO!$AM$15:$AW$15,$E158,0,OFFSET(ORÇAMENTO!$D$15,CRONO!$E158,0))),"="&amp;CRONO!Y$12,OFFSET(CÁLCULO!$AB$15:$AL$15,$E158,0,OFFSET(ORÇAMENTO!$D$15,CRONO!$E158,0)))+IF(AND($E160&lt;&gt;"",$E160&lt;&gt;0),SUMIF(CÁLCULO!$AM$15:$AW$32,"="&amp;CRONO!Y$12,CÁLCULO!$AB$15:$AL$32)/(ORÇAMENTO!$X$15-CÁLCULO.TotalAdmLocal)*CRONO!$E160,0),Y159*$R158),SUMIF(OFFSET($R160,1,0,$Q158-2),($L158+1)&amp;"$",OFFSET(Y160,1,0,$Q158-2)))</f>
        <v>0</v>
      </c>
      <c r="Z160" s="222">
        <f ca="1">IF($Q158=2,IF(AND(ACOMPANHAMENTO="PLE",ISNUMBER($E158)),SUMIF((OFFSET(CÁLCULO!$AM$15:$AW$15,$E158,0,OFFSET(ORÇAMENTO!$D$15,CRONO!$E158,0))),"="&amp;CRONO!Z$12,OFFSET(CÁLCULO!$AB$15:$AL$15,$E158,0,OFFSET(ORÇAMENTO!$D$15,CRONO!$E158,0)))+IF(AND($E160&lt;&gt;"",$E160&lt;&gt;0),SUMIF(CÁLCULO!$AM$15:$AW$32,"="&amp;CRONO!Z$12,CÁLCULO!$AB$15:$AL$32)/(ORÇAMENTO!$X$15-CÁLCULO.TotalAdmLocal)*CRONO!$E160,0),Z159*$R158),SUMIF(OFFSET($R160,1,0,$Q158-2),($L158+1)&amp;"$",OFFSET(Z160,1,0,$Q158-2)))</f>
        <v>0</v>
      </c>
      <c r="AA160" s="222">
        <f ca="1">IF($Q158=2,IF(AND(ACOMPANHAMENTO="PLE",ISNUMBER($E158)),SUMIF((OFFSET(CÁLCULO!$AM$15:$AW$15,$E158,0,OFFSET(ORÇAMENTO!$D$15,CRONO!$E158,0))),"="&amp;CRONO!AA$12,OFFSET(CÁLCULO!$AB$15:$AL$15,$E158,0,OFFSET(ORÇAMENTO!$D$15,CRONO!$E158,0)))+IF(AND($E160&lt;&gt;"",$E160&lt;&gt;0),SUMIF(CÁLCULO!$AM$15:$AW$32,"="&amp;CRONO!AA$12,CÁLCULO!$AB$15:$AL$32)/(ORÇAMENTO!$X$15-CÁLCULO.TotalAdmLocal)*CRONO!$E160,0),AA159*$R158),SUMIF(OFFSET($R160,1,0,$Q158-2),($L158+1)&amp;"$",OFFSET(AA160,1,0,$Q158-2)))</f>
        <v>0</v>
      </c>
      <c r="AB160" s="222">
        <f ca="1">IF($Q158=2,IF(AND(ACOMPANHAMENTO="PLE",ISNUMBER($E158)),SUMIF((OFFSET(CÁLCULO!$AM$15:$AW$15,$E158,0,OFFSET(ORÇAMENTO!$D$15,CRONO!$E158,0))),"="&amp;CRONO!AB$12,OFFSET(CÁLCULO!$AB$15:$AL$15,$E158,0,OFFSET(ORÇAMENTO!$D$15,CRONO!$E158,0)))+IF(AND($E160&lt;&gt;"",$E160&lt;&gt;0),SUMIF(CÁLCULO!$AM$15:$AW$32,"="&amp;CRONO!AB$12,CÁLCULO!$AB$15:$AL$32)/(ORÇAMENTO!$X$15-CÁLCULO.TotalAdmLocal)*CRONO!$E160,0),AB159*$R158),SUMIF(OFFSET($R160,1,0,$Q158-2),($L158+1)&amp;"$",OFFSET(AB160,1,0,$Q158-2)))</f>
        <v>0</v>
      </c>
      <c r="AC160" s="222">
        <f ca="1">IF($Q158=2,IF(AND(ACOMPANHAMENTO="PLE",ISNUMBER($E158)),SUMIF((OFFSET(CÁLCULO!$AM$15:$AW$15,$E158,0,OFFSET(ORÇAMENTO!$D$15,CRONO!$E158,0))),"="&amp;CRONO!AC$12,OFFSET(CÁLCULO!$AB$15:$AL$15,$E158,0,OFFSET(ORÇAMENTO!$D$15,CRONO!$E158,0)))+IF(AND($E160&lt;&gt;"",$E160&lt;&gt;0),SUMIF(CÁLCULO!$AM$15:$AW$32,"="&amp;CRONO!AC$12,CÁLCULO!$AB$15:$AL$32)/(ORÇAMENTO!$X$15-CÁLCULO.TotalAdmLocal)*CRONO!$E160,0),AC159*$R158),SUMIF(OFFSET($R160,1,0,$Q158-2),($L158+1)&amp;"$",OFFSET(AC160,1,0,$Q158-2)))</f>
        <v>0</v>
      </c>
      <c r="AD160" s="222">
        <f ca="1">IF($Q158=2,IF(AND(ACOMPANHAMENTO="PLE",ISNUMBER($E158)),SUMIF((OFFSET(CÁLCULO!$AM$15:$AW$15,$E158,0,OFFSET(ORÇAMENTO!$D$15,CRONO!$E158,0))),"="&amp;CRONO!AD$12,OFFSET(CÁLCULO!$AB$15:$AL$15,$E158,0,OFFSET(ORÇAMENTO!$D$15,CRONO!$E158,0)))+IF(AND($E160&lt;&gt;"",$E160&lt;&gt;0),SUMIF(CÁLCULO!$AM$15:$AW$32,"="&amp;CRONO!AD$12,CÁLCULO!$AB$15:$AL$32)/(ORÇAMENTO!$X$15-CÁLCULO.TotalAdmLocal)*CRONO!$E160,0),AD159*$R158),SUMIF(OFFSET($R160,1,0,$Q158-2),($L158+1)&amp;"$",OFFSET(AD160,1,0,$Q158-2)))</f>
        <v>0</v>
      </c>
      <c r="AE160" s="227">
        <f ca="1">IF($Q158=2,IF(AND(ACOMPANHAMENTO="PLE",ISNUMBER($E158)),SUMIF((OFFSET(CÁLCULO!$AM$15:$AW$15,$E158,0,OFFSET(ORÇAMENTO!$D$15,CRONO!$E158,0))),"="&amp;CRONO!AE$12,OFFSET(CÁLCULO!$AB$15:$AL$15,$E158,0,OFFSET(ORÇAMENTO!$D$15,CRONO!$E158,0)))+IF(AND($E160&lt;&gt;"",$E160&lt;&gt;0),SUMIF(CÁLCULO!$AM$15:$AW$32,"="&amp;CRONO!AE$12,CÁLCULO!$AB$15:$AL$32)/(ORÇAMENTO!$X$15-CÁLCULO.TotalAdmLocal)*CRONO!$E160,0),AE159*$R158),SUMIF(OFFSET($R160,1,0,$Q158-2),($L158+1)&amp;"$",OFFSET(AE160,1,0,$Q158-2)))</f>
        <v>0</v>
      </c>
    </row>
    <row r="161" spans="1:32" hidden="1" x14ac:dyDescent="0.25">
      <c r="A161" s="203">
        <f t="shared" ref="A161" ca="1" si="350">OFFSET(A161,-3,0)+1</f>
        <v>50</v>
      </c>
      <c r="B161" s="203">
        <f ca="1">IF($Q161&lt;&gt;2,0,IF($R161=0,1,IF(E162&gt;0,OFFSET(QCI!$M$13,SUBSTITUTE(E162,".",""),0),OFFSET(ORÇAMENTO!$AA$15,CRONO!$E161,0))/$R161))</f>
        <v>0</v>
      </c>
      <c r="C161" s="203">
        <f ca="1">IF($Q161&lt;&gt;2,0,IF($R161=0,1,IF(E162&gt;0,OFFSET(QCI!$N$13,SUBSTITUTE(E162,".",""),0),OFFSET(ORÇAMENTO!$AB$15,CRONO!$E161,0))/$R161))</f>
        <v>0</v>
      </c>
      <c r="D161" s="206" t="e">
        <f ca="1">IF(AND($Q161=2,ACOMPANHAMENTO="BM"),D162,D163/$R161)</f>
        <v>#VALUE!</v>
      </c>
      <c r="E161" s="203" t="e">
        <f ca="1">IF(A161&lt;=ORÇAMENTO.MáximoListaCrono,MATCH(A161,ORÇAMENTO.ListaCrono,0),NA())</f>
        <v>#N/A</v>
      </c>
      <c r="F161" s="203" t="str">
        <f t="shared" ref="F161" ca="1" si="351">IF(AND($E162&lt;&gt;-1,$R161&gt;0),"F","")</f>
        <v/>
      </c>
      <c r="G161" s="207" t="str">
        <f ca="1">IF(OR(R161=0,R161=""),"Linha",IF(AND(OR(ACOMPANHAMENTO="PLE",$Q161&lt;&gt;2),$E162=0),"Linha",1-SUM(T161:AF161)))</f>
        <v>Linha</v>
      </c>
      <c r="H161" s="208" t="str">
        <f ca="1">IF($E162=0,OFFSET(ORÇAMENTO!O$15,$E161,0),IF($E162&lt;&gt;-1,OFFSET(QCI!$D$13,$E162,0),""))</f>
        <v/>
      </c>
      <c r="I161" s="209" t="str">
        <f ca="1">IF($E162=0,OFFSET(ORÇAMENTO!R$15,$E161,0),IF($E162&lt;&gt;-1,OFFSET(QCI!$G$13,$E162,0),""))</f>
        <v/>
      </c>
      <c r="J161" s="209"/>
      <c r="K161" s="209"/>
      <c r="L161" s="210">
        <f ca="1">IF($E162=0,OFFSET(ORÇAMENTO!C$15,$E161,0),1)</f>
        <v>1</v>
      </c>
      <c r="M161" s="211">
        <f t="shared" ref="M161" ca="1" si="352">IF($E162=-1,0,IF(M$13&lt;=$L161,IF(ISERROR(MATCH(M$13,OFFSET($L161,1,0,ROW($L$164)-ROW($L161)-1),0)),ROW($L$164)-ROW($L161)-1,MATCH(M$13,OFFSET($L161,1,0,ROW($L$164)-ROW($L161)-1),0)-1),0))</f>
        <v>0</v>
      </c>
      <c r="N161" s="211">
        <f t="shared" ref="N161" ca="1" si="353">IF($E162=-1,0,IF(N$13&lt;=$L161,IF(ISERROR(MATCH(N$13,OFFSET($L161,1,0,ROW($L$164)-ROW($L161)-1),0)),ROW($L$164)-ROW($L161)-1,MATCH(N$13,OFFSET($L161,1,0,ROW($L$164)-ROW($L161)-1),0)-1),0))</f>
        <v>0</v>
      </c>
      <c r="O161" s="211">
        <f t="shared" ref="O161" ca="1" si="354">IF($E162=-1,0,IF(O$13&lt;=$L161,IF(ISERROR(MATCH(O$13,OFFSET($L161,1,0,ROW($L$164)-ROW($L161)-1),0)),ROW($L$164)-ROW($L161)-1,MATCH(O$13,OFFSET($L161,1,0,ROW($L$164)-ROW($L161)-1),0)-1),0))</f>
        <v>0</v>
      </c>
      <c r="P161" s="211">
        <f t="shared" ref="P161" ca="1" si="355">IF($E162=-1,0,IF(P$13&lt;=$L161,IF(ISERROR(MATCH(P$13,OFFSET($L161,1,0,ROW($L$164)-ROW($L161)-1),0)),ROW($L$164)-ROW($L161)-1,MATCH(P$13,OFFSET($L161,1,0,ROW($L$164)-ROW($L161)-1),0)-1),0))</f>
        <v>0</v>
      </c>
      <c r="Q161" s="211">
        <f t="shared" ref="Q161" ca="1" si="356">MIN(OFFSET(L161,0,1,,L161))</f>
        <v>0</v>
      </c>
      <c r="R161" s="212" t="str">
        <f ca="1">IF($E162=0,OFFSET(ORÇAMENTO!X$15,$E161,0),IF($E162&lt;&gt;-1,OFFSET(QCI!$O$13,$E162,0),""))</f>
        <v/>
      </c>
      <c r="S161" s="213" t="s">
        <v>270</v>
      </c>
      <c r="T161" s="214" t="e">
        <f t="shared" ref="T161:AE161" ca="1" si="357">IF(AND($Q161=2,ACOMPANHAMENTO="BM"),T162,T163/$R161)</f>
        <v>#VALUE!</v>
      </c>
      <c r="U161" s="206" t="e">
        <f t="shared" ca="1" si="357"/>
        <v>#VALUE!</v>
      </c>
      <c r="V161" s="206" t="e">
        <f t="shared" ca="1" si="357"/>
        <v>#VALUE!</v>
      </c>
      <c r="W161" s="206" t="e">
        <f t="shared" ca="1" si="357"/>
        <v>#VALUE!</v>
      </c>
      <c r="X161" s="206" t="e">
        <f t="shared" ca="1" si="357"/>
        <v>#VALUE!</v>
      </c>
      <c r="Y161" s="206" t="e">
        <f t="shared" ca="1" si="357"/>
        <v>#VALUE!</v>
      </c>
      <c r="Z161" s="206" t="e">
        <f t="shared" ca="1" si="357"/>
        <v>#VALUE!</v>
      </c>
      <c r="AA161" s="206" t="e">
        <f t="shared" ca="1" si="357"/>
        <v>#VALUE!</v>
      </c>
      <c r="AB161" s="206" t="e">
        <f t="shared" ca="1" si="357"/>
        <v>#VALUE!</v>
      </c>
      <c r="AC161" s="206" t="e">
        <f t="shared" ca="1" si="357"/>
        <v>#VALUE!</v>
      </c>
      <c r="AD161" s="206" t="e">
        <f t="shared" ca="1" si="357"/>
        <v>#VALUE!</v>
      </c>
      <c r="AE161" s="215" t="e">
        <f t="shared" ca="1" si="357"/>
        <v>#VALUE!</v>
      </c>
    </row>
    <row r="162" spans="1:32" ht="12.75" hidden="1" customHeight="1" x14ac:dyDescent="0.25">
      <c r="D162" s="568"/>
      <c r="E162" s="203">
        <f ca="1">IF(ISERROR(E161),IF(1+COUNTIF($L$13:OFFSET(L161,-1,0),1)&lt;=MAX(QCI!$D$13:$D$24),1+COUNTIF($L$13:OFFSET(L161,-1,0),1),-1),0)</f>
        <v>-1</v>
      </c>
      <c r="F162" s="203" t="str">
        <f t="shared" ref="F162" ca="1" si="358">IF(AND($E162&lt;&gt;-1,$R161&gt;0),"F","")</f>
        <v/>
      </c>
      <c r="G162" s="216" t="str">
        <f ca="1">IF(OR(R161=0,R161=""),"vazia",IF(AND(OR(ACOMPANHAMENTO="PLE",$Q161&lt;&gt;2),$E162=0),"calculada","--&gt;"))</f>
        <v>vazia</v>
      </c>
      <c r="H162" s="217"/>
      <c r="I162" s="218" t="str">
        <f t="shared" ref="I162" ca="1" si="359">IF(AND(G161&lt;&gt;0,ISNUMBER(G161)),"PREENCHA ESTA LINHA --&gt;","")</f>
        <v/>
      </c>
      <c r="J162" s="218"/>
      <c r="K162" s="218"/>
      <c r="L162" s="219"/>
      <c r="M162" s="219"/>
      <c r="N162" s="219"/>
      <c r="O162" s="219"/>
      <c r="P162" s="219"/>
      <c r="Q162" s="219"/>
      <c r="R162" s="220"/>
      <c r="S162" s="221"/>
      <c r="T162" s="569"/>
      <c r="U162" s="568"/>
      <c r="V162" s="568"/>
      <c r="W162" s="568"/>
      <c r="X162" s="568"/>
      <c r="Y162" s="568"/>
      <c r="Z162" s="568"/>
      <c r="AA162" s="568"/>
      <c r="AB162" s="568"/>
      <c r="AC162" s="568"/>
      <c r="AD162" s="568"/>
      <c r="AE162" s="570"/>
      <c r="AF162" s="532"/>
    </row>
    <row r="163" spans="1:32" ht="0.15" hidden="1" customHeight="1" x14ac:dyDescent="0.25">
      <c r="D163" s="222">
        <f ca="1">IF($Q161=2,IF(AND(ACOMPANHAMENTO="PLE",ISNUMBER($E161)),SUMIF((OFFSET(CÁLCULO!$AM$15:$AW$15,$E161,0,OFFSET(ORÇAMENTO!$D$15,CRONO!$E161,0))),"="&amp;CRONO!D$12,OFFSET(CÁLCULO!$AB$15:$AL$15,$E161,0,OFFSET(ORÇAMENTO!$D$15,CRONO!$E161,0)))+IF(AND($E163&lt;&gt;"",$E163&lt;&gt;0),SUMIF(CÁLCULO!$AM$15:$AW$32,"="&amp;CRONO!D$12,CÁLCULO!$AB$15:$AL$32)/(ORÇAMENTO!$X$15-CÁLCULO.TotalAdmLocal)*CRONO!$E163,0),D162*$R161),SUMIF(OFFSET($R163,1,0,$Q161-2),($L161+1)&amp;"$",OFFSET(D163,1,0,$Q161-2)))</f>
        <v>0</v>
      </c>
      <c r="E163" s="203" t="str">
        <f ca="1">IF(OR($Q161&lt;&gt;2,AUTOEVENTO&lt;&gt;"manual",$E162&gt;0),"",SUMIF(OFFSET(CÁLCULO!$M$15,CRONO!$E161,0,OFFSET(ORÇAMENTO!$D$15,CRONO!$E161,0)),1,OFFSET(ORÇAMENTO!$X$15,CRONO!$E161,0,OFFSET(ORÇAMENTO!$D$15,CRONO!$E161,0))))</f>
        <v/>
      </c>
      <c r="G163" s="223"/>
      <c r="R163" s="224" t="str">
        <f t="shared" ref="R163" ca="1" si="360">L161&amp;"$"</f>
        <v>1$</v>
      </c>
      <c r="S163" s="225"/>
      <c r="T163" s="226">
        <f ca="1">IF($Q161=2,IF(AND(ACOMPANHAMENTO="PLE",ISNUMBER($E161)),SUMIF((OFFSET(CÁLCULO!$AM$15:$AW$15,$E161,0,OFFSET(ORÇAMENTO!$D$15,CRONO!$E161,0))),"&lt;="&amp;CRONO!T$12,OFFSET(CÁLCULO!$AB$15:$AL$15,$E161,0,OFFSET(ORÇAMENTO!$D$15,CRONO!$E161,0)))+IF(AND($E163&lt;&gt;"",$E163&lt;&gt;0),SUMIF(CÁLCULO!$AM$15:$AW$32,"&lt;="&amp;CRONO!T$12,CÁLCULO!$AB$15:$AL$32)/(ORÇAMENTO!$X$15-CÁLCULO.TotalAdmLocal)*CRONO!$E163,0),T162*$R161),SUMIF(OFFSET($R163,1,0,$Q161-2),($L161+1)&amp;"$",OFFSET(T163,1,0,$Q161-2)))</f>
        <v>0</v>
      </c>
      <c r="U163" s="222">
        <f ca="1">IF($Q161=2,IF(AND(ACOMPANHAMENTO="PLE",ISNUMBER($E161)),SUMIF((OFFSET(CÁLCULO!$AM$15:$AW$15,$E161,0,OFFSET(ORÇAMENTO!$D$15,CRONO!$E161,0))),"="&amp;CRONO!U$12,OFFSET(CÁLCULO!$AB$15:$AL$15,$E161,0,OFFSET(ORÇAMENTO!$D$15,CRONO!$E161,0)))+IF(AND($E163&lt;&gt;"",$E163&lt;&gt;0),SUMIF(CÁLCULO!$AM$15:$AW$32,"="&amp;CRONO!U$12,CÁLCULO!$AB$15:$AL$32)/(ORÇAMENTO!$X$15-CÁLCULO.TotalAdmLocal)*CRONO!$E163,0),U162*$R161),SUMIF(OFFSET($R163,1,0,$Q161-2),($L161+1)&amp;"$",OFFSET(U163,1,0,$Q161-2)))</f>
        <v>0</v>
      </c>
      <c r="V163" s="222">
        <f ca="1">IF($Q161=2,IF(AND(ACOMPANHAMENTO="PLE",ISNUMBER($E161)),SUMIF((OFFSET(CÁLCULO!$AM$15:$AW$15,$E161,0,OFFSET(ORÇAMENTO!$D$15,CRONO!$E161,0))),"="&amp;CRONO!V$12,OFFSET(CÁLCULO!$AB$15:$AL$15,$E161,0,OFFSET(ORÇAMENTO!$D$15,CRONO!$E161,0)))+IF(AND($E163&lt;&gt;"",$E163&lt;&gt;0),SUMIF(CÁLCULO!$AM$15:$AW$32,"="&amp;CRONO!V$12,CÁLCULO!$AB$15:$AL$32)/(ORÇAMENTO!$X$15-CÁLCULO.TotalAdmLocal)*CRONO!$E163,0),V162*$R161),SUMIF(OFFSET($R163,1,0,$Q161-2),($L161+1)&amp;"$",OFFSET(V163,1,0,$Q161-2)))</f>
        <v>0</v>
      </c>
      <c r="W163" s="222">
        <f ca="1">IF($Q161=2,IF(AND(ACOMPANHAMENTO="PLE",ISNUMBER($E161)),SUMIF((OFFSET(CÁLCULO!$AM$15:$AW$15,$E161,0,OFFSET(ORÇAMENTO!$D$15,CRONO!$E161,0))),"="&amp;CRONO!W$12,OFFSET(CÁLCULO!$AB$15:$AL$15,$E161,0,OFFSET(ORÇAMENTO!$D$15,CRONO!$E161,0)))+IF(AND($E163&lt;&gt;"",$E163&lt;&gt;0),SUMIF(CÁLCULO!$AM$15:$AW$32,"="&amp;CRONO!W$12,CÁLCULO!$AB$15:$AL$32)/(ORÇAMENTO!$X$15-CÁLCULO.TotalAdmLocal)*CRONO!$E163,0),W162*$R161),SUMIF(OFFSET($R163,1,0,$Q161-2),($L161+1)&amp;"$",OFFSET(W163,1,0,$Q161-2)))</f>
        <v>0</v>
      </c>
      <c r="X163" s="222">
        <f ca="1">IF($Q161=2,IF(AND(ACOMPANHAMENTO="PLE",ISNUMBER($E161)),SUMIF((OFFSET(CÁLCULO!$AM$15:$AW$15,$E161,0,OFFSET(ORÇAMENTO!$D$15,CRONO!$E161,0))),"="&amp;CRONO!X$12,OFFSET(CÁLCULO!$AB$15:$AL$15,$E161,0,OFFSET(ORÇAMENTO!$D$15,CRONO!$E161,0)))+IF(AND($E163&lt;&gt;"",$E163&lt;&gt;0),SUMIF(CÁLCULO!$AM$15:$AW$32,"="&amp;CRONO!X$12,CÁLCULO!$AB$15:$AL$32)/(ORÇAMENTO!$X$15-CÁLCULO.TotalAdmLocal)*CRONO!$E163,0),X162*$R161),SUMIF(OFFSET($R163,1,0,$Q161-2),($L161+1)&amp;"$",OFFSET(X163,1,0,$Q161-2)))</f>
        <v>0</v>
      </c>
      <c r="Y163" s="222">
        <f ca="1">IF($Q161=2,IF(AND(ACOMPANHAMENTO="PLE",ISNUMBER($E161)),SUMIF((OFFSET(CÁLCULO!$AM$15:$AW$15,$E161,0,OFFSET(ORÇAMENTO!$D$15,CRONO!$E161,0))),"="&amp;CRONO!Y$12,OFFSET(CÁLCULO!$AB$15:$AL$15,$E161,0,OFFSET(ORÇAMENTO!$D$15,CRONO!$E161,0)))+IF(AND($E163&lt;&gt;"",$E163&lt;&gt;0),SUMIF(CÁLCULO!$AM$15:$AW$32,"="&amp;CRONO!Y$12,CÁLCULO!$AB$15:$AL$32)/(ORÇAMENTO!$X$15-CÁLCULO.TotalAdmLocal)*CRONO!$E163,0),Y162*$R161),SUMIF(OFFSET($R163,1,0,$Q161-2),($L161+1)&amp;"$",OFFSET(Y163,1,0,$Q161-2)))</f>
        <v>0</v>
      </c>
      <c r="Z163" s="222">
        <f ca="1">IF($Q161=2,IF(AND(ACOMPANHAMENTO="PLE",ISNUMBER($E161)),SUMIF((OFFSET(CÁLCULO!$AM$15:$AW$15,$E161,0,OFFSET(ORÇAMENTO!$D$15,CRONO!$E161,0))),"="&amp;CRONO!Z$12,OFFSET(CÁLCULO!$AB$15:$AL$15,$E161,0,OFFSET(ORÇAMENTO!$D$15,CRONO!$E161,0)))+IF(AND($E163&lt;&gt;"",$E163&lt;&gt;0),SUMIF(CÁLCULO!$AM$15:$AW$32,"="&amp;CRONO!Z$12,CÁLCULO!$AB$15:$AL$32)/(ORÇAMENTO!$X$15-CÁLCULO.TotalAdmLocal)*CRONO!$E163,0),Z162*$R161),SUMIF(OFFSET($R163,1,0,$Q161-2),($L161+1)&amp;"$",OFFSET(Z163,1,0,$Q161-2)))</f>
        <v>0</v>
      </c>
      <c r="AA163" s="222">
        <f ca="1">IF($Q161=2,IF(AND(ACOMPANHAMENTO="PLE",ISNUMBER($E161)),SUMIF((OFFSET(CÁLCULO!$AM$15:$AW$15,$E161,0,OFFSET(ORÇAMENTO!$D$15,CRONO!$E161,0))),"="&amp;CRONO!AA$12,OFFSET(CÁLCULO!$AB$15:$AL$15,$E161,0,OFFSET(ORÇAMENTO!$D$15,CRONO!$E161,0)))+IF(AND($E163&lt;&gt;"",$E163&lt;&gt;0),SUMIF(CÁLCULO!$AM$15:$AW$32,"="&amp;CRONO!AA$12,CÁLCULO!$AB$15:$AL$32)/(ORÇAMENTO!$X$15-CÁLCULO.TotalAdmLocal)*CRONO!$E163,0),AA162*$R161),SUMIF(OFFSET($R163,1,0,$Q161-2),($L161+1)&amp;"$",OFFSET(AA163,1,0,$Q161-2)))</f>
        <v>0</v>
      </c>
      <c r="AB163" s="222">
        <f ca="1">IF($Q161=2,IF(AND(ACOMPANHAMENTO="PLE",ISNUMBER($E161)),SUMIF((OFFSET(CÁLCULO!$AM$15:$AW$15,$E161,0,OFFSET(ORÇAMENTO!$D$15,CRONO!$E161,0))),"="&amp;CRONO!AB$12,OFFSET(CÁLCULO!$AB$15:$AL$15,$E161,0,OFFSET(ORÇAMENTO!$D$15,CRONO!$E161,0)))+IF(AND($E163&lt;&gt;"",$E163&lt;&gt;0),SUMIF(CÁLCULO!$AM$15:$AW$32,"="&amp;CRONO!AB$12,CÁLCULO!$AB$15:$AL$32)/(ORÇAMENTO!$X$15-CÁLCULO.TotalAdmLocal)*CRONO!$E163,0),AB162*$R161),SUMIF(OFFSET($R163,1,0,$Q161-2),($L161+1)&amp;"$",OFFSET(AB163,1,0,$Q161-2)))</f>
        <v>0</v>
      </c>
      <c r="AC163" s="222">
        <f ca="1">IF($Q161=2,IF(AND(ACOMPANHAMENTO="PLE",ISNUMBER($E161)),SUMIF((OFFSET(CÁLCULO!$AM$15:$AW$15,$E161,0,OFFSET(ORÇAMENTO!$D$15,CRONO!$E161,0))),"="&amp;CRONO!AC$12,OFFSET(CÁLCULO!$AB$15:$AL$15,$E161,0,OFFSET(ORÇAMENTO!$D$15,CRONO!$E161,0)))+IF(AND($E163&lt;&gt;"",$E163&lt;&gt;0),SUMIF(CÁLCULO!$AM$15:$AW$32,"="&amp;CRONO!AC$12,CÁLCULO!$AB$15:$AL$32)/(ORÇAMENTO!$X$15-CÁLCULO.TotalAdmLocal)*CRONO!$E163,0),AC162*$R161),SUMIF(OFFSET($R163,1,0,$Q161-2),($L161+1)&amp;"$",OFFSET(AC163,1,0,$Q161-2)))</f>
        <v>0</v>
      </c>
      <c r="AD163" s="222">
        <f ca="1">IF($Q161=2,IF(AND(ACOMPANHAMENTO="PLE",ISNUMBER($E161)),SUMIF((OFFSET(CÁLCULO!$AM$15:$AW$15,$E161,0,OFFSET(ORÇAMENTO!$D$15,CRONO!$E161,0))),"="&amp;CRONO!AD$12,OFFSET(CÁLCULO!$AB$15:$AL$15,$E161,0,OFFSET(ORÇAMENTO!$D$15,CRONO!$E161,0)))+IF(AND($E163&lt;&gt;"",$E163&lt;&gt;0),SUMIF(CÁLCULO!$AM$15:$AW$32,"="&amp;CRONO!AD$12,CÁLCULO!$AB$15:$AL$32)/(ORÇAMENTO!$X$15-CÁLCULO.TotalAdmLocal)*CRONO!$E163,0),AD162*$R161),SUMIF(OFFSET($R163,1,0,$Q161-2),($L161+1)&amp;"$",OFFSET(AD163,1,0,$Q161-2)))</f>
        <v>0</v>
      </c>
      <c r="AE163" s="227">
        <f ca="1">IF($Q161=2,IF(AND(ACOMPANHAMENTO="PLE",ISNUMBER($E161)),SUMIF((OFFSET(CÁLCULO!$AM$15:$AW$15,$E161,0,OFFSET(ORÇAMENTO!$D$15,CRONO!$E161,0))),"="&amp;CRONO!AE$12,OFFSET(CÁLCULO!$AB$15:$AL$15,$E161,0,OFFSET(ORÇAMENTO!$D$15,CRONO!$E161,0)))+IF(AND($E163&lt;&gt;"",$E163&lt;&gt;0),SUMIF(CÁLCULO!$AM$15:$AW$32,"="&amp;CRONO!AE$12,CÁLCULO!$AB$15:$AL$32)/(ORÇAMENTO!$X$15-CÁLCULO.TotalAdmLocal)*CRONO!$E163,0),AE162*$R161),SUMIF(OFFSET($R163,1,0,$Q161-2),($L161+1)&amp;"$",OFFSET(AE163,1,0,$Q161-2)))</f>
        <v>0</v>
      </c>
    </row>
    <row r="164" spans="1:32" ht="5.0999999999999996" customHeight="1" x14ac:dyDescent="0.25">
      <c r="D164" s="501"/>
      <c r="F164" s="203" t="s">
        <v>246</v>
      </c>
      <c r="G164" s="503"/>
      <c r="H164" s="504"/>
      <c r="I164" s="505"/>
      <c r="J164" s="505"/>
      <c r="K164" s="505"/>
      <c r="L164" s="506" t="s">
        <v>281</v>
      </c>
      <c r="M164" s="506"/>
      <c r="N164" s="506"/>
      <c r="O164" s="506"/>
      <c r="P164" s="506"/>
      <c r="Q164" s="506"/>
      <c r="R164" s="507"/>
      <c r="S164" s="507"/>
      <c r="T164" s="505"/>
      <c r="U164" s="505"/>
      <c r="V164" s="505"/>
      <c r="W164" s="505"/>
      <c r="X164" s="505"/>
      <c r="Y164" s="505"/>
      <c r="Z164" s="505"/>
      <c r="AA164" s="505"/>
      <c r="AB164" s="505"/>
      <c r="AC164" s="505"/>
      <c r="AD164" s="505"/>
      <c r="AE164" s="508"/>
      <c r="AF164" s="502"/>
    </row>
    <row r="165" spans="1:32" ht="12.75" customHeight="1" x14ac:dyDescent="0.25">
      <c r="D165" s="251">
        <f ca="1">D169/$Q$165</f>
        <v>0.50451014576322595</v>
      </c>
      <c r="F165" s="203" t="s">
        <v>246</v>
      </c>
      <c r="H165" s="641" t="str">
        <f ca="1">"Total:    R$ "&amp;TEXT(Q165,"#.##0,00")</f>
        <v>Total:    R$ 99.891,45</v>
      </c>
      <c r="I165" s="641"/>
      <c r="J165" s="641"/>
      <c r="K165" s="252"/>
      <c r="Q165" s="253">
        <f ca="1">SUMIF(L12:L164,1,R12:R164)</f>
        <v>99891.45</v>
      </c>
      <c r="R165" s="254"/>
      <c r="S165" s="255" t="s">
        <v>282</v>
      </c>
      <c r="T165" s="256">
        <f t="shared" ref="T165:AE165" ca="1" si="361">ROUND(T169,2)/$Q$165</f>
        <v>0.50451014576322595</v>
      </c>
      <c r="U165" s="257">
        <f t="shared" ca="1" si="361"/>
        <v>0.495489854236774</v>
      </c>
      <c r="V165" s="257">
        <f t="shared" ca="1" si="361"/>
        <v>0</v>
      </c>
      <c r="W165" s="257">
        <f t="shared" ca="1" si="361"/>
        <v>0</v>
      </c>
      <c r="X165" s="257">
        <f t="shared" ca="1" si="361"/>
        <v>0</v>
      </c>
      <c r="Y165" s="257">
        <f t="shared" ca="1" si="361"/>
        <v>0</v>
      </c>
      <c r="Z165" s="257">
        <f t="shared" ca="1" si="361"/>
        <v>0</v>
      </c>
      <c r="AA165" s="257">
        <f t="shared" ca="1" si="361"/>
        <v>0</v>
      </c>
      <c r="AB165" s="257">
        <f t="shared" ca="1" si="361"/>
        <v>0</v>
      </c>
      <c r="AC165" s="257">
        <f t="shared" ca="1" si="361"/>
        <v>0</v>
      </c>
      <c r="AD165" s="257">
        <f t="shared" ca="1" si="361"/>
        <v>0</v>
      </c>
      <c r="AE165" s="258">
        <f t="shared" ca="1" si="361"/>
        <v>0</v>
      </c>
    </row>
    <row r="166" spans="1:32" ht="15" customHeight="1" x14ac:dyDescent="0.25">
      <c r="D166" s="259">
        <f ca="1">ROUND(D171,2)-ROUND(C171,2)</f>
        <v>50173.279999999999</v>
      </c>
      <c r="F166" s="203" t="s">
        <v>246</v>
      </c>
      <c r="H166" s="641"/>
      <c r="I166" s="641"/>
      <c r="J166" s="641"/>
      <c r="K166" s="260"/>
      <c r="Q166" s="253"/>
      <c r="R166" s="261"/>
      <c r="S166" s="262" t="str">
        <f>IF(import.recurso="FGTS","Financiamento:","Repasse:")</f>
        <v>Repasse:</v>
      </c>
      <c r="T166" s="263">
        <f ca="1">ROUND(T171,2)</f>
        <v>50173.279999999999</v>
      </c>
      <c r="U166" s="259">
        <f t="shared" ref="U166:AE166" ca="1" si="362">ROUND(U171,2)-ROUND(T171,2)</f>
        <v>49276.210000000006</v>
      </c>
      <c r="V166" s="259">
        <f t="shared" ca="1" si="362"/>
        <v>0</v>
      </c>
      <c r="W166" s="259">
        <f t="shared" ca="1" si="362"/>
        <v>0</v>
      </c>
      <c r="X166" s="259">
        <f t="shared" ca="1" si="362"/>
        <v>0</v>
      </c>
      <c r="Y166" s="259">
        <f t="shared" ca="1" si="362"/>
        <v>0</v>
      </c>
      <c r="Z166" s="259">
        <f t="shared" ca="1" si="362"/>
        <v>0</v>
      </c>
      <c r="AA166" s="259">
        <f t="shared" ca="1" si="362"/>
        <v>0</v>
      </c>
      <c r="AB166" s="259">
        <f t="shared" ca="1" si="362"/>
        <v>0</v>
      </c>
      <c r="AC166" s="259">
        <f t="shared" ca="1" si="362"/>
        <v>0</v>
      </c>
      <c r="AD166" s="259">
        <f t="shared" ca="1" si="362"/>
        <v>0</v>
      </c>
      <c r="AE166" s="264">
        <f t="shared" ca="1" si="362"/>
        <v>0</v>
      </c>
    </row>
    <row r="167" spans="1:32" ht="12.75" customHeight="1" x14ac:dyDescent="0.25">
      <c r="D167" s="259">
        <f ca="1">ROUND(D172,2)-ROUND(C172,2)</f>
        <v>222.97</v>
      </c>
      <c r="F167" s="203" t="s">
        <v>246</v>
      </c>
      <c r="H167" s="265"/>
      <c r="K167" s="266" t="s">
        <v>283</v>
      </c>
      <c r="Q167" s="253"/>
      <c r="R167" s="267"/>
      <c r="S167" s="268" t="s">
        <v>284</v>
      </c>
      <c r="T167" s="269">
        <f ca="1">ROUND(T172,2)</f>
        <v>222.97</v>
      </c>
      <c r="U167" s="270">
        <f t="shared" ref="U167:AE167" ca="1" si="363">ROUND(U172,2)-ROUND(T172,2)</f>
        <v>218.98999999999998</v>
      </c>
      <c r="V167" s="270">
        <f t="shared" ca="1" si="363"/>
        <v>0</v>
      </c>
      <c r="W167" s="270">
        <f t="shared" ca="1" si="363"/>
        <v>0</v>
      </c>
      <c r="X167" s="270">
        <f t="shared" ca="1" si="363"/>
        <v>0</v>
      </c>
      <c r="Y167" s="270">
        <f t="shared" ca="1" si="363"/>
        <v>0</v>
      </c>
      <c r="Z167" s="270">
        <f t="shared" ca="1" si="363"/>
        <v>0</v>
      </c>
      <c r="AA167" s="270">
        <f t="shared" ca="1" si="363"/>
        <v>0</v>
      </c>
      <c r="AB167" s="270">
        <f t="shared" ca="1" si="363"/>
        <v>0</v>
      </c>
      <c r="AC167" s="270">
        <f t="shared" ca="1" si="363"/>
        <v>0</v>
      </c>
      <c r="AD167" s="270">
        <f t="shared" ca="1" si="363"/>
        <v>0</v>
      </c>
      <c r="AE167" s="271">
        <f t="shared" ca="1" si="363"/>
        <v>0</v>
      </c>
    </row>
    <row r="168" spans="1:32" x14ac:dyDescent="0.25">
      <c r="D168" s="272">
        <f ca="1">ROUND(D173,2)-ROUND(C173,2)</f>
        <v>0</v>
      </c>
      <c r="F168" s="203" t="s">
        <v>246</v>
      </c>
      <c r="H168" s="265"/>
      <c r="K168" s="266"/>
      <c r="Q168" s="253"/>
      <c r="R168" s="273"/>
      <c r="S168" s="274" t="s">
        <v>285</v>
      </c>
      <c r="T168" s="275">
        <f ca="1">ROUND(T173,2)</f>
        <v>0</v>
      </c>
      <c r="U168" s="272">
        <f t="shared" ref="U168:AE168" ca="1" si="364">ROUND(U173,2)-ROUND(T173,2)</f>
        <v>0</v>
      </c>
      <c r="V168" s="272">
        <f t="shared" ca="1" si="364"/>
        <v>0</v>
      </c>
      <c r="W168" s="272">
        <f t="shared" ca="1" si="364"/>
        <v>0</v>
      </c>
      <c r="X168" s="272">
        <f t="shared" ca="1" si="364"/>
        <v>0</v>
      </c>
      <c r="Y168" s="272">
        <f t="shared" ca="1" si="364"/>
        <v>0</v>
      </c>
      <c r="Z168" s="272">
        <f t="shared" ca="1" si="364"/>
        <v>0</v>
      </c>
      <c r="AA168" s="272">
        <f t="shared" ca="1" si="364"/>
        <v>0</v>
      </c>
      <c r="AB168" s="272">
        <f t="shared" ca="1" si="364"/>
        <v>0</v>
      </c>
      <c r="AC168" s="272">
        <f t="shared" ca="1" si="364"/>
        <v>0</v>
      </c>
      <c r="AD168" s="272">
        <f t="shared" ca="1" si="364"/>
        <v>0</v>
      </c>
      <c r="AE168" s="276">
        <f t="shared" ca="1" si="364"/>
        <v>0</v>
      </c>
    </row>
    <row r="169" spans="1:32" x14ac:dyDescent="0.25">
      <c r="D169" s="277">
        <f ca="1">ROUND(D174,2)-ROUND(C174,2)</f>
        <v>50396.25</v>
      </c>
      <c r="F169" s="203" t="s">
        <v>246</v>
      </c>
      <c r="K169" s="278"/>
      <c r="R169" s="279"/>
      <c r="S169" s="280" t="s">
        <v>286</v>
      </c>
      <c r="T169" s="281">
        <f ca="1">ROUND(T174,2)</f>
        <v>50396.25</v>
      </c>
      <c r="U169" s="282">
        <f t="shared" ref="U169:AE169" ca="1" si="365">ROUND(U174,2)-ROUND(T174,2)</f>
        <v>49495.199999999997</v>
      </c>
      <c r="V169" s="282">
        <f t="shared" ca="1" si="365"/>
        <v>0</v>
      </c>
      <c r="W169" s="282">
        <f t="shared" ca="1" si="365"/>
        <v>0</v>
      </c>
      <c r="X169" s="282">
        <f t="shared" ca="1" si="365"/>
        <v>0</v>
      </c>
      <c r="Y169" s="282">
        <f t="shared" ca="1" si="365"/>
        <v>0</v>
      </c>
      <c r="Z169" s="282">
        <f t="shared" ca="1" si="365"/>
        <v>0</v>
      </c>
      <c r="AA169" s="282">
        <f t="shared" ca="1" si="365"/>
        <v>0</v>
      </c>
      <c r="AB169" s="282">
        <f t="shared" ca="1" si="365"/>
        <v>0</v>
      </c>
      <c r="AC169" s="282">
        <f t="shared" ca="1" si="365"/>
        <v>0</v>
      </c>
      <c r="AD169" s="282">
        <f t="shared" ca="1" si="365"/>
        <v>0</v>
      </c>
      <c r="AE169" s="283">
        <f t="shared" ca="1" si="365"/>
        <v>0</v>
      </c>
    </row>
    <row r="170" spans="1:32" x14ac:dyDescent="0.25">
      <c r="D170" s="251">
        <f ca="1">D174/$Q$165</f>
        <v>0.50451014576322606</v>
      </c>
      <c r="F170" s="203" t="s">
        <v>246</v>
      </c>
      <c r="K170" s="252"/>
      <c r="R170" s="254"/>
      <c r="S170" s="255" t="s">
        <v>282</v>
      </c>
      <c r="T170" s="256">
        <f ca="1">ROUND(T174,2)/$Q$165</f>
        <v>0.50451014576322595</v>
      </c>
      <c r="U170" s="257">
        <f t="shared" ref="U170:AE170" ca="1" si="366">ROUND(U174,2)/$Q$165</f>
        <v>1</v>
      </c>
      <c r="V170" s="257">
        <f t="shared" ca="1" si="366"/>
        <v>1</v>
      </c>
      <c r="W170" s="257">
        <f t="shared" ca="1" si="366"/>
        <v>1</v>
      </c>
      <c r="X170" s="257">
        <f t="shared" ca="1" si="366"/>
        <v>1</v>
      </c>
      <c r="Y170" s="257">
        <f t="shared" ca="1" si="366"/>
        <v>1</v>
      </c>
      <c r="Z170" s="257">
        <f t="shared" ca="1" si="366"/>
        <v>1</v>
      </c>
      <c r="AA170" s="257">
        <f t="shared" ca="1" si="366"/>
        <v>1</v>
      </c>
      <c r="AB170" s="257">
        <f t="shared" ca="1" si="366"/>
        <v>1</v>
      </c>
      <c r="AC170" s="257">
        <f t="shared" ca="1" si="366"/>
        <v>1</v>
      </c>
      <c r="AD170" s="257">
        <f t="shared" ca="1" si="366"/>
        <v>1</v>
      </c>
      <c r="AE170" s="258">
        <f t="shared" ca="1" si="366"/>
        <v>1</v>
      </c>
    </row>
    <row r="171" spans="1:32" x14ac:dyDescent="0.25">
      <c r="D171" s="259">
        <f ca="1">ROUND(D174-D173-D172,2)</f>
        <v>50173.279999999999</v>
      </c>
      <c r="F171" s="203" t="s">
        <v>246</v>
      </c>
      <c r="K171" s="260"/>
      <c r="R171" s="261"/>
      <c r="S171" s="262" t="str">
        <f>IF(import.recurso="FGTS","Financiamento:","Repasse:")</f>
        <v>Repasse:</v>
      </c>
      <c r="T171" s="263">
        <f ca="1">ROUND(T174-T173-T172,2)</f>
        <v>50173.279999999999</v>
      </c>
      <c r="U171" s="259">
        <f t="shared" ref="U171:AE171" ca="1" si="367">ROUND(U174-U173-U172,2)</f>
        <v>99449.49</v>
      </c>
      <c r="V171" s="259">
        <f t="shared" ca="1" si="367"/>
        <v>99449.49</v>
      </c>
      <c r="W171" s="259">
        <f t="shared" ca="1" si="367"/>
        <v>99449.49</v>
      </c>
      <c r="X171" s="259">
        <f t="shared" ca="1" si="367"/>
        <v>99449.49</v>
      </c>
      <c r="Y171" s="259">
        <f t="shared" ca="1" si="367"/>
        <v>99449.49</v>
      </c>
      <c r="Z171" s="259">
        <f t="shared" ca="1" si="367"/>
        <v>99449.49</v>
      </c>
      <c r="AA171" s="259">
        <f t="shared" ca="1" si="367"/>
        <v>99449.49</v>
      </c>
      <c r="AB171" s="259">
        <f t="shared" ca="1" si="367"/>
        <v>99449.49</v>
      </c>
      <c r="AC171" s="259">
        <f t="shared" ca="1" si="367"/>
        <v>99449.49</v>
      </c>
      <c r="AD171" s="259">
        <f t="shared" ca="1" si="367"/>
        <v>99449.49</v>
      </c>
      <c r="AE171" s="264">
        <f t="shared" ca="1" si="367"/>
        <v>99449.49</v>
      </c>
      <c r="AF171" s="204">
        <f ca="1">AE171+SUMPRODUCT((OFFSET($B$13,1,0):OFFSET($B$164,-3,0))*IF(ISNUMBER(OFFSET(AF$11,5,0):OFFSET(AF$164,-1,0)),OFFSET(AF$11,5,0):OFFSET(AF$164,-1,0),0))</f>
        <v>99449.49</v>
      </c>
    </row>
    <row r="172" spans="1:32" x14ac:dyDescent="0.25">
      <c r="D172" s="259">
        <f t="array" aca="1" ref="D172" ca="1">C172+SUM((OFFSET($B$13,1,0):OFFSET($B$164,-3,0))*IF(ISNUMBER(OFFSET(D$11,5,0):OFFSET(D$164,-1,0)),OFFSET(D$11,5,0):OFFSET(D$164,-1,0),0))</f>
        <v>222.9733040215113</v>
      </c>
      <c r="F172" s="203" t="s">
        <v>246</v>
      </c>
      <c r="K172" s="266" t="s">
        <v>287</v>
      </c>
      <c r="R172" s="267"/>
      <c r="S172" s="268" t="s">
        <v>284</v>
      </c>
      <c r="T172" s="269">
        <f t="array" aca="1" ref="T172" ca="1">SUM((OFFSET($B$13,1,0):OFFSET($B$164,-3,0))*IF(ISNUMBER(OFFSET(T$11,5,0):OFFSET(T$164,-1,0)),OFFSET(T$11,5,0):OFFSET(T$164,-1,0),0))</f>
        <v>222.9733040215113</v>
      </c>
      <c r="U172" s="270">
        <f t="array" aca="1" ref="U172" ca="1">T172+SUM((OFFSET($B$13,1,0):OFFSET($B$164,-3,0))*IF(ISNUMBER(OFFSET(U$11,5,0):OFFSET(U$164,-1,0)),OFFSET(U$11,5,0):OFFSET(U$164,-1,0),0))</f>
        <v>441.95999999999191</v>
      </c>
      <c r="V172" s="270">
        <f t="array" aca="1" ref="V172" ca="1">U172+SUM((OFFSET($B$13,1,0):OFFSET($B$164,-3,0))*IF(ISNUMBER(OFFSET(V$11,5,0):OFFSET(V$164,-1,0)),OFFSET(V$11,5,0):OFFSET(V$164,-1,0),0))</f>
        <v>441.95999999999191</v>
      </c>
      <c r="W172" s="270">
        <f t="array" aca="1" ref="W172" ca="1">V172+SUM((OFFSET($B$13,1,0):OFFSET($B$164,-3,0))*IF(ISNUMBER(OFFSET(W$11,5,0):OFFSET(W$164,-1,0)),OFFSET(W$11,5,0):OFFSET(W$164,-1,0),0))</f>
        <v>441.95999999999191</v>
      </c>
      <c r="X172" s="270">
        <f t="array" aca="1" ref="X172" ca="1">W172+SUM((OFFSET($B$13,1,0):OFFSET($B$164,-3,0))*IF(ISNUMBER(OFFSET(X$11,5,0):OFFSET(X$164,-1,0)),OFFSET(X$11,5,0):OFFSET(X$164,-1,0),0))</f>
        <v>441.95999999999191</v>
      </c>
      <c r="Y172" s="270">
        <f t="array" aca="1" ref="Y172" ca="1">X172+SUM((OFFSET($B$13,1,0):OFFSET($B$164,-3,0))*IF(ISNUMBER(OFFSET(Y$11,5,0):OFFSET(Y$164,-1,0)),OFFSET(Y$11,5,0):OFFSET(Y$164,-1,0),0))</f>
        <v>441.95999999999191</v>
      </c>
      <c r="Z172" s="270">
        <f t="array" aca="1" ref="Z172" ca="1">Y172+SUM((OFFSET($B$13,1,0):OFFSET($B$164,-3,0))*IF(ISNUMBER(OFFSET(Z$11,5,0):OFFSET(Z$164,-1,0)),OFFSET(Z$11,5,0):OFFSET(Z$164,-1,0),0))</f>
        <v>441.95999999999191</v>
      </c>
      <c r="AA172" s="270">
        <f t="array" aca="1" ref="AA172" ca="1">Z172+SUM((OFFSET($B$13,1,0):OFFSET($B$164,-3,0))*IF(ISNUMBER(OFFSET(AA$11,5,0):OFFSET(AA$164,-1,0)),OFFSET(AA$11,5,0):OFFSET(AA$164,-1,0),0))</f>
        <v>441.95999999999191</v>
      </c>
      <c r="AB172" s="270">
        <f t="array" aca="1" ref="AB172" ca="1">AA172+SUM((OFFSET($B$13,1,0):OFFSET($B$164,-3,0))*IF(ISNUMBER(OFFSET(AB$11,5,0):OFFSET(AB$164,-1,0)),OFFSET(AB$11,5,0):OFFSET(AB$164,-1,0),0))</f>
        <v>441.95999999999191</v>
      </c>
      <c r="AC172" s="270">
        <f t="array" aca="1" ref="AC172" ca="1">AB172+SUM((OFFSET($B$13,1,0):OFFSET($B$164,-3,0))*IF(ISNUMBER(OFFSET(AC$11,5,0):OFFSET(AC$164,-1,0)),OFFSET(AC$11,5,0):OFFSET(AC$164,-1,0),0))</f>
        <v>441.95999999999191</v>
      </c>
      <c r="AD172" s="270">
        <f t="array" aca="1" ref="AD172" ca="1">AC172+SUM((OFFSET($B$13,1,0):OFFSET($B$164,-3,0))*IF(ISNUMBER(OFFSET(AD$11,5,0):OFFSET(AD$164,-1,0)),OFFSET(AD$11,5,0):OFFSET(AD$164,-1,0),0))</f>
        <v>441.95999999999191</v>
      </c>
      <c r="AE172" s="271">
        <f t="array" aca="1" ref="AE172" ca="1">AD172+SUM((OFFSET($B$13,1,0):OFFSET($B$164,-3,0))*IF(ISNUMBER(OFFSET(AE$11,5,0):OFFSET(AE$164,-1,0)),OFFSET(AE$11,5,0):OFFSET(AE$164,-1,0),0))</f>
        <v>441.95999999999191</v>
      </c>
      <c r="AF172" s="204">
        <f ca="1">AE172+SUMPRODUCT((OFFSET($C$13,1,0):OFFSET($C$164,-3,0))*IF(ISNUMBER(OFFSET(AF$11,5,0):OFFSET(AF$164,-1,0)),OFFSET(AF$11,5,0):OFFSET(AF$164,-1,0),0))</f>
        <v>441.95999999999191</v>
      </c>
    </row>
    <row r="173" spans="1:32" x14ac:dyDescent="0.25">
      <c r="D173" s="272">
        <f t="array" aca="1" ref="D173" ca="1">C173+SUM((OFFSET($C$13,1,0):OFFSET($C$164,-3,0))*IF(ISNUMBER(OFFSET(D$11,5,0):OFFSET(D$164,-1,0)),OFFSET(D$11,5,0):OFFSET(D$164,-1,0),0))</f>
        <v>0</v>
      </c>
      <c r="F173" s="203" t="s">
        <v>246</v>
      </c>
      <c r="K173" s="266"/>
      <c r="R173" s="273"/>
      <c r="S173" s="274" t="s">
        <v>285</v>
      </c>
      <c r="T173" s="275">
        <f t="array" aca="1" ref="T173" ca="1">SUM((OFFSET($C$13,1,0):OFFSET($C$164,-3,0))*IF(ISNUMBER(OFFSET(T$11,5,0):OFFSET(T$164,-1,0)),OFFSET(T$11,5,0):OFFSET(T$164,-1,0),0))</f>
        <v>0</v>
      </c>
      <c r="U173" s="272">
        <f t="array" aca="1" ref="U173" ca="1">T173+SUM((OFFSET($C$13,1,0):OFFSET($C$164,-3,0))*IF(ISNUMBER(OFFSET(U$11,5,0):OFFSET(U$164,-1,0)),OFFSET(U$11,5,0):OFFSET(U$164,-1,0),0))</f>
        <v>0</v>
      </c>
      <c r="V173" s="272">
        <f t="array" aca="1" ref="V173" ca="1">U173+SUM((OFFSET($C$13,1,0):OFFSET($C$164,-3,0))*IF(ISNUMBER(OFFSET(V$11,5,0):OFFSET(V$164,-1,0)),OFFSET(V$11,5,0):OFFSET(V$164,-1,0),0))</f>
        <v>0</v>
      </c>
      <c r="W173" s="272">
        <f t="array" aca="1" ref="W173" ca="1">V173+SUM((OFFSET($C$13,1,0):OFFSET($C$164,-3,0))*IF(ISNUMBER(OFFSET(W$11,5,0):OFFSET(W$164,-1,0)),OFFSET(W$11,5,0):OFFSET(W$164,-1,0),0))</f>
        <v>0</v>
      </c>
      <c r="X173" s="272">
        <f t="array" aca="1" ref="X173" ca="1">W173+SUM((OFFSET($C$13,1,0):OFFSET($C$164,-3,0))*IF(ISNUMBER(OFFSET(X$11,5,0):OFFSET(X$164,-1,0)),OFFSET(X$11,5,0):OFFSET(X$164,-1,0),0))</f>
        <v>0</v>
      </c>
      <c r="Y173" s="272">
        <f t="array" aca="1" ref="Y173" ca="1">X173+SUM((OFFSET($C$13,1,0):OFFSET($C$164,-3,0))*IF(ISNUMBER(OFFSET(Y$11,5,0):OFFSET(Y$164,-1,0)),OFFSET(Y$11,5,0):OFFSET(Y$164,-1,0),0))</f>
        <v>0</v>
      </c>
      <c r="Z173" s="272">
        <f t="array" aca="1" ref="Z173" ca="1">Y173+SUM((OFFSET($C$13,1,0):OFFSET($C$164,-3,0))*IF(ISNUMBER(OFFSET(Z$11,5,0):OFFSET(Z$164,-1,0)),OFFSET(Z$11,5,0):OFFSET(Z$164,-1,0),0))</f>
        <v>0</v>
      </c>
      <c r="AA173" s="272">
        <f t="array" aca="1" ref="AA173" ca="1">Z173+SUM((OFFSET($C$13,1,0):OFFSET($C$164,-3,0))*IF(ISNUMBER(OFFSET(AA$11,5,0):OFFSET(AA$164,-1,0)),OFFSET(AA$11,5,0):OFFSET(AA$164,-1,0),0))</f>
        <v>0</v>
      </c>
      <c r="AB173" s="272">
        <f t="array" aca="1" ref="AB173" ca="1">AA173+SUM((OFFSET($C$13,1,0):OFFSET($C$164,-3,0))*IF(ISNUMBER(OFFSET(AB$11,5,0):OFFSET(AB$164,-1,0)),OFFSET(AB$11,5,0):OFFSET(AB$164,-1,0),0))</f>
        <v>0</v>
      </c>
      <c r="AC173" s="272">
        <f t="array" aca="1" ref="AC173" ca="1">AB173+SUM((OFFSET($C$13,1,0):OFFSET($C$164,-3,0))*IF(ISNUMBER(OFFSET(AC$11,5,0):OFFSET(AC$164,-1,0)),OFFSET(AC$11,5,0):OFFSET(AC$164,-1,0),0))</f>
        <v>0</v>
      </c>
      <c r="AD173" s="272">
        <f t="array" aca="1" ref="AD173" ca="1">AC173+SUM((OFFSET($C$13,1,0):OFFSET($C$164,-3,0))*IF(ISNUMBER(OFFSET(AD$11,5,0):OFFSET(AD$164,-1,0)),OFFSET(AD$11,5,0):OFFSET(AD$164,-1,0),0))</f>
        <v>0</v>
      </c>
      <c r="AE173" s="276">
        <f t="array" aca="1" ref="AE173" ca="1">AD173+SUM((OFFSET($C$13,1,0):OFFSET($C$164,-3,0))*IF(ISNUMBER(OFFSET(AE$11,5,0):OFFSET(AE$164,-1,0)),OFFSET(AE$11,5,0):OFFSET(AE$164,-1,0),0))</f>
        <v>0</v>
      </c>
      <c r="AF173" s="204">
        <f ca="1">ROUND(AF174-AF171-AF172,2)</f>
        <v>0</v>
      </c>
    </row>
    <row r="174" spans="1:32" x14ac:dyDescent="0.25">
      <c r="D174" s="277">
        <f ca="1">C174+SUMIF($R$12:$R$164,"1$",D12:D164)</f>
        <v>50396.250000000007</v>
      </c>
      <c r="F174" s="203" t="s">
        <v>246</v>
      </c>
      <c r="K174" s="278"/>
      <c r="R174" s="279"/>
      <c r="S174" s="280" t="s">
        <v>286</v>
      </c>
      <c r="T174" s="281">
        <f ca="1">SUMIF($R$12:$R$164,"1$",T12:T164)</f>
        <v>50396.250000000007</v>
      </c>
      <c r="U174" s="282">
        <f t="shared" ref="U174:AF174" ca="1" si="368">T174+SUMIF($R$12:$R$164,"1$",U12:U164)</f>
        <v>99891.450000000012</v>
      </c>
      <c r="V174" s="282">
        <f t="shared" ca="1" si="368"/>
        <v>99891.450000000012</v>
      </c>
      <c r="W174" s="282">
        <f t="shared" ca="1" si="368"/>
        <v>99891.450000000012</v>
      </c>
      <c r="X174" s="282">
        <f t="shared" ca="1" si="368"/>
        <v>99891.450000000012</v>
      </c>
      <c r="Y174" s="282">
        <f t="shared" ca="1" si="368"/>
        <v>99891.450000000012</v>
      </c>
      <c r="Z174" s="282">
        <f t="shared" ca="1" si="368"/>
        <v>99891.450000000012</v>
      </c>
      <c r="AA174" s="282">
        <f t="shared" ca="1" si="368"/>
        <v>99891.450000000012</v>
      </c>
      <c r="AB174" s="282">
        <f t="shared" ca="1" si="368"/>
        <v>99891.450000000012</v>
      </c>
      <c r="AC174" s="282">
        <f t="shared" ca="1" si="368"/>
        <v>99891.450000000012</v>
      </c>
      <c r="AD174" s="282">
        <f t="shared" ca="1" si="368"/>
        <v>99891.450000000012</v>
      </c>
      <c r="AE174" s="283">
        <f t="shared" ca="1" si="368"/>
        <v>99891.450000000012</v>
      </c>
      <c r="AF174" s="204">
        <f t="shared" ca="1" si="368"/>
        <v>99891.450000000012</v>
      </c>
    </row>
    <row r="175" spans="1:32" x14ac:dyDescent="0.25">
      <c r="F175" s="203" t="s">
        <v>246</v>
      </c>
    </row>
    <row r="176" spans="1:32" ht="32.25" customHeight="1" x14ac:dyDescent="0.25">
      <c r="F176" s="203" t="s">
        <v>246</v>
      </c>
      <c r="H176" s="623" t="str">
        <f>Import.Município</f>
        <v>BOM JARDIM DE MINAS - MG</v>
      </c>
      <c r="I176" s="623"/>
      <c r="J176" s="623"/>
      <c r="K176" s="623"/>
      <c r="L176" s="623"/>
      <c r="M176" s="623"/>
      <c r="N176" s="623"/>
      <c r="O176" s="623"/>
      <c r="P176" s="623"/>
      <c r="Q176" s="623"/>
      <c r="R176" s="623"/>
      <c r="Z176" s="552"/>
      <c r="AA176" s="552"/>
      <c r="AB176" s="552"/>
      <c r="AC176" s="552"/>
      <c r="AD176" s="554"/>
      <c r="AE176" s="554"/>
    </row>
    <row r="177" spans="6:31" x14ac:dyDescent="0.25">
      <c r="F177" s="203" t="s">
        <v>246</v>
      </c>
      <c r="H177" s="10" t="s">
        <v>188</v>
      </c>
      <c r="I177"/>
      <c r="J177"/>
      <c r="K177"/>
      <c r="Z177" s="194" t="s">
        <v>190</v>
      </c>
      <c r="AA177" s="194"/>
      <c r="AB177" s="194"/>
      <c r="AC177" s="194"/>
      <c r="AD177" s="203"/>
      <c r="AE177" s="203"/>
    </row>
    <row r="178" spans="6:31" x14ac:dyDescent="0.25">
      <c r="F178" s="203" t="s">
        <v>246</v>
      </c>
      <c r="H178"/>
      <c r="I178"/>
      <c r="J178"/>
      <c r="K178"/>
      <c r="Z178" s="446" t="str">
        <f t="array" aca="1" ref="Z178:Z180" ca="1">OFFSET(Import.RespOrçamento,0,-1) &amp; " " &amp; Import.RespOrçamento</f>
        <v>Nome: RENNAN ROBERTO DUARTE DA SILVA</v>
      </c>
      <c r="AB178"/>
      <c r="AC178" s="79"/>
      <c r="AD178" s="203"/>
      <c r="AE178" s="203"/>
    </row>
    <row r="179" spans="6:31" x14ac:dyDescent="0.25">
      <c r="F179" s="203" t="s">
        <v>246</v>
      </c>
      <c r="H179" s="633">
        <f ca="1">DADOS!$F$25</f>
        <v>45580</v>
      </c>
      <c r="I179" s="633"/>
      <c r="J179" s="633"/>
      <c r="K179" s="193"/>
      <c r="L179" s="284"/>
      <c r="M179" s="284"/>
      <c r="N179" s="284"/>
      <c r="O179" s="284"/>
      <c r="P179" s="284"/>
      <c r="Q179" s="284"/>
      <c r="R179" s="285"/>
      <c r="Z179" s="446" t="str">
        <f ca="1"/>
        <v>CREA/CAU: RJ2019107419D MG</v>
      </c>
      <c r="AB179" s="79"/>
      <c r="AC179" s="79"/>
      <c r="AD179" s="203"/>
      <c r="AE179" s="203"/>
    </row>
    <row r="180" spans="6:31" x14ac:dyDescent="0.25">
      <c r="F180" s="203" t="s">
        <v>246</v>
      </c>
      <c r="H180" s="10" t="s">
        <v>189</v>
      </c>
      <c r="I180"/>
      <c r="J180"/>
      <c r="K180"/>
      <c r="Z180" s="446" t="str">
        <f ca="1"/>
        <v>ART/RRT: MG20243409885</v>
      </c>
      <c r="AB180" s="79"/>
      <c r="AC180" s="79"/>
      <c r="AD180" s="203"/>
      <c r="AE180" s="203"/>
    </row>
  </sheetData>
  <sheetProtection algorithmName="SHA-512" hashValue="LZ3SwP2hGcZa/Vhs48T+knAvAB/dnfpB/4jElA859rQQGDSZITy0k7/0SMj8lF50E97Amy5MjV12YxH28DpuRQ==" saltValue="08MoVaRN/67+JANOcTS7mA==" spinCount="100000" sheet="1" objects="1" scenarios="1" autoFilter="0"/>
  <autoFilter ref="F13:F180" xr:uid="{00000000-0009-0000-0000-000007000000}">
    <filterColumn colId="0">
      <filters>
        <filter val="F"/>
      </filters>
    </filterColumn>
  </autoFilter>
  <mergeCells count="17">
    <mergeCell ref="F8:F11"/>
    <mergeCell ref="H8:I8"/>
    <mergeCell ref="G7:G9"/>
    <mergeCell ref="H165:J166"/>
    <mergeCell ref="G12:G13"/>
    <mergeCell ref="H12:H13"/>
    <mergeCell ref="I12:I13"/>
    <mergeCell ref="H179:J179"/>
    <mergeCell ref="AD4:AE4"/>
    <mergeCell ref="AD5:AE5"/>
    <mergeCell ref="Y8:AD8"/>
    <mergeCell ref="R12:R13"/>
    <mergeCell ref="S12:S13"/>
    <mergeCell ref="K8:S8"/>
    <mergeCell ref="T8:X8"/>
    <mergeCell ref="J10:S11"/>
    <mergeCell ref="H176:R176"/>
  </mergeCells>
  <phoneticPr fontId="38" type="noConversion"/>
  <conditionalFormatting sqref="T12:T13">
    <cfRule type="expression" dxfId="192" priority="1937" stopIfTrue="1">
      <formula>NOT(ISNUMBER(S$12))</formula>
    </cfRule>
  </conditionalFormatting>
  <conditionalFormatting sqref="D2 T2:AF2">
    <cfRule type="expression" dxfId="191" priority="1938" stopIfTrue="1">
      <formula>AND(ISNUMBER($G1),$G1&lt;&gt;0)</formula>
    </cfRule>
  </conditionalFormatting>
  <conditionalFormatting sqref="H2:R2">
    <cfRule type="expression" dxfId="190" priority="1939" stopIfTrue="1">
      <formula>$L1=2</formula>
    </cfRule>
    <cfRule type="expression" dxfId="189" priority="1940" stopIfTrue="1">
      <formula>AND($L1=1,$R1&lt;&gt;"")</formula>
    </cfRule>
  </conditionalFormatting>
  <conditionalFormatting sqref="H1:R1">
    <cfRule type="expression" dxfId="188" priority="1941" stopIfTrue="1">
      <formula>$L1=2</formula>
    </cfRule>
    <cfRule type="expression" dxfId="187" priority="1942" stopIfTrue="1">
      <formula>AND($L1=1,$R1&lt;&gt;"")</formula>
    </cfRule>
  </conditionalFormatting>
  <conditionalFormatting sqref="D165:D169 T166:AE166 T168:AE168">
    <cfRule type="expression" dxfId="186" priority="1943" stopIfTrue="1">
      <formula>D$165=0</formula>
    </cfRule>
  </conditionalFormatting>
  <conditionalFormatting sqref="D170:D174">
    <cfRule type="expression" dxfId="185" priority="1944" stopIfTrue="1">
      <formula>C$170=1</formula>
    </cfRule>
  </conditionalFormatting>
  <conditionalFormatting sqref="U170:AE170 U172:AE172 U174:AE174">
    <cfRule type="expression" dxfId="184" priority="1945" stopIfTrue="1">
      <formula>OFFSET(U$170,0,-1)&gt;=1</formula>
    </cfRule>
  </conditionalFormatting>
  <conditionalFormatting sqref="U171:AE171 U173:AE173">
    <cfRule type="expression" dxfId="183" priority="1946" stopIfTrue="1">
      <formula>OFFSET(U$170,0,-1)&gt;=1</formula>
    </cfRule>
  </conditionalFormatting>
  <conditionalFormatting sqref="T165:AE165 T167:AE167 T169:AE169">
    <cfRule type="expression" dxfId="182" priority="1947" stopIfTrue="1">
      <formula>T$165=0</formula>
    </cfRule>
  </conditionalFormatting>
  <conditionalFormatting sqref="AE7:AE8">
    <cfRule type="expression" dxfId="181" priority="1948" stopIfTrue="1">
      <formula>OR(TIPOORCAMENTO&lt;&gt;"Licitado",QCI.ExisteManual)</formula>
    </cfRule>
  </conditionalFormatting>
  <conditionalFormatting sqref="D1 T1:AE1">
    <cfRule type="expression" dxfId="180" priority="1949" stopIfTrue="1">
      <formula>D1&lt;&gt;0</formula>
    </cfRule>
  </conditionalFormatting>
  <conditionalFormatting sqref="Y7:AD8">
    <cfRule type="expression" dxfId="179" priority="1936" stopIfTrue="1">
      <formula>QCI.ExisteManual</formula>
    </cfRule>
  </conditionalFormatting>
  <conditionalFormatting sqref="D15 D18 D21 T15:AF15 T18:AF18 T21:AF21">
    <cfRule type="expression" dxfId="178" priority="97" stopIfTrue="1">
      <formula>AND(ISNUMBER($G14),$G14&lt;&gt;0)</formula>
    </cfRule>
  </conditionalFormatting>
  <conditionalFormatting sqref="H15:R15 H18:R18 H21:R21">
    <cfRule type="expression" dxfId="177" priority="98" stopIfTrue="1">
      <formula>$L14=2</formula>
    </cfRule>
    <cfRule type="expression" dxfId="176" priority="99" stopIfTrue="1">
      <formula>AND($L14=1,$R14&lt;&gt;"")</formula>
    </cfRule>
  </conditionalFormatting>
  <conditionalFormatting sqref="H14:R14 H17:R17 H20:R20">
    <cfRule type="expression" dxfId="175" priority="100" stopIfTrue="1">
      <formula>$L14=2</formula>
    </cfRule>
    <cfRule type="expression" dxfId="174" priority="101" stopIfTrue="1">
      <formula>AND($L14=1,$R14&lt;&gt;"")</formula>
    </cfRule>
  </conditionalFormatting>
  <conditionalFormatting sqref="D14 D17 D20 T14:AE14 T17:AE17 T20:AE20">
    <cfRule type="expression" dxfId="173" priority="102" stopIfTrue="1">
      <formula>D14&lt;&gt;0</formula>
    </cfRule>
  </conditionalFormatting>
  <conditionalFormatting sqref="D24 D27 D30 T24:AF24 T27:AF27 T30:AF30">
    <cfRule type="expression" dxfId="172" priority="91" stopIfTrue="1">
      <formula>AND(ISNUMBER($G23),$G23&lt;&gt;0)</formula>
    </cfRule>
  </conditionalFormatting>
  <conditionalFormatting sqref="H24:R24 H27:R27 H30:R30">
    <cfRule type="expression" dxfId="171" priority="92" stopIfTrue="1">
      <formula>$L23=2</formula>
    </cfRule>
    <cfRule type="expression" dxfId="170" priority="93" stopIfTrue="1">
      <formula>AND($L23=1,$R23&lt;&gt;"")</formula>
    </cfRule>
  </conditionalFormatting>
  <conditionalFormatting sqref="H23:R23 H26:R26 H29:R29">
    <cfRule type="expression" dxfId="169" priority="94" stopIfTrue="1">
      <formula>$L23=2</formula>
    </cfRule>
    <cfRule type="expression" dxfId="168" priority="95" stopIfTrue="1">
      <formula>AND($L23=1,$R23&lt;&gt;"")</formula>
    </cfRule>
  </conditionalFormatting>
  <conditionalFormatting sqref="D23 D26 D29 T23:AE23 T26:AE26 T29:AE29">
    <cfRule type="expression" dxfId="167" priority="96" stopIfTrue="1">
      <formula>D23&lt;&gt;0</formula>
    </cfRule>
  </conditionalFormatting>
  <conditionalFormatting sqref="D33 D36 D39 T33:AF33 T36:AF36 T39:AF39">
    <cfRule type="expression" dxfId="166" priority="85" stopIfTrue="1">
      <formula>AND(ISNUMBER($G32),$G32&lt;&gt;0)</formula>
    </cfRule>
  </conditionalFormatting>
  <conditionalFormatting sqref="H33:R33 H36:R36 H39:R39">
    <cfRule type="expression" dxfId="165" priority="86" stopIfTrue="1">
      <formula>$L32=2</formula>
    </cfRule>
    <cfRule type="expression" dxfId="164" priority="87" stopIfTrue="1">
      <formula>AND($L32=1,$R32&lt;&gt;"")</formula>
    </cfRule>
  </conditionalFormatting>
  <conditionalFormatting sqref="H32:R32 H35:R35 H38:R38">
    <cfRule type="expression" dxfId="163" priority="88" stopIfTrue="1">
      <formula>$L32=2</formula>
    </cfRule>
    <cfRule type="expression" dxfId="162" priority="89" stopIfTrue="1">
      <formula>AND($L32=1,$R32&lt;&gt;"")</formula>
    </cfRule>
  </conditionalFormatting>
  <conditionalFormatting sqref="D32 D35 D38 T32:AE32 T35:AE35 T38:AE38">
    <cfRule type="expression" dxfId="161" priority="90" stopIfTrue="1">
      <formula>D32&lt;&gt;0</formula>
    </cfRule>
  </conditionalFormatting>
  <conditionalFormatting sqref="D42 D45 D48 T42:AF42 T45:AF45 T48:AF48">
    <cfRule type="expression" dxfId="160" priority="79" stopIfTrue="1">
      <formula>AND(ISNUMBER($G41),$G41&lt;&gt;0)</formula>
    </cfRule>
  </conditionalFormatting>
  <conditionalFormatting sqref="H42:R42 H45:R45 H48:R48">
    <cfRule type="expression" dxfId="159" priority="80" stopIfTrue="1">
      <formula>$L41=2</formula>
    </cfRule>
    <cfRule type="expression" dxfId="158" priority="81" stopIfTrue="1">
      <formula>AND($L41=1,$R41&lt;&gt;"")</formula>
    </cfRule>
  </conditionalFormatting>
  <conditionalFormatting sqref="H41:R41 H44:R44 H47:R47">
    <cfRule type="expression" dxfId="157" priority="82" stopIfTrue="1">
      <formula>$L41=2</formula>
    </cfRule>
    <cfRule type="expression" dxfId="156" priority="83" stopIfTrue="1">
      <formula>AND($L41=1,$R41&lt;&gt;"")</formula>
    </cfRule>
  </conditionalFormatting>
  <conditionalFormatting sqref="D41 D44 D47 T41:AE41 T44:AE44 T47:AE47">
    <cfRule type="expression" dxfId="155" priority="84" stopIfTrue="1">
      <formula>D41&lt;&gt;0</formula>
    </cfRule>
  </conditionalFormatting>
  <conditionalFormatting sqref="D51 D54 D57 T51:AF51 T54:AF54 T57:AF57">
    <cfRule type="expression" dxfId="154" priority="73" stopIfTrue="1">
      <formula>AND(ISNUMBER($G50),$G50&lt;&gt;0)</formula>
    </cfRule>
  </conditionalFormatting>
  <conditionalFormatting sqref="H51:R51 H54:R54 H57:R57">
    <cfRule type="expression" dxfId="153" priority="74" stopIfTrue="1">
      <formula>$L50=2</formula>
    </cfRule>
    <cfRule type="expression" dxfId="152" priority="75" stopIfTrue="1">
      <formula>AND($L50=1,$R50&lt;&gt;"")</formula>
    </cfRule>
  </conditionalFormatting>
  <conditionalFormatting sqref="H50:R50 H53:R53 H56:R56">
    <cfRule type="expression" dxfId="151" priority="76" stopIfTrue="1">
      <formula>$L50=2</formula>
    </cfRule>
    <cfRule type="expression" dxfId="150" priority="77" stopIfTrue="1">
      <formula>AND($L50=1,$R50&lt;&gt;"")</formula>
    </cfRule>
  </conditionalFormatting>
  <conditionalFormatting sqref="D50 D53 D56 T50:AE50 T53:AE53 T56:AE56">
    <cfRule type="expression" dxfId="149" priority="78" stopIfTrue="1">
      <formula>D50&lt;&gt;0</formula>
    </cfRule>
  </conditionalFormatting>
  <conditionalFormatting sqref="D60 D63 D66 T60:AF60 T63:AF63 T66:AF66">
    <cfRule type="expression" dxfId="148" priority="67" stopIfTrue="1">
      <formula>AND(ISNUMBER($G59),$G59&lt;&gt;0)</formula>
    </cfRule>
  </conditionalFormatting>
  <conditionalFormatting sqref="H60:R60 H63:R63 H66:R66">
    <cfRule type="expression" dxfId="147" priority="68" stopIfTrue="1">
      <formula>$L59=2</formula>
    </cfRule>
    <cfRule type="expression" dxfId="146" priority="69" stopIfTrue="1">
      <formula>AND($L59=1,$R59&lt;&gt;"")</formula>
    </cfRule>
  </conditionalFormatting>
  <conditionalFormatting sqref="H59:R59 H62:R62 H65:R65">
    <cfRule type="expression" dxfId="145" priority="70" stopIfTrue="1">
      <formula>$L59=2</formula>
    </cfRule>
    <cfRule type="expression" dxfId="144" priority="71" stopIfTrue="1">
      <formula>AND($L59=1,$R59&lt;&gt;"")</formula>
    </cfRule>
  </conditionalFormatting>
  <conditionalFormatting sqref="D59 D62 D65 T59:AE59 T62:AE62 T65:AE65">
    <cfRule type="expression" dxfId="143" priority="72" stopIfTrue="1">
      <formula>D59&lt;&gt;0</formula>
    </cfRule>
  </conditionalFormatting>
  <conditionalFormatting sqref="D69 D72 D75 T69:AF69 T72:AF72 T75:AF75">
    <cfRule type="expression" dxfId="142" priority="61" stopIfTrue="1">
      <formula>AND(ISNUMBER($G68),$G68&lt;&gt;0)</formula>
    </cfRule>
  </conditionalFormatting>
  <conditionalFormatting sqref="H69:R69 H72:R72 H75:R75">
    <cfRule type="expression" dxfId="141" priority="62" stopIfTrue="1">
      <formula>$L68=2</formula>
    </cfRule>
    <cfRule type="expression" dxfId="140" priority="63" stopIfTrue="1">
      <formula>AND($L68=1,$R68&lt;&gt;"")</formula>
    </cfRule>
  </conditionalFormatting>
  <conditionalFormatting sqref="H68:R68 H71:R71 H74:R74">
    <cfRule type="expression" dxfId="139" priority="64" stopIfTrue="1">
      <formula>$L68=2</formula>
    </cfRule>
    <cfRule type="expression" dxfId="138" priority="65" stopIfTrue="1">
      <formula>AND($L68=1,$R68&lt;&gt;"")</formula>
    </cfRule>
  </conditionalFormatting>
  <conditionalFormatting sqref="D68 D71 D74 T68:AE68 T71:AE71 T74:AE74">
    <cfRule type="expression" dxfId="137" priority="66" stopIfTrue="1">
      <formula>D68&lt;&gt;0</formula>
    </cfRule>
  </conditionalFormatting>
  <conditionalFormatting sqref="D78 D81 D84 T78:AF78 T81:AF81 T84:AF84">
    <cfRule type="expression" dxfId="136" priority="55" stopIfTrue="1">
      <formula>AND(ISNUMBER($G77),$G77&lt;&gt;0)</formula>
    </cfRule>
  </conditionalFormatting>
  <conditionalFormatting sqref="H78:R78 H81:R81 H84:R84">
    <cfRule type="expression" dxfId="135" priority="56" stopIfTrue="1">
      <formula>$L77=2</formula>
    </cfRule>
    <cfRule type="expression" dxfId="134" priority="57" stopIfTrue="1">
      <formula>AND($L77=1,$R77&lt;&gt;"")</formula>
    </cfRule>
  </conditionalFormatting>
  <conditionalFormatting sqref="H77:R77 H80:R80 H83:R83">
    <cfRule type="expression" dxfId="133" priority="58" stopIfTrue="1">
      <formula>$L77=2</formula>
    </cfRule>
    <cfRule type="expression" dxfId="132" priority="59" stopIfTrue="1">
      <formula>AND($L77=1,$R77&lt;&gt;"")</formula>
    </cfRule>
  </conditionalFormatting>
  <conditionalFormatting sqref="D77 D80 D83 T77:AE77 T80:AE80 T83:AE83">
    <cfRule type="expression" dxfId="131" priority="60" stopIfTrue="1">
      <formula>D77&lt;&gt;0</formula>
    </cfRule>
  </conditionalFormatting>
  <conditionalFormatting sqref="D87 D90 D93 T87:AF87 T90:AF90 T93:AF93">
    <cfRule type="expression" dxfId="130" priority="49" stopIfTrue="1">
      <formula>AND(ISNUMBER($G86),$G86&lt;&gt;0)</formula>
    </cfRule>
  </conditionalFormatting>
  <conditionalFormatting sqref="H87:R87 H90:R90 H93:R93">
    <cfRule type="expression" dxfId="129" priority="50" stopIfTrue="1">
      <formula>$L86=2</formula>
    </cfRule>
    <cfRule type="expression" dxfId="128" priority="51" stopIfTrue="1">
      <formula>AND($L86=1,$R86&lt;&gt;"")</formula>
    </cfRule>
  </conditionalFormatting>
  <conditionalFormatting sqref="H86:R86 H89:R89 H92:R92">
    <cfRule type="expression" dxfId="127" priority="52" stopIfTrue="1">
      <formula>$L86=2</formula>
    </cfRule>
    <cfRule type="expression" dxfId="126" priority="53" stopIfTrue="1">
      <formula>AND($L86=1,$R86&lt;&gt;"")</formula>
    </cfRule>
  </conditionalFormatting>
  <conditionalFormatting sqref="D86 D89 D92 T86:AE86 T89:AE89 T92:AE92">
    <cfRule type="expression" dxfId="125" priority="54" stopIfTrue="1">
      <formula>D86&lt;&gt;0</formula>
    </cfRule>
  </conditionalFormatting>
  <conditionalFormatting sqref="D96 D99 D102 T96:AF96 T99:AF99 T102:AF102">
    <cfRule type="expression" dxfId="124" priority="43" stopIfTrue="1">
      <formula>AND(ISNUMBER($G95),$G95&lt;&gt;0)</formula>
    </cfRule>
  </conditionalFormatting>
  <conditionalFormatting sqref="H96:R96 H99:R99 H102:R102">
    <cfRule type="expression" dxfId="123" priority="44" stopIfTrue="1">
      <formula>$L95=2</formula>
    </cfRule>
    <cfRule type="expression" dxfId="122" priority="45" stopIfTrue="1">
      <formula>AND($L95=1,$R95&lt;&gt;"")</formula>
    </cfRule>
  </conditionalFormatting>
  <conditionalFormatting sqref="H95:R95 H98:R98 H101:R101">
    <cfRule type="expression" dxfId="121" priority="46" stopIfTrue="1">
      <formula>$L95=2</formula>
    </cfRule>
    <cfRule type="expression" dxfId="120" priority="47" stopIfTrue="1">
      <formula>AND($L95=1,$R95&lt;&gt;"")</formula>
    </cfRule>
  </conditionalFormatting>
  <conditionalFormatting sqref="D95 D98 D101 T95:AE95 T98:AE98 T101:AE101">
    <cfRule type="expression" dxfId="119" priority="48" stopIfTrue="1">
      <formula>D95&lt;&gt;0</formula>
    </cfRule>
  </conditionalFormatting>
  <conditionalFormatting sqref="D105 D108 D111 T105:AF105 T108:AF108 T111:AF111">
    <cfRule type="expression" dxfId="118" priority="37" stopIfTrue="1">
      <formula>AND(ISNUMBER($G104),$G104&lt;&gt;0)</formula>
    </cfRule>
  </conditionalFormatting>
  <conditionalFormatting sqref="H105:R105 H108:R108 H111:R111">
    <cfRule type="expression" dxfId="117" priority="38" stopIfTrue="1">
      <formula>$L104=2</formula>
    </cfRule>
    <cfRule type="expression" dxfId="116" priority="39" stopIfTrue="1">
      <formula>AND($L104=1,$R104&lt;&gt;"")</formula>
    </cfRule>
  </conditionalFormatting>
  <conditionalFormatting sqref="H104:R104 H107:R107 H110:R110">
    <cfRule type="expression" dxfId="115" priority="40" stopIfTrue="1">
      <formula>$L104=2</formula>
    </cfRule>
    <cfRule type="expression" dxfId="114" priority="41" stopIfTrue="1">
      <formula>AND($L104=1,$R104&lt;&gt;"")</formula>
    </cfRule>
  </conditionalFormatting>
  <conditionalFormatting sqref="D104 D107 D110 T104:AE104 T107:AE107 T110:AE110">
    <cfRule type="expression" dxfId="113" priority="42" stopIfTrue="1">
      <formula>D104&lt;&gt;0</formula>
    </cfRule>
  </conditionalFormatting>
  <conditionalFormatting sqref="D114 D117 D120 T114:AF114 T117:AF117 T120:AF120">
    <cfRule type="expression" dxfId="112" priority="31" stopIfTrue="1">
      <formula>AND(ISNUMBER($G113),$G113&lt;&gt;0)</formula>
    </cfRule>
  </conditionalFormatting>
  <conditionalFormatting sqref="H114:R114 H117:R117 H120:R120">
    <cfRule type="expression" dxfId="111" priority="32" stopIfTrue="1">
      <formula>$L113=2</formula>
    </cfRule>
    <cfRule type="expression" dxfId="110" priority="33" stopIfTrue="1">
      <formula>AND($L113=1,$R113&lt;&gt;"")</formula>
    </cfRule>
  </conditionalFormatting>
  <conditionalFormatting sqref="H113:R113 H116:R116 H119:R119">
    <cfRule type="expression" dxfId="109" priority="34" stopIfTrue="1">
      <formula>$L113=2</formula>
    </cfRule>
    <cfRule type="expression" dxfId="108" priority="35" stopIfTrue="1">
      <formula>AND($L113=1,$R113&lt;&gt;"")</formula>
    </cfRule>
  </conditionalFormatting>
  <conditionalFormatting sqref="D113 D116 D119 T113:AE113 T116:AE116 T119:AE119">
    <cfRule type="expression" dxfId="107" priority="36" stopIfTrue="1">
      <formula>D113&lt;&gt;0</formula>
    </cfRule>
  </conditionalFormatting>
  <conditionalFormatting sqref="D123 D126 D129 T123:AF123 T126:AF126 T129:AF129">
    <cfRule type="expression" dxfId="106" priority="25" stopIfTrue="1">
      <formula>AND(ISNUMBER($G122),$G122&lt;&gt;0)</formula>
    </cfRule>
  </conditionalFormatting>
  <conditionalFormatting sqref="H123:R123 H126:R126 H129:R129">
    <cfRule type="expression" dxfId="105" priority="26" stopIfTrue="1">
      <formula>$L122=2</formula>
    </cfRule>
    <cfRule type="expression" dxfId="104" priority="27" stopIfTrue="1">
      <formula>AND($L122=1,$R122&lt;&gt;"")</formula>
    </cfRule>
  </conditionalFormatting>
  <conditionalFormatting sqref="H122:R122 H125:R125 H128:R128">
    <cfRule type="expression" dxfId="103" priority="28" stopIfTrue="1">
      <formula>$L122=2</formula>
    </cfRule>
    <cfRule type="expression" dxfId="102" priority="29" stopIfTrue="1">
      <formula>AND($L122=1,$R122&lt;&gt;"")</formula>
    </cfRule>
  </conditionalFormatting>
  <conditionalFormatting sqref="D122 D125 D128 T122:AE122 T125:AE125 T128:AE128">
    <cfRule type="expression" dxfId="101" priority="30" stopIfTrue="1">
      <formula>D122&lt;&gt;0</formula>
    </cfRule>
  </conditionalFormatting>
  <conditionalFormatting sqref="D132 D135 D138 T132:AF132 T135:AF135 T138:AF138">
    <cfRule type="expression" dxfId="100" priority="19" stopIfTrue="1">
      <formula>AND(ISNUMBER($G131),$G131&lt;&gt;0)</formula>
    </cfRule>
  </conditionalFormatting>
  <conditionalFormatting sqref="H132:R132 H135:R135 H138:R138">
    <cfRule type="expression" dxfId="99" priority="20" stopIfTrue="1">
      <formula>$L131=2</formula>
    </cfRule>
    <cfRule type="expression" dxfId="98" priority="21" stopIfTrue="1">
      <formula>AND($L131=1,$R131&lt;&gt;"")</formula>
    </cfRule>
  </conditionalFormatting>
  <conditionalFormatting sqref="H131:R131 H134:R134 H137:R137">
    <cfRule type="expression" dxfId="97" priority="22" stopIfTrue="1">
      <formula>$L131=2</formula>
    </cfRule>
    <cfRule type="expression" dxfId="96" priority="23" stopIfTrue="1">
      <formula>AND($L131=1,$R131&lt;&gt;"")</formula>
    </cfRule>
  </conditionalFormatting>
  <conditionalFormatting sqref="D131 D134 D137 T131:AE131 T134:AE134 T137:AE137">
    <cfRule type="expression" dxfId="95" priority="24" stopIfTrue="1">
      <formula>D131&lt;&gt;0</formula>
    </cfRule>
  </conditionalFormatting>
  <conditionalFormatting sqref="D141 D144 D147 T141:AF141 T144:AF144 T147:AF147">
    <cfRule type="expression" dxfId="94" priority="13" stopIfTrue="1">
      <formula>AND(ISNUMBER($G140),$G140&lt;&gt;0)</formula>
    </cfRule>
  </conditionalFormatting>
  <conditionalFormatting sqref="H141:R141 H144:R144 H147:R147">
    <cfRule type="expression" dxfId="93" priority="14" stopIfTrue="1">
      <formula>$L140=2</formula>
    </cfRule>
    <cfRule type="expression" dxfId="92" priority="15" stopIfTrue="1">
      <formula>AND($L140=1,$R140&lt;&gt;"")</formula>
    </cfRule>
  </conditionalFormatting>
  <conditionalFormatting sqref="H140:R140 H143:R143 H146:R146">
    <cfRule type="expression" dxfId="91" priority="16" stopIfTrue="1">
      <formula>$L140=2</formula>
    </cfRule>
    <cfRule type="expression" dxfId="90" priority="17" stopIfTrue="1">
      <formula>AND($L140=1,$R140&lt;&gt;"")</formula>
    </cfRule>
  </conditionalFormatting>
  <conditionalFormatting sqref="D140 D143 D146 T140:AE140 T143:AE143 T146:AE146">
    <cfRule type="expression" dxfId="89" priority="18" stopIfTrue="1">
      <formula>D140&lt;&gt;0</formula>
    </cfRule>
  </conditionalFormatting>
  <conditionalFormatting sqref="D150 D153 D156 T150:AF150 T153:AF153 T156:AF156">
    <cfRule type="expression" dxfId="88" priority="7" stopIfTrue="1">
      <formula>AND(ISNUMBER($G149),$G149&lt;&gt;0)</formula>
    </cfRule>
  </conditionalFormatting>
  <conditionalFormatting sqref="H150:R150 H153:R153 H156:R156">
    <cfRule type="expression" dxfId="87" priority="8" stopIfTrue="1">
      <formula>$L149=2</formula>
    </cfRule>
    <cfRule type="expression" dxfId="86" priority="9" stopIfTrue="1">
      <formula>AND($L149=1,$R149&lt;&gt;"")</formula>
    </cfRule>
  </conditionalFormatting>
  <conditionalFormatting sqref="H149:R149 H152:R152 H155:R155">
    <cfRule type="expression" dxfId="85" priority="10" stopIfTrue="1">
      <formula>$L149=2</formula>
    </cfRule>
    <cfRule type="expression" dxfId="84" priority="11" stopIfTrue="1">
      <formula>AND($L149=1,$R149&lt;&gt;"")</formula>
    </cfRule>
  </conditionalFormatting>
  <conditionalFormatting sqref="D149 D152 D155 T149:AE149 T152:AE152 T155:AE155">
    <cfRule type="expression" dxfId="83" priority="12" stopIfTrue="1">
      <formula>D149&lt;&gt;0</formula>
    </cfRule>
  </conditionalFormatting>
  <conditionalFormatting sqref="D159 D162 T159:AF159 T162:AF162">
    <cfRule type="expression" dxfId="82" priority="1" stopIfTrue="1">
      <formula>AND(ISNUMBER($G158),$G158&lt;&gt;0)</formula>
    </cfRule>
  </conditionalFormatting>
  <conditionalFormatting sqref="H159:R159 H162:R162">
    <cfRule type="expression" dxfId="81" priority="2" stopIfTrue="1">
      <formula>$L158=2</formula>
    </cfRule>
    <cfRule type="expression" dxfId="80" priority="3" stopIfTrue="1">
      <formula>AND($L158=1,$R158&lt;&gt;"")</formula>
    </cfRule>
  </conditionalFormatting>
  <conditionalFormatting sqref="H158:R158 H161:R161">
    <cfRule type="expression" dxfId="79" priority="4" stopIfTrue="1">
      <formula>$L158=2</formula>
    </cfRule>
    <cfRule type="expression" dxfId="78" priority="5" stopIfTrue="1">
      <formula>AND($L158=1,$R158&lt;&gt;"")</formula>
    </cfRule>
  </conditionalFormatting>
  <conditionalFormatting sqref="D158 D161 T158:AE158 T161:AE161">
    <cfRule type="expression" dxfId="77" priority="6" stopIfTrue="1">
      <formula>D158&lt;&gt;0</formula>
    </cfRule>
  </conditionalFormatting>
  <dataValidations count="5">
    <dataValidation type="list" allowBlank="1" showErrorMessage="1" sqref="G10" xr:uid="{00000000-0002-0000-0700-000000000000}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D26 D29 T23:AE23 T26:AE26 T29:AE29 D32 D35 D38 T32:AE32 T35:AE35 T38:AE38 D41 D44 D47 T41:AE41 T44:AE44 T47:AE47 D50 D53 D56 T50:AE50 T53:AE53 T56:AE56 D59 D62 D65 T59:AE59 T62:AE62 T65:AE65 D68 D71 D74 T68:AE68 T71:AE71 T74:AE74 D77 D80 D83 T77:AE77 T80:AE80 T83:AE83 D86 D89 D92 T86:AE86 T89:AE89 T92:AE92 D95 D98 D101 T95:AE95 T98:AE98 T101:AE101 D104 D107 D110 T104:AE104 T107:AE107 T110:AE110 D113 D116 D119 T113:AE113 T116:AE116 T119:AE119 D122 D125 D128 T122:AE122 T125:AE125 T128:AE128 D131 D134 D137 T131:AE131 T134:AE134 T137:AE137 D140 D143 D146 T140:AE140 T143:AE143 T146:AE146 D149 D152 D155 T149:AE149 T152:AE152 T155:AE155 D158 D161 T158:AE158 T161:AE161" xr:uid="{00000000-0002-0000-0700-000001000000}"/>
    <dataValidation type="whole" operator="greaterThan" allowBlank="1" showErrorMessage="1" sqref="T12" xr:uid="{00000000-0002-0000-0700-000002000000}">
      <formula1>0</formula1>
      <formula2>0</formula2>
    </dataValidation>
    <dataValidation type="decimal" allowBlank="1" showErrorMessage="1" error="Porcentagem Acumulada &gt; 100%." sqref="D2 T2:AF2 D15 D18 D21 T15:AF15 T18:AF18 T21:AF21 D24 D27 D30 T24:AF24 T27:AF27 T30:AF30 D33 D36 D39 T33:AF33 T36:AF36 T39:AF39 D42 D45 D48 T42:AF42 T45:AF45 T48:AF48 D51 D54 D57 T51:AF51 T54:AF54 T57:AF57 D60 D63 D66 T60:AF60 T63:AF63 T66:AF66 D69 D72 D75 T69:AF69 T72:AF72 T75:AF75 D78 D81 D84 T78:AF78 T81:AF81 T84:AF84 D87 D90 D93 T87:AF87 T90:AF90 T93:AF93 D96 D99 D102 T96:AF96 T99:AF99 T102:AF102 D105 D108 D111 T105:AF105 T108:AF108 T111:AF111 D114 D117 D120 T114:AF114 T117:AF117 T120:AF120 D123 D126 D129 T123:AF123 T126:AF126 T129:AF129 D132 D135 D138 T132:AF132 T135:AF135 T138:AF138 D141 D144 D147 T141:AF141 T144:AF144 T147:AF147 D150 D153 D156 T150:AF150 T153:AF153 T156:AF156 D159 D162 T159:AF159 T162:AF162" xr:uid="{00000000-0002-0000-0700-000003000000}">
      <formula1>0</formula1>
      <formula2>CRONO.MaxParc</formula2>
    </dataValidation>
    <dataValidation type="date" operator="greaterThan" allowBlank="1" showInputMessage="1" showErrorMessage="1" errorTitle="Erro" error="Digite somente datas." sqref="T13" xr:uid="{00000000-0002-0000-0700-000004000000}">
      <formula1>36526</formula1>
    </dataValidation>
  </dataValidations>
  <pageMargins left="0.78740157480314998" right="0.78740157480314998" top="0.78740157480314998" bottom="0.78740157480314998" header="0.59055118110236204" footer="0.59055118110236204"/>
  <pageSetup paperSize="9" scale="66" firstPageNumber="0" orientation="landscape" r:id="rId1"/>
  <headerFooter alignWithMargins="0">
    <oddHeader>&amp;C&amp;14I</oddHeader>
    <oddFooter>&amp;LPMv3.0.6&amp;R&amp;P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0">
    <pageSetUpPr fitToPage="1"/>
  </sheetPr>
  <dimension ref="A1:AE65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I22" sqref="I22"/>
    </sheetView>
  </sheetViews>
  <sheetFormatPr defaultRowHeight="13.2" x14ac:dyDescent="0.25"/>
  <cols>
    <col min="1" max="1" width="3.88671875" customWidth="1"/>
    <col min="2" max="2" width="8.109375" customWidth="1"/>
    <col min="3" max="3" width="36.88671875" customWidth="1"/>
    <col min="4" max="4" width="1.44140625" customWidth="1"/>
    <col min="5" max="6" width="0" hidden="1" customWidth="1"/>
    <col min="7" max="31" width="5.6640625" customWidth="1"/>
    <col min="32" max="32" width="2.109375" customWidth="1"/>
  </cols>
  <sheetData>
    <row r="1" spans="1:31" hidden="1" x14ac:dyDescent="0.25">
      <c r="A1" s="7" t="e">
        <f ca="1">IF(AUTOEVENTO="Manual",IF(OFFSET(EVENTOS!$F$14,CRONOPLE!$B1,0)&gt;0,"F",""),IF(CRONOPLE!B1&lt;=MAX(CÁLCULO!$M$15:$M$32),"F",""))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IF(AUTOEVENTO="Manual",IF($B1&lt;&gt;1,OFFSET(EVENTOS!$D$14,$B1,0),0),IF(B1&lt;=MAX(CÁLCULO!$M$15:$M$32),VLOOKUP($B1,CÁLCULO!$M$15:$N$32,2,FALSE),0))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5"/>
    <row r="3" spans="1:31" hidden="1" x14ac:dyDescent="0.25"/>
    <row r="4" spans="1:31" hidden="1" x14ac:dyDescent="0.25"/>
    <row r="5" spans="1:31" ht="15.6" x14ac:dyDescent="0.25">
      <c r="B5" s="82" t="s">
        <v>288</v>
      </c>
    </row>
    <row r="7" spans="1:31" x14ac:dyDescent="0.25">
      <c r="B7" t="s">
        <v>289</v>
      </c>
    </row>
    <row r="9" spans="1:31" ht="13.8" x14ac:dyDescent="0.25">
      <c r="B9" s="289" t="str">
        <f ca="1">IF(ACOMPANHAMENTO="BM","NO ACOMPANHAMENTO POR BM, UTILIZE A ABA CRONO",IF(MAX($B$14:$B$65)&lt;MAX(CÁLCULO!$M$15:$M$32),"ERRO: NÚMERO DE EVENTOS INSUFICIENTE, CLIQUE EM ATUALIZAR LINHAS",IF(ROUND(OFFSET(CRONO!$AF$174,0,-1),2)&lt;&gt;CRONO!$Q$165,"ERRO: CRONOGRAMA NÃO FECHA 100%","")))</f>
        <v/>
      </c>
    </row>
    <row r="11" spans="1:31" ht="65.25" customHeight="1" x14ac:dyDescent="0.25">
      <c r="A11" s="290"/>
      <c r="C11" s="291"/>
      <c r="E11" s="292" t="str">
        <f ca="1">IF(E$12&gt;CÁLCULO.NúmeroDeFrentes,"",OFFSET(CÁLCULO!$P$12,0,E$12))</f>
        <v>PLACA</v>
      </c>
      <c r="G11" s="292" t="str">
        <f ca="1">IF(G$12&gt;CÁLCULO.NúmeroDeFrentes,"",OFFSET(CÁLCULO!$P$12,0,G$12))</f>
        <v>PLACA</v>
      </c>
      <c r="H11" s="292" t="str">
        <f ca="1">IF(H$12&gt;CÁLCULO.NúmeroDeFrentes,"",OFFSET(CÁLCULO!$P$12,0,H$12))</f>
        <v>EMBOÇO, PINTURA E PISO</v>
      </c>
      <c r="I11" s="292" t="str">
        <f ca="1">IF(I$12&gt;CÁLCULO.NúmeroDeFrentes,"",OFFSET(CÁLCULO!$P$12,0,I$12))</f>
        <v>ILUMINAÇÃO E CHUVEIROS</v>
      </c>
      <c r="J11" s="292" t="str">
        <f ca="1">IF(J$12&gt;CÁLCULO.NúmeroDeFrentes,"",OFFSET(CÁLCULO!$P$12,0,J$12))</f>
        <v>LOUÇAS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5">
      <c r="A12" s="107"/>
      <c r="B12" s="645" t="s">
        <v>266</v>
      </c>
      <c r="C12" s="645" t="s">
        <v>291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5">
      <c r="B13" s="645"/>
      <c r="C13" s="645"/>
      <c r="E13" s="294"/>
      <c r="G13" s="295"/>
      <c r="H13" s="294"/>
      <c r="I13" s="294"/>
      <c r="J13" s="294"/>
      <c r="K13" s="294"/>
      <c r="L13" s="294"/>
      <c r="M13" s="294" t="s">
        <v>292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5">
      <c r="A14" s="7"/>
    </row>
    <row r="15" spans="1:31" x14ac:dyDescent="0.25">
      <c r="A15" s="7"/>
      <c r="B15" s="297">
        <v>1</v>
      </c>
      <c r="C15" s="298" t="s">
        <v>269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5">
      <c r="A16" s="7" t="str">
        <f ca="1">IF(AUTOEVENTO="Manual",IF(OFFSET(EVENTOS!$F$14,CRONOPLE!$B16,0)&gt;0,"F",""),IF(CRONOPLE!B16&lt;=MAX(CÁLCULO!$M$15:$M$32),"F",""))</f>
        <v>F</v>
      </c>
      <c r="B16" s="286">
        <f t="shared" ref="B16:B64" ca="1" si="1">OFFSET(B16,-1,0)+1</f>
        <v>2</v>
      </c>
      <c r="C16" s="287" t="str">
        <f ca="1">IF(AUTOEVENTO="Manual",IF($B16&lt;&gt;1,OFFSET(EVENTOS!$D$14,$B16,0),0),IF(B16&lt;=MAX(CÁLCULO!$M$15:$M$32),VLOOKUP($B16,CÁLCULO!$M$15:$N$32,2,FALSE),0))</f>
        <v>(SERVIÇOS PRELIMINARES)</v>
      </c>
      <c r="E16" s="288"/>
      <c r="G16" s="288">
        <v>1</v>
      </c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5">
      <c r="A17" s="7" t="str">
        <f ca="1">IF(AUTOEVENTO="Manual",IF(OFFSET(EVENTOS!$F$14,CRONOPLE!$B17,0)&gt;0,"F",""),IF(CRONOPLE!B17&lt;=MAX(CÁLCULO!$M$15:$M$32),"F",""))</f>
        <v>F</v>
      </c>
      <c r="B17" s="286">
        <f t="shared" ca="1" si="1"/>
        <v>3</v>
      </c>
      <c r="C17" s="287" t="str">
        <f ca="1">IF(AUTOEVENTO="Manual",IF($B17&lt;&gt;1,OFFSET(EVENTOS!$D$14,$B17,0),0),IF(B17&lt;=MAX(CÁLCULO!$M$15:$M$32),VLOOKUP($B17,CÁLCULO!$M$15:$N$32,2,FALSE),0))</f>
        <v>EMBOÇO, FORRO, LOUÇAS E PORTAS</v>
      </c>
      <c r="E17" s="288"/>
      <c r="G17" s="288">
        <v>1</v>
      </c>
      <c r="H17" s="288">
        <v>2</v>
      </c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5">
      <c r="A18" s="7" t="str">
        <f ca="1">IF(AUTOEVENTO="Manual",IF(OFFSET(EVENTOS!$F$14,CRONOPLE!$B18,0)&gt;0,"F",""),IF(CRONOPLE!B18&lt;=MAX(CÁLCULO!$M$15:$M$32),"F",""))</f>
        <v>F</v>
      </c>
      <c r="B18" s="286">
        <f t="shared" ca="1" si="1"/>
        <v>4</v>
      </c>
      <c r="C18" s="287" t="str">
        <f ca="1">IF(AUTOEVENTO="Manual",IF($B18&lt;&gt;1,OFFSET(EVENTOS!$D$14,$B18,0),0),IF(B18&lt;=MAX(CÁLCULO!$M$15:$M$32),VLOOKUP($B18,CÁLCULO!$M$15:$N$32,2,FALSE),0))</f>
        <v>PINTURA</v>
      </c>
      <c r="E18" s="288"/>
      <c r="G18" s="288"/>
      <c r="H18" s="288">
        <v>2</v>
      </c>
      <c r="I18" s="288">
        <v>3</v>
      </c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x14ac:dyDescent="0.25">
      <c r="A19" s="7" t="str">
        <f ca="1">IF(AUTOEVENTO="Manual",IF(OFFSET(EVENTOS!$F$14,CRONOPLE!$B19,0)&gt;0,"F",""),IF(CRONOPLE!B19&lt;=MAX(CÁLCULO!$M$15:$M$32),"F",""))</f>
        <v/>
      </c>
      <c r="B19" s="286">
        <f t="shared" ca="1" si="1"/>
        <v>5</v>
      </c>
      <c r="C19" s="287">
        <f ca="1">IF(AUTOEVENTO="Manual",IF($B19&lt;&gt;1,OFFSET(EVENTOS!$D$14,$B19,0),0),IF(B19&lt;=MAX(CÁLCULO!$M$15:$M$32),VLOOKUP($B19,CÁLCULO!$M$15:$N$32,2,FALSE),0))</f>
        <v>0</v>
      </c>
      <c r="E19" s="288"/>
      <c r="G19" s="288"/>
      <c r="H19" s="288"/>
      <c r="I19" s="288"/>
      <c r="J19" s="288">
        <v>4</v>
      </c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x14ac:dyDescent="0.25">
      <c r="A20" s="7" t="str">
        <f ca="1">IF(AUTOEVENTO="Manual",IF(OFFSET(EVENTOS!$F$14,CRONOPLE!$B20,0)&gt;0,"F",""),IF(CRONOPLE!B20&lt;=MAX(CÁLCULO!$M$15:$M$32),"F",""))</f>
        <v/>
      </c>
      <c r="B20" s="286">
        <f t="shared" ca="1" si="1"/>
        <v>6</v>
      </c>
      <c r="C20" s="287">
        <f ca="1">IF(AUTOEVENTO="Manual",IF($B20&lt;&gt;1,OFFSET(EVENTOS!$D$14,$B20,0),0),IF(B20&lt;=MAX(CÁLCULO!$M$15:$M$32),VLOOKUP($B20,CÁLCULO!$M$15:$N$32,2,FALSE),0))</f>
        <v>0</v>
      </c>
      <c r="E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</row>
    <row r="21" spans="1:31" x14ac:dyDescent="0.25">
      <c r="A21" s="7" t="str">
        <f ca="1">IF(AUTOEVENTO="Manual",IF(OFFSET(EVENTOS!$F$14,CRONOPLE!$B21,0)&gt;0,"F",""),IF(CRONOPLE!B21&lt;=MAX(CÁLCULO!$M$15:$M$32),"F",""))</f>
        <v/>
      </c>
      <c r="B21" s="286">
        <f t="shared" ca="1" si="1"/>
        <v>7</v>
      </c>
      <c r="C21" s="287">
        <f ca="1">IF(AUTOEVENTO="Manual",IF($B21&lt;&gt;1,OFFSET(EVENTOS!$D$14,$B21,0),0),IF(B21&lt;=MAX(CÁLCULO!$M$15:$M$32),VLOOKUP($B21,CÁLCULO!$M$15:$N$32,2,FALSE),0))</f>
        <v>0</v>
      </c>
      <c r="E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</row>
    <row r="22" spans="1:31" x14ac:dyDescent="0.25">
      <c r="A22" s="7" t="str">
        <f ca="1">IF(AUTOEVENTO="Manual",IF(OFFSET(EVENTOS!$F$14,CRONOPLE!$B22,0)&gt;0,"F",""),IF(CRONOPLE!B22&lt;=MAX(CÁLCULO!$M$15:$M$32),"F",""))</f>
        <v/>
      </c>
      <c r="B22" s="286">
        <f t="shared" ca="1" si="1"/>
        <v>8</v>
      </c>
      <c r="C22" s="287">
        <f ca="1">IF(AUTOEVENTO="Manual",IF($B22&lt;&gt;1,OFFSET(EVENTOS!$D$14,$B22,0),0),IF(B22&lt;=MAX(CÁLCULO!$M$15:$M$32),VLOOKUP($B22,CÁLCULO!$M$15:$N$32,2,FALSE),0))</f>
        <v>0</v>
      </c>
      <c r="E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</row>
    <row r="23" spans="1:31" x14ac:dyDescent="0.25">
      <c r="A23" s="7" t="str">
        <f ca="1">IF(AUTOEVENTO="Manual",IF(OFFSET(EVENTOS!$F$14,CRONOPLE!$B23,0)&gt;0,"F",""),IF(CRONOPLE!B23&lt;=MAX(CÁLCULO!$M$15:$M$32),"F",""))</f>
        <v/>
      </c>
      <c r="B23" s="286">
        <f t="shared" ca="1" si="1"/>
        <v>9</v>
      </c>
      <c r="C23" s="287">
        <f ca="1">IF(AUTOEVENTO="Manual",IF($B23&lt;&gt;1,OFFSET(EVENTOS!$D$14,$B23,0),0),IF(B23&lt;=MAX(CÁLCULO!$M$15:$M$32),VLOOKUP($B23,CÁLCULO!$M$15:$N$32,2,FALSE),0))</f>
        <v>0</v>
      </c>
      <c r="E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</row>
    <row r="24" spans="1:31" x14ac:dyDescent="0.25">
      <c r="A24" s="7" t="str">
        <f ca="1">IF(AUTOEVENTO="Manual",IF(OFFSET(EVENTOS!$F$14,CRONOPLE!$B24,0)&gt;0,"F",""),IF(CRONOPLE!B24&lt;=MAX(CÁLCULO!$M$15:$M$32),"F",""))</f>
        <v/>
      </c>
      <c r="B24" s="286">
        <f t="shared" ca="1" si="1"/>
        <v>10</v>
      </c>
      <c r="C24" s="287">
        <f ca="1">IF(AUTOEVENTO="Manual",IF($B24&lt;&gt;1,OFFSET(EVENTOS!$D$14,$B24,0),0),IF(B24&lt;=MAX(CÁLCULO!$M$15:$M$32),VLOOKUP($B24,CÁLCULO!$M$15:$N$32,2,FALSE),0))</f>
        <v>0</v>
      </c>
      <c r="E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</row>
    <row r="25" spans="1:31" x14ac:dyDescent="0.25">
      <c r="A25" s="7" t="str">
        <f ca="1">IF(AUTOEVENTO="Manual",IF(OFFSET(EVENTOS!$F$14,CRONOPLE!$B25,0)&gt;0,"F",""),IF(CRONOPLE!B25&lt;=MAX(CÁLCULO!$M$15:$M$32),"F",""))</f>
        <v/>
      </c>
      <c r="B25" s="286">
        <f t="shared" ca="1" si="1"/>
        <v>11</v>
      </c>
      <c r="C25" s="287">
        <f ca="1">IF(AUTOEVENTO="Manual",IF($B25&lt;&gt;1,OFFSET(EVENTOS!$D$14,$B25,0),0),IF(B25&lt;=MAX(CÁLCULO!$M$15:$M$32),VLOOKUP($B25,CÁLCULO!$M$15:$N$32,2,FALSE),0))</f>
        <v>0</v>
      </c>
      <c r="E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288"/>
      <c r="AB25" s="288"/>
      <c r="AC25" s="288"/>
      <c r="AD25" s="288"/>
      <c r="AE25" s="288"/>
    </row>
    <row r="26" spans="1:31" x14ac:dyDescent="0.25">
      <c r="A26" s="7" t="str">
        <f ca="1">IF(AUTOEVENTO="Manual",IF(OFFSET(EVENTOS!$F$14,CRONOPLE!$B26,0)&gt;0,"F",""),IF(CRONOPLE!B26&lt;=MAX(CÁLCULO!$M$15:$M$32),"F",""))</f>
        <v/>
      </c>
      <c r="B26" s="286">
        <f t="shared" ca="1" si="1"/>
        <v>12</v>
      </c>
      <c r="C26" s="287">
        <f ca="1">IF(AUTOEVENTO="Manual",IF($B26&lt;&gt;1,OFFSET(EVENTOS!$D$14,$B26,0),0),IF(B26&lt;=MAX(CÁLCULO!$M$15:$M$32),VLOOKUP($B26,CÁLCULO!$M$15:$N$32,2,FALSE),0))</f>
        <v>0</v>
      </c>
      <c r="E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</row>
    <row r="27" spans="1:31" x14ac:dyDescent="0.25">
      <c r="A27" s="7" t="str">
        <f ca="1">IF(AUTOEVENTO="Manual",IF(OFFSET(EVENTOS!$F$14,CRONOPLE!$B27,0)&gt;0,"F",""),IF(CRONOPLE!B27&lt;=MAX(CÁLCULO!$M$15:$M$32),"F",""))</f>
        <v/>
      </c>
      <c r="B27" s="286">
        <f t="shared" ca="1" si="1"/>
        <v>13</v>
      </c>
      <c r="C27" s="287">
        <f ca="1">IF(AUTOEVENTO="Manual",IF($B27&lt;&gt;1,OFFSET(EVENTOS!$D$14,$B27,0),0),IF(B27&lt;=MAX(CÁLCULO!$M$15:$M$32),VLOOKUP($B27,CÁLCULO!$M$15:$N$32,2,FALSE),0))</f>
        <v>0</v>
      </c>
      <c r="E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</row>
    <row r="28" spans="1:31" x14ac:dyDescent="0.25">
      <c r="A28" s="7" t="str">
        <f ca="1">IF(AUTOEVENTO="Manual",IF(OFFSET(EVENTOS!$F$14,CRONOPLE!$B28,0)&gt;0,"F",""),IF(CRONOPLE!B28&lt;=MAX(CÁLCULO!$M$15:$M$32),"F",""))</f>
        <v/>
      </c>
      <c r="B28" s="286">
        <f t="shared" ca="1" si="1"/>
        <v>14</v>
      </c>
      <c r="C28" s="287">
        <f ca="1">IF(AUTOEVENTO="Manual",IF($B28&lt;&gt;1,OFFSET(EVENTOS!$D$14,$B28,0),0),IF(B28&lt;=MAX(CÁLCULO!$M$15:$M$32),VLOOKUP($B28,CÁLCULO!$M$15:$N$32,2,FALSE),0))</f>
        <v>0</v>
      </c>
      <c r="E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</row>
    <row r="29" spans="1:31" x14ac:dyDescent="0.25">
      <c r="A29" s="7" t="str">
        <f ca="1">IF(AUTOEVENTO="Manual",IF(OFFSET(EVENTOS!$F$14,CRONOPLE!$B29,0)&gt;0,"F",""),IF(CRONOPLE!B29&lt;=MAX(CÁLCULO!$M$15:$M$32),"F",""))</f>
        <v/>
      </c>
      <c r="B29" s="286">
        <f t="shared" ca="1" si="1"/>
        <v>15</v>
      </c>
      <c r="C29" s="287">
        <f ca="1">IF(AUTOEVENTO="Manual",IF($B29&lt;&gt;1,OFFSET(EVENTOS!$D$14,$B29,0),0),IF(B29&lt;=MAX(CÁLCULO!$M$15:$M$32),VLOOKUP($B29,CÁLCULO!$M$15:$N$32,2,FALSE),0))</f>
        <v>0</v>
      </c>
      <c r="E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</row>
    <row r="30" spans="1:31" x14ac:dyDescent="0.25">
      <c r="A30" s="7" t="str">
        <f ca="1">IF(AUTOEVENTO="Manual",IF(OFFSET(EVENTOS!$F$14,CRONOPLE!$B30,0)&gt;0,"F",""),IF(CRONOPLE!B30&lt;=MAX(CÁLCULO!$M$15:$M$32),"F",""))</f>
        <v/>
      </c>
      <c r="B30" s="286">
        <f t="shared" ca="1" si="1"/>
        <v>16</v>
      </c>
      <c r="C30" s="287">
        <f ca="1">IF(AUTOEVENTO="Manual",IF($B30&lt;&gt;1,OFFSET(EVENTOS!$D$14,$B30,0),0),IF(B30&lt;=MAX(CÁLCULO!$M$15:$M$32),VLOOKUP($B30,CÁLCULO!$M$15:$N$32,2,FALSE),0))</f>
        <v>0</v>
      </c>
      <c r="E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</row>
    <row r="31" spans="1:31" x14ac:dyDescent="0.25">
      <c r="A31" s="7" t="str">
        <f ca="1">IF(AUTOEVENTO="Manual",IF(OFFSET(EVENTOS!$F$14,CRONOPLE!$B31,0)&gt;0,"F",""),IF(CRONOPLE!B31&lt;=MAX(CÁLCULO!$M$15:$M$32),"F",""))</f>
        <v/>
      </c>
      <c r="B31" s="286">
        <f t="shared" ca="1" si="1"/>
        <v>17</v>
      </c>
      <c r="C31" s="287">
        <f ca="1">IF(AUTOEVENTO="Manual",IF($B31&lt;&gt;1,OFFSET(EVENTOS!$D$14,$B31,0),0),IF(B31&lt;=MAX(CÁLCULO!$M$15:$M$32),VLOOKUP($B31,CÁLCULO!$M$15:$N$32,2,FALSE),0))</f>
        <v>0</v>
      </c>
      <c r="E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</row>
    <row r="32" spans="1:31" x14ac:dyDescent="0.25">
      <c r="A32" s="7" t="str">
        <f ca="1">IF(AUTOEVENTO="Manual",IF(OFFSET(EVENTOS!$F$14,CRONOPLE!$B32,0)&gt;0,"F",""),IF(CRONOPLE!B32&lt;=MAX(CÁLCULO!$M$15:$M$32),"F",""))</f>
        <v/>
      </c>
      <c r="B32" s="286">
        <f t="shared" ca="1" si="1"/>
        <v>18</v>
      </c>
      <c r="C32" s="287">
        <f ca="1">IF(AUTOEVENTO="Manual",IF($B32&lt;&gt;1,OFFSET(EVENTOS!$D$14,$B32,0),0),IF(B32&lt;=MAX(CÁLCULO!$M$15:$M$32),VLOOKUP($B32,CÁLCULO!$M$15:$N$32,2,FALSE),0))</f>
        <v>0</v>
      </c>
      <c r="E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</row>
    <row r="33" spans="1:31" x14ac:dyDescent="0.25">
      <c r="A33" s="7" t="str">
        <f ca="1">IF(AUTOEVENTO="Manual",IF(OFFSET(EVENTOS!$F$14,CRONOPLE!$B33,0)&gt;0,"F",""),IF(CRONOPLE!B33&lt;=MAX(CÁLCULO!$M$15:$M$32),"F",""))</f>
        <v/>
      </c>
      <c r="B33" s="286">
        <f t="shared" ca="1" si="1"/>
        <v>19</v>
      </c>
      <c r="C33" s="287">
        <f ca="1">IF(AUTOEVENTO="Manual",IF($B33&lt;&gt;1,OFFSET(EVENTOS!$D$14,$B33,0),0),IF(B33&lt;=MAX(CÁLCULO!$M$15:$M$32),VLOOKUP($B33,CÁLCULO!$M$15:$N$32,2,FALSE),0))</f>
        <v>0</v>
      </c>
      <c r="E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</row>
    <row r="34" spans="1:31" x14ac:dyDescent="0.25">
      <c r="A34" s="7" t="str">
        <f ca="1">IF(AUTOEVENTO="Manual",IF(OFFSET(EVENTOS!$F$14,CRONOPLE!$B34,0)&gt;0,"F",""),IF(CRONOPLE!B34&lt;=MAX(CÁLCULO!$M$15:$M$32),"F",""))</f>
        <v/>
      </c>
      <c r="B34" s="286">
        <f t="shared" ca="1" si="1"/>
        <v>20</v>
      </c>
      <c r="C34" s="287">
        <f ca="1">IF(AUTOEVENTO="Manual",IF($B34&lt;&gt;1,OFFSET(EVENTOS!$D$14,$B34,0),0),IF(B34&lt;=MAX(CÁLCULO!$M$15:$M$32),VLOOKUP($B34,CÁLCULO!$M$15:$N$32,2,FALSE),0))</f>
        <v>0</v>
      </c>
      <c r="E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</row>
    <row r="35" spans="1:31" x14ac:dyDescent="0.25">
      <c r="A35" s="7" t="str">
        <f ca="1">IF(AUTOEVENTO="Manual",IF(OFFSET(EVENTOS!$F$14,CRONOPLE!$B35,0)&gt;0,"F",""),IF(CRONOPLE!B35&lt;=MAX(CÁLCULO!$M$15:$M$32),"F",""))</f>
        <v/>
      </c>
      <c r="B35" s="286">
        <f t="shared" ca="1" si="1"/>
        <v>21</v>
      </c>
      <c r="C35" s="287">
        <f ca="1">IF(AUTOEVENTO="Manual",IF($B35&lt;&gt;1,OFFSET(EVENTOS!$D$14,$B35,0),0),IF(B35&lt;=MAX(CÁLCULO!$M$15:$M$32),VLOOKUP($B35,CÁLCULO!$M$15:$N$32,2,FALSE),0))</f>
        <v>0</v>
      </c>
      <c r="E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</row>
    <row r="36" spans="1:31" x14ac:dyDescent="0.25">
      <c r="A36" s="7" t="str">
        <f ca="1">IF(AUTOEVENTO="Manual",IF(OFFSET(EVENTOS!$F$14,CRONOPLE!$B36,0)&gt;0,"F",""),IF(CRONOPLE!B36&lt;=MAX(CÁLCULO!$M$15:$M$32),"F",""))</f>
        <v/>
      </c>
      <c r="B36" s="286">
        <f t="shared" ca="1" si="1"/>
        <v>22</v>
      </c>
      <c r="C36" s="287">
        <f ca="1">IF(AUTOEVENTO="Manual",IF($B36&lt;&gt;1,OFFSET(EVENTOS!$D$14,$B36,0),0),IF(B36&lt;=MAX(CÁLCULO!$M$15:$M$32),VLOOKUP($B36,CÁLCULO!$M$15:$N$32,2,FALSE),0))</f>
        <v>0</v>
      </c>
      <c r="E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</row>
    <row r="37" spans="1:31" x14ac:dyDescent="0.25">
      <c r="A37" s="7" t="str">
        <f ca="1">IF(AUTOEVENTO="Manual",IF(OFFSET(EVENTOS!$F$14,CRONOPLE!$B37,0)&gt;0,"F",""),IF(CRONOPLE!B37&lt;=MAX(CÁLCULO!$M$15:$M$32),"F",""))</f>
        <v/>
      </c>
      <c r="B37" s="286">
        <f t="shared" ca="1" si="1"/>
        <v>23</v>
      </c>
      <c r="C37" s="287">
        <f ca="1">IF(AUTOEVENTO="Manual",IF($B37&lt;&gt;1,OFFSET(EVENTOS!$D$14,$B37,0),0),IF(B37&lt;=MAX(CÁLCULO!$M$15:$M$32),VLOOKUP($B37,CÁLCULO!$M$15:$N$32,2,FALSE),0))</f>
        <v>0</v>
      </c>
      <c r="E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</row>
    <row r="38" spans="1:31" x14ac:dyDescent="0.25">
      <c r="A38" s="7" t="str">
        <f ca="1">IF(AUTOEVENTO="Manual",IF(OFFSET(EVENTOS!$F$14,CRONOPLE!$B38,0)&gt;0,"F",""),IF(CRONOPLE!B38&lt;=MAX(CÁLCULO!$M$15:$M$32),"F",""))</f>
        <v/>
      </c>
      <c r="B38" s="286">
        <f t="shared" ca="1" si="1"/>
        <v>24</v>
      </c>
      <c r="C38" s="287">
        <f ca="1">IF(AUTOEVENTO="Manual",IF($B38&lt;&gt;1,OFFSET(EVENTOS!$D$14,$B38,0),0),IF(B38&lt;=MAX(CÁLCULO!$M$15:$M$32),VLOOKUP($B38,CÁLCULO!$M$15:$N$32,2,FALSE),0))</f>
        <v>0</v>
      </c>
      <c r="E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</row>
    <row r="39" spans="1:31" x14ac:dyDescent="0.25">
      <c r="A39" s="7" t="str">
        <f ca="1">IF(AUTOEVENTO="Manual",IF(OFFSET(EVENTOS!$F$14,CRONOPLE!$B39,0)&gt;0,"F",""),IF(CRONOPLE!B39&lt;=MAX(CÁLCULO!$M$15:$M$32),"F",""))</f>
        <v/>
      </c>
      <c r="B39" s="286">
        <f t="shared" ca="1" si="1"/>
        <v>25</v>
      </c>
      <c r="C39" s="287">
        <f ca="1">IF(AUTOEVENTO="Manual",IF($B39&lt;&gt;1,OFFSET(EVENTOS!$D$14,$B39,0),0),IF(B39&lt;=MAX(CÁLCULO!$M$15:$M$32),VLOOKUP($B39,CÁLCULO!$M$15:$N$32,2,FALSE),0))</f>
        <v>0</v>
      </c>
      <c r="E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</row>
    <row r="40" spans="1:31" x14ac:dyDescent="0.25">
      <c r="A40" s="7" t="str">
        <f ca="1">IF(AUTOEVENTO="Manual",IF(OFFSET(EVENTOS!$F$14,CRONOPLE!$B40,0)&gt;0,"F",""),IF(CRONOPLE!B40&lt;=MAX(CÁLCULO!$M$15:$M$32),"F",""))</f>
        <v/>
      </c>
      <c r="B40" s="286">
        <f t="shared" ca="1" si="1"/>
        <v>26</v>
      </c>
      <c r="C40" s="287">
        <f ca="1">IF(AUTOEVENTO="Manual",IF($B40&lt;&gt;1,OFFSET(EVENTOS!$D$14,$B40,0),0),IF(B40&lt;=MAX(CÁLCULO!$M$15:$M$32),VLOOKUP($B40,CÁLCULO!$M$15:$N$32,2,FALSE),0))</f>
        <v>0</v>
      </c>
      <c r="E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</row>
    <row r="41" spans="1:31" x14ac:dyDescent="0.25">
      <c r="A41" s="7" t="str">
        <f ca="1">IF(AUTOEVENTO="Manual",IF(OFFSET(EVENTOS!$F$14,CRONOPLE!$B41,0)&gt;0,"F",""),IF(CRONOPLE!B41&lt;=MAX(CÁLCULO!$M$15:$M$32),"F",""))</f>
        <v/>
      </c>
      <c r="B41" s="286">
        <f t="shared" ca="1" si="1"/>
        <v>27</v>
      </c>
      <c r="C41" s="287">
        <f ca="1">IF(AUTOEVENTO="Manual",IF($B41&lt;&gt;1,OFFSET(EVENTOS!$D$14,$B41,0),0),IF(B41&lt;=MAX(CÁLCULO!$M$15:$M$32),VLOOKUP($B41,CÁLCULO!$M$15:$N$32,2,FALSE),0))</f>
        <v>0</v>
      </c>
      <c r="E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</row>
    <row r="42" spans="1:31" x14ac:dyDescent="0.25">
      <c r="A42" s="7" t="str">
        <f ca="1">IF(AUTOEVENTO="Manual",IF(OFFSET(EVENTOS!$F$14,CRONOPLE!$B42,0)&gt;0,"F",""),IF(CRONOPLE!B42&lt;=MAX(CÁLCULO!$M$15:$M$32),"F",""))</f>
        <v/>
      </c>
      <c r="B42" s="286">
        <f t="shared" ca="1" si="1"/>
        <v>28</v>
      </c>
      <c r="C42" s="287">
        <f ca="1">IF(AUTOEVENTO="Manual",IF($B42&lt;&gt;1,OFFSET(EVENTOS!$D$14,$B42,0),0),IF(B42&lt;=MAX(CÁLCULO!$M$15:$M$32),VLOOKUP($B42,CÁLCULO!$M$15:$N$32,2,FALSE),0))</f>
        <v>0</v>
      </c>
      <c r="E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</row>
    <row r="43" spans="1:31" x14ac:dyDescent="0.25">
      <c r="A43" s="7" t="str">
        <f ca="1">IF(AUTOEVENTO="Manual",IF(OFFSET(EVENTOS!$F$14,CRONOPLE!$B43,0)&gt;0,"F",""),IF(CRONOPLE!B43&lt;=MAX(CÁLCULO!$M$15:$M$32),"F",""))</f>
        <v/>
      </c>
      <c r="B43" s="286">
        <f t="shared" ca="1" si="1"/>
        <v>29</v>
      </c>
      <c r="C43" s="287">
        <f ca="1">IF(AUTOEVENTO="Manual",IF($B43&lt;&gt;1,OFFSET(EVENTOS!$D$14,$B43,0),0),IF(B43&lt;=MAX(CÁLCULO!$M$15:$M$32),VLOOKUP($B43,CÁLCULO!$M$15:$N$32,2,FALSE),0))</f>
        <v>0</v>
      </c>
      <c r="E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</row>
    <row r="44" spans="1:31" x14ac:dyDescent="0.25">
      <c r="A44" s="7" t="str">
        <f ca="1">IF(AUTOEVENTO="Manual",IF(OFFSET(EVENTOS!$F$14,CRONOPLE!$B44,0)&gt;0,"F",""),IF(CRONOPLE!B44&lt;=MAX(CÁLCULO!$M$15:$M$32),"F",""))</f>
        <v/>
      </c>
      <c r="B44" s="286">
        <f t="shared" ca="1" si="1"/>
        <v>30</v>
      </c>
      <c r="C44" s="287">
        <f ca="1">IF(AUTOEVENTO="Manual",IF($B44&lt;&gt;1,OFFSET(EVENTOS!$D$14,$B44,0),0),IF(B44&lt;=MAX(CÁLCULO!$M$15:$M$32),VLOOKUP($B44,CÁLCULO!$M$15:$N$32,2,FALSE),0))</f>
        <v>0</v>
      </c>
      <c r="E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</row>
    <row r="45" spans="1:31" x14ac:dyDescent="0.25">
      <c r="A45" s="7" t="str">
        <f ca="1">IF(AUTOEVENTO="Manual",IF(OFFSET(EVENTOS!$F$14,CRONOPLE!$B45,0)&gt;0,"F",""),IF(CRONOPLE!B45&lt;=MAX(CÁLCULO!$M$15:$M$32),"F",""))</f>
        <v/>
      </c>
      <c r="B45" s="286">
        <f t="shared" ca="1" si="1"/>
        <v>31</v>
      </c>
      <c r="C45" s="287">
        <f ca="1">IF(AUTOEVENTO="Manual",IF($B45&lt;&gt;1,OFFSET(EVENTOS!$D$14,$B45,0),0),IF(B45&lt;=MAX(CÁLCULO!$M$15:$M$32),VLOOKUP($B45,CÁLCULO!$M$15:$N$32,2,FALSE),0))</f>
        <v>0</v>
      </c>
      <c r="E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</row>
    <row r="46" spans="1:31" x14ac:dyDescent="0.25">
      <c r="A46" s="7" t="str">
        <f ca="1">IF(AUTOEVENTO="Manual",IF(OFFSET(EVENTOS!$F$14,CRONOPLE!$B46,0)&gt;0,"F",""),IF(CRONOPLE!B46&lt;=MAX(CÁLCULO!$M$15:$M$32),"F",""))</f>
        <v/>
      </c>
      <c r="B46" s="286">
        <f t="shared" ca="1" si="1"/>
        <v>32</v>
      </c>
      <c r="C46" s="287">
        <f ca="1">IF(AUTOEVENTO="Manual",IF($B46&lt;&gt;1,OFFSET(EVENTOS!$D$14,$B46,0),0),IF(B46&lt;=MAX(CÁLCULO!$M$15:$M$32),VLOOKUP($B46,CÁLCULO!$M$15:$N$32,2,FALSE),0))</f>
        <v>0</v>
      </c>
      <c r="E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</row>
    <row r="47" spans="1:31" x14ac:dyDescent="0.25">
      <c r="A47" s="7" t="str">
        <f ca="1">IF(AUTOEVENTO="Manual",IF(OFFSET(EVENTOS!$F$14,CRONOPLE!$B47,0)&gt;0,"F",""),IF(CRONOPLE!B47&lt;=MAX(CÁLCULO!$M$15:$M$32),"F",""))</f>
        <v/>
      </c>
      <c r="B47" s="286">
        <f t="shared" ca="1" si="1"/>
        <v>33</v>
      </c>
      <c r="C47" s="287">
        <f ca="1">IF(AUTOEVENTO="Manual",IF($B47&lt;&gt;1,OFFSET(EVENTOS!$D$14,$B47,0),0),IF(B47&lt;=MAX(CÁLCULO!$M$15:$M$32),VLOOKUP($B47,CÁLCULO!$M$15:$N$32,2,FALSE),0))</f>
        <v>0</v>
      </c>
      <c r="E47" s="288"/>
      <c r="G47" s="288"/>
      <c r="H47" s="288"/>
      <c r="I47" s="288"/>
      <c r="J47" s="288"/>
      <c r="K47" s="288"/>
      <c r="L47" s="288"/>
      <c r="M47" s="288"/>
      <c r="N47" s="288"/>
      <c r="O47" s="288"/>
      <c r="P47" s="288"/>
      <c r="Q47" s="288"/>
      <c r="R47" s="288"/>
      <c r="S47" s="288"/>
      <c r="T47" s="288"/>
      <c r="U47" s="288"/>
      <c r="V47" s="288"/>
      <c r="W47" s="288"/>
      <c r="X47" s="288"/>
      <c r="Y47" s="288"/>
      <c r="Z47" s="288"/>
      <c r="AA47" s="288"/>
      <c r="AB47" s="288"/>
      <c r="AC47" s="288"/>
      <c r="AD47" s="288"/>
      <c r="AE47" s="288"/>
    </row>
    <row r="48" spans="1:31" x14ac:dyDescent="0.25">
      <c r="A48" s="7" t="str">
        <f ca="1">IF(AUTOEVENTO="Manual",IF(OFFSET(EVENTOS!$F$14,CRONOPLE!$B48,0)&gt;0,"F",""),IF(CRONOPLE!B48&lt;=MAX(CÁLCULO!$M$15:$M$32),"F",""))</f>
        <v/>
      </c>
      <c r="B48" s="286">
        <f t="shared" ca="1" si="1"/>
        <v>34</v>
      </c>
      <c r="C48" s="287">
        <f ca="1">IF(AUTOEVENTO="Manual",IF($B48&lt;&gt;1,OFFSET(EVENTOS!$D$14,$B48,0),0),IF(B48&lt;=MAX(CÁLCULO!$M$15:$M$32),VLOOKUP($B48,CÁLCULO!$M$15:$N$32,2,FALSE),0))</f>
        <v>0</v>
      </c>
      <c r="E48" s="288"/>
      <c r="G48" s="288"/>
      <c r="H48" s="288"/>
      <c r="I48" s="288"/>
      <c r="J48" s="288"/>
      <c r="K48" s="288"/>
      <c r="L48" s="288"/>
      <c r="M48" s="288"/>
      <c r="N48" s="288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</row>
    <row r="49" spans="1:31" x14ac:dyDescent="0.25">
      <c r="A49" s="7" t="str">
        <f ca="1">IF(AUTOEVENTO="Manual",IF(OFFSET(EVENTOS!$F$14,CRONOPLE!$B49,0)&gt;0,"F",""),IF(CRONOPLE!B49&lt;=MAX(CÁLCULO!$M$15:$M$32),"F",""))</f>
        <v/>
      </c>
      <c r="B49" s="286">
        <f t="shared" ca="1" si="1"/>
        <v>35</v>
      </c>
      <c r="C49" s="287">
        <f ca="1">IF(AUTOEVENTO="Manual",IF($B49&lt;&gt;1,OFFSET(EVENTOS!$D$14,$B49,0),0),IF(B49&lt;=MAX(CÁLCULO!$M$15:$M$32),VLOOKUP($B49,CÁLCULO!$M$15:$N$32,2,FALSE),0))</f>
        <v>0</v>
      </c>
      <c r="E49" s="288"/>
      <c r="G49" s="288"/>
      <c r="H49" s="288"/>
      <c r="I49" s="288"/>
      <c r="J49" s="288"/>
      <c r="K49" s="288"/>
      <c r="L49" s="288"/>
      <c r="M49" s="288"/>
      <c r="N49" s="288"/>
      <c r="O49" s="288"/>
      <c r="P49" s="288"/>
      <c r="Q49" s="288"/>
      <c r="R49" s="288"/>
      <c r="S49" s="288"/>
      <c r="T49" s="288"/>
      <c r="U49" s="288"/>
      <c r="V49" s="288"/>
      <c r="W49" s="288"/>
      <c r="X49" s="288"/>
      <c r="Y49" s="288"/>
      <c r="Z49" s="288"/>
      <c r="AA49" s="288"/>
      <c r="AB49" s="288"/>
      <c r="AC49" s="288"/>
      <c r="AD49" s="288"/>
      <c r="AE49" s="288"/>
    </row>
    <row r="50" spans="1:31" x14ac:dyDescent="0.25">
      <c r="A50" s="7" t="str">
        <f ca="1">IF(AUTOEVENTO="Manual",IF(OFFSET(EVENTOS!$F$14,CRONOPLE!$B50,0)&gt;0,"F",""),IF(CRONOPLE!B50&lt;=MAX(CÁLCULO!$M$15:$M$32),"F",""))</f>
        <v/>
      </c>
      <c r="B50" s="286">
        <f t="shared" ca="1" si="1"/>
        <v>36</v>
      </c>
      <c r="C50" s="287">
        <f ca="1">IF(AUTOEVENTO="Manual",IF($B50&lt;&gt;1,OFFSET(EVENTOS!$D$14,$B50,0),0),IF(B50&lt;=MAX(CÁLCULO!$M$15:$M$32),VLOOKUP($B50,CÁLCULO!$M$15:$N$32,2,FALSE),0))</f>
        <v>0</v>
      </c>
      <c r="E50" s="288"/>
      <c r="G50" s="288"/>
      <c r="H50" s="288"/>
      <c r="I50" s="288"/>
      <c r="J50" s="288"/>
      <c r="K50" s="288"/>
      <c r="L50" s="288"/>
      <c r="M50" s="288"/>
      <c r="N50" s="288"/>
      <c r="O50" s="288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</row>
    <row r="51" spans="1:31" x14ac:dyDescent="0.25">
      <c r="A51" s="7" t="str">
        <f ca="1">IF(AUTOEVENTO="Manual",IF(OFFSET(EVENTOS!$F$14,CRONOPLE!$B51,0)&gt;0,"F",""),IF(CRONOPLE!B51&lt;=MAX(CÁLCULO!$M$15:$M$32),"F",""))</f>
        <v/>
      </c>
      <c r="B51" s="286">
        <f t="shared" ca="1" si="1"/>
        <v>37</v>
      </c>
      <c r="C51" s="287">
        <f ca="1">IF(AUTOEVENTO="Manual",IF($B51&lt;&gt;1,OFFSET(EVENTOS!$D$14,$B51,0),0),IF(B51&lt;=MAX(CÁLCULO!$M$15:$M$32),VLOOKUP($B51,CÁLCULO!$M$15:$N$32,2,FALSE),0))</f>
        <v>0</v>
      </c>
      <c r="E51" s="288"/>
      <c r="G51" s="288"/>
      <c r="H51" s="288"/>
      <c r="I51" s="288"/>
      <c r="J51" s="288"/>
      <c r="K51" s="288"/>
      <c r="L51" s="288"/>
      <c r="M51" s="288"/>
      <c r="N51" s="288"/>
      <c r="O51" s="288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288"/>
      <c r="AB51" s="288"/>
      <c r="AC51" s="288"/>
      <c r="AD51" s="288"/>
      <c r="AE51" s="288"/>
    </row>
    <row r="52" spans="1:31" x14ac:dyDescent="0.25">
      <c r="A52" s="7" t="str">
        <f ca="1">IF(AUTOEVENTO="Manual",IF(OFFSET(EVENTOS!$F$14,CRONOPLE!$B52,0)&gt;0,"F",""),IF(CRONOPLE!B52&lt;=MAX(CÁLCULO!$M$15:$M$32),"F",""))</f>
        <v/>
      </c>
      <c r="B52" s="286">
        <f t="shared" ca="1" si="1"/>
        <v>38</v>
      </c>
      <c r="C52" s="287">
        <f ca="1">IF(AUTOEVENTO="Manual",IF($B52&lt;&gt;1,OFFSET(EVENTOS!$D$14,$B52,0),0),IF(B52&lt;=MAX(CÁLCULO!$M$15:$M$32),VLOOKUP($B52,CÁLCULO!$M$15:$N$32,2,FALSE),0))</f>
        <v>0</v>
      </c>
      <c r="E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</row>
    <row r="53" spans="1:31" x14ac:dyDescent="0.25">
      <c r="A53" s="7" t="str">
        <f ca="1">IF(AUTOEVENTO="Manual",IF(OFFSET(EVENTOS!$F$14,CRONOPLE!$B53,0)&gt;0,"F",""),IF(CRONOPLE!B53&lt;=MAX(CÁLCULO!$M$15:$M$32),"F",""))</f>
        <v/>
      </c>
      <c r="B53" s="286">
        <f t="shared" ca="1" si="1"/>
        <v>39</v>
      </c>
      <c r="C53" s="287">
        <f ca="1">IF(AUTOEVENTO="Manual",IF($B53&lt;&gt;1,OFFSET(EVENTOS!$D$14,$B53,0),0),IF(B53&lt;=MAX(CÁLCULO!$M$15:$M$32),VLOOKUP($B53,CÁLCULO!$M$15:$N$32,2,FALSE),0))</f>
        <v>0</v>
      </c>
      <c r="E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/>
      <c r="AB53" s="288"/>
      <c r="AC53" s="288"/>
      <c r="AD53" s="288"/>
      <c r="AE53" s="288"/>
    </row>
    <row r="54" spans="1:31" x14ac:dyDescent="0.25">
      <c r="A54" s="7" t="str">
        <f ca="1">IF(AUTOEVENTO="Manual",IF(OFFSET(EVENTOS!$F$14,CRONOPLE!$B54,0)&gt;0,"F",""),IF(CRONOPLE!B54&lt;=MAX(CÁLCULO!$M$15:$M$32),"F",""))</f>
        <v/>
      </c>
      <c r="B54" s="286">
        <f t="shared" ca="1" si="1"/>
        <v>40</v>
      </c>
      <c r="C54" s="287">
        <f ca="1">IF(AUTOEVENTO="Manual",IF($B54&lt;&gt;1,OFFSET(EVENTOS!$D$14,$B54,0),0),IF(B54&lt;=MAX(CÁLCULO!$M$15:$M$32),VLOOKUP($B54,CÁLCULO!$M$15:$N$32,2,FALSE),0))</f>
        <v>0</v>
      </c>
      <c r="E54" s="288"/>
      <c r="G54" s="288"/>
      <c r="H54" s="288"/>
      <c r="I54" s="288"/>
      <c r="J54" s="288"/>
      <c r="K54" s="288"/>
      <c r="L54" s="288"/>
      <c r="M54" s="288"/>
      <c r="N54" s="288"/>
      <c r="O54" s="288"/>
      <c r="P54" s="288"/>
      <c r="Q54" s="288"/>
      <c r="R54" s="288"/>
      <c r="S54" s="288"/>
      <c r="T54" s="288"/>
      <c r="U54" s="288"/>
      <c r="V54" s="288"/>
      <c r="W54" s="288"/>
      <c r="X54" s="288"/>
      <c r="Y54" s="288"/>
      <c r="Z54" s="288"/>
      <c r="AA54" s="288"/>
      <c r="AB54" s="288"/>
      <c r="AC54" s="288"/>
      <c r="AD54" s="288"/>
      <c r="AE54" s="288"/>
    </row>
    <row r="55" spans="1:31" x14ac:dyDescent="0.25">
      <c r="A55" s="7" t="str">
        <f ca="1">IF(AUTOEVENTO="Manual",IF(OFFSET(EVENTOS!$F$14,CRONOPLE!$B55,0)&gt;0,"F",""),IF(CRONOPLE!B55&lt;=MAX(CÁLCULO!$M$15:$M$32),"F",""))</f>
        <v/>
      </c>
      <c r="B55" s="286">
        <f t="shared" ca="1" si="1"/>
        <v>41</v>
      </c>
      <c r="C55" s="287">
        <f ca="1">IF(AUTOEVENTO="Manual",IF($B55&lt;&gt;1,OFFSET(EVENTOS!$D$14,$B55,0),0),IF(B55&lt;=MAX(CÁLCULO!$M$15:$M$32),VLOOKUP($B55,CÁLCULO!$M$15:$N$32,2,FALSE),0))</f>
        <v>0</v>
      </c>
      <c r="E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</row>
    <row r="56" spans="1:31" x14ac:dyDescent="0.25">
      <c r="A56" s="7" t="str">
        <f ca="1">IF(AUTOEVENTO="Manual",IF(OFFSET(EVENTOS!$F$14,CRONOPLE!$B56,0)&gt;0,"F",""),IF(CRONOPLE!B56&lt;=MAX(CÁLCULO!$M$15:$M$32),"F",""))</f>
        <v/>
      </c>
      <c r="B56" s="286">
        <f t="shared" ca="1" si="1"/>
        <v>42</v>
      </c>
      <c r="C56" s="287">
        <f ca="1">IF(AUTOEVENTO="Manual",IF($B56&lt;&gt;1,OFFSET(EVENTOS!$D$14,$B56,0),0),IF(B56&lt;=MAX(CÁLCULO!$M$15:$M$32),VLOOKUP($B56,CÁLCULO!$M$15:$N$32,2,FALSE),0))</f>
        <v>0</v>
      </c>
      <c r="E56" s="288"/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</row>
    <row r="57" spans="1:31" x14ac:dyDescent="0.25">
      <c r="A57" s="7" t="str">
        <f ca="1">IF(AUTOEVENTO="Manual",IF(OFFSET(EVENTOS!$F$14,CRONOPLE!$B57,0)&gt;0,"F",""),IF(CRONOPLE!B57&lt;=MAX(CÁLCULO!$M$15:$M$32),"F",""))</f>
        <v/>
      </c>
      <c r="B57" s="286">
        <f t="shared" ca="1" si="1"/>
        <v>43</v>
      </c>
      <c r="C57" s="287">
        <f ca="1">IF(AUTOEVENTO="Manual",IF($B57&lt;&gt;1,OFFSET(EVENTOS!$D$14,$B57,0),0),IF(B57&lt;=MAX(CÁLCULO!$M$15:$M$32),VLOOKUP($B57,CÁLCULO!$M$15:$N$32,2,FALSE),0))</f>
        <v>0</v>
      </c>
      <c r="E57" s="288"/>
      <c r="G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288"/>
      <c r="AB57" s="288"/>
      <c r="AC57" s="288"/>
      <c r="AD57" s="288"/>
      <c r="AE57" s="288"/>
    </row>
    <row r="58" spans="1:31" x14ac:dyDescent="0.25">
      <c r="A58" s="7" t="str">
        <f ca="1">IF(AUTOEVENTO="Manual",IF(OFFSET(EVENTOS!$F$14,CRONOPLE!$B58,0)&gt;0,"F",""),IF(CRONOPLE!B58&lt;=MAX(CÁLCULO!$M$15:$M$32),"F",""))</f>
        <v/>
      </c>
      <c r="B58" s="286">
        <f t="shared" ca="1" si="1"/>
        <v>44</v>
      </c>
      <c r="C58" s="287">
        <f ca="1">IF(AUTOEVENTO="Manual",IF($B58&lt;&gt;1,OFFSET(EVENTOS!$D$14,$B58,0),0),IF(B58&lt;=MAX(CÁLCULO!$M$15:$M$32),VLOOKUP($B58,CÁLCULO!$M$15:$N$32,2,FALSE),0))</f>
        <v>0</v>
      </c>
      <c r="E58" s="288"/>
      <c r="G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88"/>
      <c r="AA58" s="288"/>
      <c r="AB58" s="288"/>
      <c r="AC58" s="288"/>
      <c r="AD58" s="288"/>
      <c r="AE58" s="288"/>
    </row>
    <row r="59" spans="1:31" x14ac:dyDescent="0.25">
      <c r="A59" s="7" t="str">
        <f ca="1">IF(AUTOEVENTO="Manual",IF(OFFSET(EVENTOS!$F$14,CRONOPLE!$B59,0)&gt;0,"F",""),IF(CRONOPLE!B59&lt;=MAX(CÁLCULO!$M$15:$M$32),"F",""))</f>
        <v/>
      </c>
      <c r="B59" s="286">
        <f t="shared" ca="1" si="1"/>
        <v>45</v>
      </c>
      <c r="C59" s="287">
        <f ca="1">IF(AUTOEVENTO="Manual",IF($B59&lt;&gt;1,OFFSET(EVENTOS!$D$14,$B59,0),0),IF(B59&lt;=MAX(CÁLCULO!$M$15:$M$32),VLOOKUP($B59,CÁLCULO!$M$15:$N$32,2,FALSE),0))</f>
        <v>0</v>
      </c>
      <c r="E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</row>
    <row r="60" spans="1:31" x14ac:dyDescent="0.25">
      <c r="A60" s="7" t="str">
        <f ca="1">IF(AUTOEVENTO="Manual",IF(OFFSET(EVENTOS!$F$14,CRONOPLE!$B60,0)&gt;0,"F",""),IF(CRONOPLE!B60&lt;=MAX(CÁLCULO!$M$15:$M$32),"F",""))</f>
        <v/>
      </c>
      <c r="B60" s="286">
        <f t="shared" ca="1" si="1"/>
        <v>46</v>
      </c>
      <c r="C60" s="287">
        <f ca="1">IF(AUTOEVENTO="Manual",IF($B60&lt;&gt;1,OFFSET(EVENTOS!$D$14,$B60,0),0),IF(B60&lt;=MAX(CÁLCULO!$M$15:$M$32),VLOOKUP($B60,CÁLCULO!$M$15:$N$32,2,FALSE),0))</f>
        <v>0</v>
      </c>
      <c r="E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</row>
    <row r="61" spans="1:31" x14ac:dyDescent="0.25">
      <c r="A61" s="7" t="str">
        <f ca="1">IF(AUTOEVENTO="Manual",IF(OFFSET(EVENTOS!$F$14,CRONOPLE!$B61,0)&gt;0,"F",""),IF(CRONOPLE!B61&lt;=MAX(CÁLCULO!$M$15:$M$32),"F",""))</f>
        <v/>
      </c>
      <c r="B61" s="286">
        <f t="shared" ca="1" si="1"/>
        <v>47</v>
      </c>
      <c r="C61" s="287">
        <f ca="1">IF(AUTOEVENTO="Manual",IF($B61&lt;&gt;1,OFFSET(EVENTOS!$D$14,$B61,0),0),IF(B61&lt;=MAX(CÁLCULO!$M$15:$M$32),VLOOKUP($B61,CÁLCULO!$M$15:$N$32,2,FALSE),0))</f>
        <v>0</v>
      </c>
      <c r="E61" s="288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288"/>
      <c r="AB61" s="288"/>
      <c r="AC61" s="288"/>
      <c r="AD61" s="288"/>
      <c r="AE61" s="288"/>
    </row>
    <row r="62" spans="1:31" x14ac:dyDescent="0.25">
      <c r="A62" s="7" t="str">
        <f ca="1">IF(AUTOEVENTO="Manual",IF(OFFSET(EVENTOS!$F$14,CRONOPLE!$B62,0)&gt;0,"F",""),IF(CRONOPLE!B62&lt;=MAX(CÁLCULO!$M$15:$M$32),"F",""))</f>
        <v/>
      </c>
      <c r="B62" s="286">
        <f t="shared" ca="1" si="1"/>
        <v>48</v>
      </c>
      <c r="C62" s="287">
        <f ca="1">IF(AUTOEVENTO="Manual",IF($B62&lt;&gt;1,OFFSET(EVENTOS!$D$14,$B62,0),0),IF(B62&lt;=MAX(CÁLCULO!$M$15:$M$32),VLOOKUP($B62,CÁLCULO!$M$15:$N$32,2,FALSE),0))</f>
        <v>0</v>
      </c>
      <c r="E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8"/>
      <c r="Z62" s="288"/>
      <c r="AA62" s="288"/>
      <c r="AB62" s="288"/>
      <c r="AC62" s="288"/>
      <c r="AD62" s="288"/>
      <c r="AE62" s="288"/>
    </row>
    <row r="63" spans="1:31" x14ac:dyDescent="0.25">
      <c r="A63" s="7" t="str">
        <f ca="1">IF(AUTOEVENTO="Manual",IF(OFFSET(EVENTOS!$F$14,CRONOPLE!$B63,0)&gt;0,"F",""),IF(CRONOPLE!B63&lt;=MAX(CÁLCULO!$M$15:$M$32),"F",""))</f>
        <v/>
      </c>
      <c r="B63" s="286">
        <f t="shared" ca="1" si="1"/>
        <v>49</v>
      </c>
      <c r="C63" s="287">
        <f ca="1">IF(AUTOEVENTO="Manual",IF($B63&lt;&gt;1,OFFSET(EVENTOS!$D$14,$B63,0),0),IF(B63&lt;=MAX(CÁLCULO!$M$15:$M$32),VLOOKUP($B63,CÁLCULO!$M$15:$N$32,2,FALSE),0))</f>
        <v>0</v>
      </c>
      <c r="E63" s="288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288"/>
      <c r="AE63" s="288"/>
    </row>
    <row r="64" spans="1:31" x14ac:dyDescent="0.25">
      <c r="A64" s="7" t="str">
        <f ca="1">IF(AUTOEVENTO="Manual",IF(OFFSET(EVENTOS!$F$14,CRONOPLE!$B64,0)&gt;0,"F",""),IF(CRONOPLE!B64&lt;=MAX(CÁLCULO!$M$15:$M$32),"F",""))</f>
        <v/>
      </c>
      <c r="B64" s="286">
        <f t="shared" ca="1" si="1"/>
        <v>50</v>
      </c>
      <c r="C64" s="287">
        <f ca="1">IF(AUTOEVENTO="Manual",IF($B64&lt;&gt;1,OFFSET(EVENTOS!$D$14,$B64,0),0),IF(B64&lt;=MAX(CÁLCULO!$M$15:$M$32),VLOOKUP($B64,CÁLCULO!$M$15:$N$32,2,FALSE),0))</f>
        <v>0</v>
      </c>
      <c r="E64" s="288"/>
      <c r="G64" s="288"/>
      <c r="H64" s="288"/>
      <c r="I64" s="288"/>
      <c r="J64" s="288"/>
      <c r="K64" s="288"/>
      <c r="L64" s="288"/>
      <c r="M64" s="288"/>
      <c r="N64" s="288"/>
      <c r="O64" s="288"/>
      <c r="P64" s="288"/>
      <c r="Q64" s="288"/>
      <c r="R64" s="288"/>
      <c r="S64" s="288"/>
      <c r="T64" s="288"/>
      <c r="U64" s="288"/>
      <c r="V64" s="288"/>
      <c r="W64" s="288"/>
      <c r="X64" s="288"/>
      <c r="Y64" s="288"/>
      <c r="Z64" s="288"/>
      <c r="AA64" s="288"/>
      <c r="AB64" s="288"/>
      <c r="AC64" s="288"/>
      <c r="AD64" s="288"/>
      <c r="AE64" s="288"/>
    </row>
    <row r="65" spans="2:31" ht="5.0999999999999996" customHeight="1" x14ac:dyDescent="0.25">
      <c r="B65" s="509"/>
      <c r="C65" s="510"/>
      <c r="E65" s="302"/>
      <c r="F65" s="302"/>
      <c r="G65" s="509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  <c r="AE65" s="510"/>
    </row>
  </sheetData>
  <sheetProtection algorithmName="SHA-512" hashValue="r/feeOtj9+b5ixri/hKWOOPk25dBUKP1jNyNgN1PFCdGDn2I41Asp7YPv9uyqwy2RzZrkJUV04sfq64bPOJimQ==" saltValue="Pf6b1M27ZyWxjKec5+9fNw==" spinCount="100000" sheet="1" objects="1" scenarios="1" autoFilter="0"/>
  <mergeCells count="2">
    <mergeCell ref="B12:B13"/>
    <mergeCell ref="C12:C13"/>
  </mergeCells>
  <phoneticPr fontId="38" type="noConversion"/>
  <conditionalFormatting sqref="E1 G1:AE1">
    <cfRule type="expression" dxfId="76" priority="109" stopIfTrue="1">
      <formula>IF(OR(E$12&gt;CÁLCULO.NúmeroDeFrentes,ACOMPANHAMENTO="BM"),TRUE,CRONOPLE.ValorDoEvento=0)</formula>
    </cfRule>
  </conditionalFormatting>
  <conditionalFormatting sqref="E16:E24 G16:AE24">
    <cfRule type="expression" dxfId="75" priority="6" stopIfTrue="1">
      <formula>IF(OR(E$12&gt;CÁLCULO.NúmeroDeFrentes,ACOMPANHAMENTO="BM"),TRUE,CRONOPLE.ValorDoEvento=0)</formula>
    </cfRule>
  </conditionalFormatting>
  <conditionalFormatting sqref="E25:E33 G25:AE33">
    <cfRule type="expression" dxfId="74" priority="5" stopIfTrue="1">
      <formula>IF(OR(E$12&gt;CÁLCULO.NúmeroDeFrentes,ACOMPANHAMENTO="BM"),TRUE,CRONOPLE.ValorDoEvento=0)</formula>
    </cfRule>
  </conditionalFormatting>
  <conditionalFormatting sqref="E34:E42 G34:AE42">
    <cfRule type="expression" dxfId="73" priority="4" stopIfTrue="1">
      <formula>IF(OR(E$12&gt;CÁLCULO.NúmeroDeFrentes,ACOMPANHAMENTO="BM"),TRUE,CRONOPLE.ValorDoEvento=0)</formula>
    </cfRule>
  </conditionalFormatting>
  <conditionalFormatting sqref="E43:E51 G43:AE51">
    <cfRule type="expression" dxfId="72" priority="3" stopIfTrue="1">
      <formula>IF(OR(E$12&gt;CÁLCULO.NúmeroDeFrentes,ACOMPANHAMENTO="BM"),TRUE,CRONOPLE.ValorDoEvento=0)</formula>
    </cfRule>
  </conditionalFormatting>
  <conditionalFormatting sqref="E52:E60 G52:AE60">
    <cfRule type="expression" dxfId="71" priority="2" stopIfTrue="1">
      <formula>IF(OR(E$12&gt;CÁLCULO.NúmeroDeFrentes,ACOMPANHAMENTO="BM"),TRUE,CRONOPLE.ValorDoEvento=0)</formula>
    </cfRule>
  </conditionalFormatting>
  <conditionalFormatting sqref="E61:E64 G61:AE64">
    <cfRule type="expression" dxfId="70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G16:AE64 E16:E64" xr:uid="{00000000-0002-0000-0800-000000000000}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0" firstPageNumber="0" orientation="landscape" horizontalDpi="300" verticalDpi="300" r:id="rId1"/>
  <headerFooter alignWithMargins="0">
    <oddHeader>&amp;L_&amp;C&amp;14I</oddHeader>
    <oddFooter>&amp;LPMv3.0.6&amp;R&amp;P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18</vt:i4>
      </vt:variant>
    </vt:vector>
  </HeadingPairs>
  <TitlesOfParts>
    <vt:vector size="32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BDI!Titulos_de_impressao</vt:lpstr>
      <vt:lpstr>BM!Titulos_de_impressao</vt:lpstr>
      <vt:lpstr>CÁLCULO!Titulos_de_impressao</vt:lpstr>
      <vt:lpstr>CRONO!Titulos_de_impressao</vt:lpstr>
      <vt:lpstr>ORÇAMENTO!Titulos_de_impressao</vt:lpstr>
      <vt:lpstr>PLE!Titulos_de_impressao</vt:lpstr>
      <vt:lpstr>QCI!Titulos_de_impressao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Rennan</cp:lastModifiedBy>
  <cp:revision>5</cp:revision>
  <cp:lastPrinted>2024-10-15T21:02:30Z</cp:lastPrinted>
  <dcterms:created xsi:type="dcterms:W3CDTF">1997-01-10T22:22:50Z</dcterms:created>
  <dcterms:modified xsi:type="dcterms:W3CDTF">2024-10-15T21:03:15Z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e7aacd-7cc4-4c31-9e6f-7ef306428f09_Enabled">
    <vt:lpwstr>true</vt:lpwstr>
  </property>
  <property fmtid="{D5CDD505-2E9C-101B-9397-08002B2CF9AE}" pid="3" name="MSIP_Label_fde7aacd-7cc4-4c31-9e6f-7ef306428f09_SetDate">
    <vt:lpwstr>2023-11-21T19:16:23Z</vt:lpwstr>
  </property>
  <property fmtid="{D5CDD505-2E9C-101B-9397-08002B2CF9AE}" pid="4" name="MSIP_Label_fde7aacd-7cc4-4c31-9e6f-7ef306428f09_Method">
    <vt:lpwstr>Privileged</vt:lpwstr>
  </property>
  <property fmtid="{D5CDD505-2E9C-101B-9397-08002B2CF9AE}" pid="5" name="MSIP_Label_fde7aacd-7cc4-4c31-9e6f-7ef306428f09_Name">
    <vt:lpwstr>_PUBLICO</vt:lpwstr>
  </property>
  <property fmtid="{D5CDD505-2E9C-101B-9397-08002B2CF9AE}" pid="6" name="MSIP_Label_fde7aacd-7cc4-4c31-9e6f-7ef306428f09_SiteId">
    <vt:lpwstr>ab9bba98-684a-43fb-add8-9c2bebede229</vt:lpwstr>
  </property>
  <property fmtid="{D5CDD505-2E9C-101B-9397-08002B2CF9AE}" pid="7" name="MSIP_Label_fde7aacd-7cc4-4c31-9e6f-7ef306428f09_ActionId">
    <vt:lpwstr>a35afa61-0e86-4f3f-84ac-6edb60dde1d6</vt:lpwstr>
  </property>
  <property fmtid="{D5CDD505-2E9C-101B-9397-08002B2CF9AE}" pid="8" name="MSIP_Label_fde7aacd-7cc4-4c31-9e6f-7ef306428f09_ContentBits">
    <vt:lpwstr>1</vt:lpwstr>
  </property>
</Properties>
</file>