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F:\OneDrive\NOTEBOOK DELL\HD DO NOTEBOOK\HD EXTERNO 2022\2025\PM_BOM JARDIM DE MINAS\PONTE (OLHAR)\"/>
    </mc:Choice>
  </mc:AlternateContent>
  <xr:revisionPtr revIDLastSave="0" documentId="13_ncr:1_{89977365-9611-42B9-8690-0A064632C7A5}" xr6:coauthVersionLast="47" xr6:coauthVersionMax="47" xr10:uidLastSave="{00000000-0000-0000-0000-000000000000}"/>
  <bookViews>
    <workbookView xWindow="-108" yWindow="-108" windowWidth="23256" windowHeight="12456" tabRatio="602" xr2:uid="{00000000-000D-0000-FFFF-FFFF00000000}"/>
  </bookViews>
  <sheets>
    <sheet name="PLAN ORÇ" sheetId="6" r:id="rId1"/>
    <sheet name="MM CALC" sheetId="21" r:id="rId2"/>
    <sheet name="CRON" sheetId="7" r:id="rId3"/>
    <sheet name="COMP 1" sheetId="22" state="hidden" r:id="rId4"/>
    <sheet name="COMP 2 " sheetId="38" state="hidden" r:id="rId5"/>
    <sheet name="COMP 3" sheetId="25" state="hidden" r:id="rId6"/>
    <sheet name="COMP 4" sheetId="31" state="hidden" r:id="rId7"/>
    <sheet name="COMP 5" sheetId="24" state="hidden" r:id="rId8"/>
    <sheet name="COMP 6" sheetId="27" state="hidden" r:id="rId9"/>
    <sheet name="ORÇAMENTOS" sheetId="28" state="hidden" r:id="rId10"/>
    <sheet name="COMPOSIÇÕES" sheetId="39" r:id="rId11"/>
    <sheet name="PLAN ORÇ 01" sheetId="40" state="hidden" r:id="rId12"/>
  </sheets>
  <externalReferences>
    <externalReference r:id="rId13"/>
  </externalReferences>
  <definedNames>
    <definedName name="_xlnm._FilterDatabase" localSheetId="3" hidden="1">'COMP 1'!$B$8:$I$8</definedName>
    <definedName name="_xlnm._FilterDatabase" localSheetId="6" hidden="1">'COMP 4'!$A$7:$I$7</definedName>
    <definedName name="_xlnm._FilterDatabase" localSheetId="7" hidden="1">'COMP 5'!$B$8:$I$8</definedName>
    <definedName name="_xlnm._FilterDatabase" localSheetId="8" hidden="1">'COMP 6'!$B$13:$J$13</definedName>
    <definedName name="_xlnm._FilterDatabase" localSheetId="2" hidden="1">CRON!$A$9:$N$9</definedName>
    <definedName name="_xlnm._FilterDatabase" localSheetId="1" hidden="1">'MM CALC'!$A$7:$J$91</definedName>
    <definedName name="_xlnm._FilterDatabase" localSheetId="0" hidden="1">'PLAN ORÇ'!$A$11:$O$96</definedName>
    <definedName name="_xlnm._FilterDatabase" localSheetId="11" hidden="1">'PLAN ORÇ 01'!$A$11:$O$84</definedName>
    <definedName name="_xlnm.Print_Area" localSheetId="3">'COMP 1'!$B$2:$I$18</definedName>
    <definedName name="_xlnm.Print_Area" localSheetId="4">'COMP 2 '!$A$1:$I$22</definedName>
    <definedName name="_xlnm.Print_Area" localSheetId="5">'COMP 3'!$A$1:$H$24</definedName>
    <definedName name="_xlnm.Print_Area" localSheetId="6">'COMP 4'!$A$1:$H$24</definedName>
    <definedName name="_xlnm.Print_Area" localSheetId="7">'COMP 5'!$B$2:$I$20</definedName>
    <definedName name="_xlnm.Print_Area" localSheetId="8">'COMP 6'!$B$2:$J$26</definedName>
    <definedName name="_xlnm.Print_Area" localSheetId="10">COMPOSIÇÕES!$A$1:$G$87</definedName>
    <definedName name="_xlnm.Print_Area" localSheetId="2">CRON!$A$1:$L$46</definedName>
    <definedName name="_xlnm.Print_Area" localSheetId="1">'MM CALC'!$A$1:$G$97</definedName>
    <definedName name="_xlnm.Print_Area" localSheetId="0">'PLAN ORÇ'!$A$1:$I$103</definedName>
    <definedName name="_xlnm.Print_Area" localSheetId="11">'PLAN ORÇ 01'!$A$1:$I$91</definedName>
    <definedName name="_xlnm.Database">TEXT([1]Dados!$G$29,"mm-aaaa")</definedName>
    <definedName name="Fonte" localSheetId="1">'MM CALC'!#REF!</definedName>
    <definedName name="Fonte" localSheetId="11">'PLAN ORÇ 01'!$I1</definedName>
    <definedName name="Fonte">'PLAN ORÇ'!$I1</definedName>
    <definedName name="nao" localSheetId="4">#REF!</definedName>
    <definedName name="nao" localSheetId="8">#REF!</definedName>
    <definedName name="nao" localSheetId="1">#REF!</definedName>
    <definedName name="nao">#REF!</definedName>
    <definedName name="_xlnm.Print_Titles" localSheetId="10">COMPOSIÇÕES!$1:$6</definedName>
    <definedName name="_xlnm.Print_Titles" localSheetId="1">'MM CALC'!$1:$7</definedName>
    <definedName name="_xlnm.Print_Titles" localSheetId="0">'PLAN ORÇ'!$1:$11</definedName>
    <definedName name="_xlnm.Print_Titles" localSheetId="11">'PLAN ORÇ 01'!$1:$11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1" i="7" l="1"/>
  <c r="K29" i="7"/>
  <c r="K27" i="7"/>
  <c r="J21" i="7"/>
  <c r="I21" i="7"/>
  <c r="H21" i="7"/>
  <c r="H37" i="7" s="1"/>
  <c r="G19" i="7"/>
  <c r="F19" i="7"/>
  <c r="G37" i="7"/>
  <c r="E37" i="7"/>
  <c r="G21" i="7"/>
  <c r="F21" i="7"/>
  <c r="K49" i="6"/>
  <c r="E21" i="7"/>
  <c r="K33" i="6"/>
  <c r="D19" i="7"/>
  <c r="D37" i="7" s="1"/>
  <c r="C35" i="7"/>
  <c r="C33" i="7"/>
  <c r="C31" i="7"/>
  <c r="C29" i="7"/>
  <c r="C27" i="7"/>
  <c r="C21" i="7"/>
  <c r="C19" i="7"/>
  <c r="C17" i="7"/>
  <c r="C15" i="7"/>
  <c r="C11" i="7"/>
  <c r="B34" i="7"/>
  <c r="A34" i="7"/>
  <c r="B32" i="7"/>
  <c r="A32" i="7"/>
  <c r="L33" i="7"/>
  <c r="L37" i="7" s="1"/>
  <c r="B30" i="7"/>
  <c r="A30" i="7"/>
  <c r="B28" i="7"/>
  <c r="A28" i="7"/>
  <c r="B26" i="7"/>
  <c r="A26" i="7"/>
  <c r="A24" i="7"/>
  <c r="B22" i="7"/>
  <c r="A22" i="7"/>
  <c r="B20" i="7"/>
  <c r="A20" i="7"/>
  <c r="A12" i="7"/>
  <c r="A10" i="7"/>
  <c r="D11" i="7"/>
  <c r="J7" i="7"/>
  <c r="H5" i="6"/>
  <c r="B64" i="6"/>
  <c r="B17" i="6"/>
  <c r="G15" i="6"/>
  <c r="I15" i="6" s="1"/>
  <c r="E34" i="39"/>
  <c r="E33" i="39"/>
  <c r="G33" i="39" s="1"/>
  <c r="E32" i="39"/>
  <c r="E31" i="39"/>
  <c r="G50" i="6"/>
  <c r="H50" i="6" s="1"/>
  <c r="I50" i="6" s="1"/>
  <c r="F50" i="6"/>
  <c r="A50" i="6"/>
  <c r="B50" i="6"/>
  <c r="C50" i="6"/>
  <c r="D50" i="6"/>
  <c r="E50" i="6"/>
  <c r="H51" i="6"/>
  <c r="A51" i="6"/>
  <c r="B51" i="6"/>
  <c r="C51" i="6"/>
  <c r="D51" i="6"/>
  <c r="E51" i="6"/>
  <c r="F48" i="21"/>
  <c r="F51" i="6" s="1"/>
  <c r="I51" i="6" s="1"/>
  <c r="G73" i="6"/>
  <c r="B57" i="6"/>
  <c r="F53" i="21"/>
  <c r="G31" i="6"/>
  <c r="D28" i="21"/>
  <c r="D25" i="40" s="1"/>
  <c r="G19" i="39"/>
  <c r="G18" i="39"/>
  <c r="G16" i="39" s="1"/>
  <c r="D57" i="6"/>
  <c r="G71" i="6"/>
  <c r="H71" i="6" s="1"/>
  <c r="I71" i="6" s="1"/>
  <c r="F71" i="6"/>
  <c r="A71" i="6"/>
  <c r="B71" i="6"/>
  <c r="C71" i="6"/>
  <c r="D71" i="6"/>
  <c r="E71" i="6"/>
  <c r="F68" i="21"/>
  <c r="G75" i="6"/>
  <c r="H75" i="6" s="1"/>
  <c r="A75" i="6"/>
  <c r="B75" i="6"/>
  <c r="C75" i="6"/>
  <c r="D75" i="6"/>
  <c r="E75" i="6"/>
  <c r="G72" i="21"/>
  <c r="E39" i="39"/>
  <c r="E40" i="39" s="1"/>
  <c r="G40" i="39" s="1"/>
  <c r="A30" i="6"/>
  <c r="A31" i="6"/>
  <c r="A32" i="6"/>
  <c r="H30" i="6"/>
  <c r="B30" i="6"/>
  <c r="C30" i="6"/>
  <c r="D30" i="6"/>
  <c r="E30" i="6"/>
  <c r="H25" i="6"/>
  <c r="A25" i="6"/>
  <c r="B25" i="6"/>
  <c r="C25" i="6"/>
  <c r="D25" i="6"/>
  <c r="E25" i="6"/>
  <c r="F21" i="21"/>
  <c r="F25" i="6" s="1"/>
  <c r="H88" i="6"/>
  <c r="F88" i="6"/>
  <c r="A88" i="6"/>
  <c r="B88" i="6"/>
  <c r="C88" i="6"/>
  <c r="D88" i="6"/>
  <c r="E88" i="6"/>
  <c r="G78" i="6"/>
  <c r="G77" i="6"/>
  <c r="F75" i="21"/>
  <c r="F78" i="6" s="1"/>
  <c r="F74" i="21"/>
  <c r="F77" i="6" s="1"/>
  <c r="A77" i="6"/>
  <c r="A78" i="6"/>
  <c r="B77" i="6"/>
  <c r="C77" i="6"/>
  <c r="D77" i="6"/>
  <c r="E77" i="6"/>
  <c r="B78" i="6"/>
  <c r="C78" i="6"/>
  <c r="D78" i="6"/>
  <c r="E78" i="6"/>
  <c r="G74" i="6"/>
  <c r="H74" i="6" s="1"/>
  <c r="A74" i="6"/>
  <c r="B74" i="6"/>
  <c r="C74" i="6"/>
  <c r="D74" i="6"/>
  <c r="E74" i="6"/>
  <c r="F71" i="21"/>
  <c r="F74" i="6" s="1"/>
  <c r="F75" i="6" s="1"/>
  <c r="H29" i="6"/>
  <c r="A29" i="6"/>
  <c r="B29" i="6"/>
  <c r="C29" i="6"/>
  <c r="D29" i="6"/>
  <c r="E29" i="6"/>
  <c r="G66" i="6"/>
  <c r="F66" i="6"/>
  <c r="A66" i="6"/>
  <c r="B66" i="6"/>
  <c r="C66" i="6"/>
  <c r="D66" i="6"/>
  <c r="E66" i="6"/>
  <c r="G68" i="6"/>
  <c r="A68" i="6"/>
  <c r="A69" i="6"/>
  <c r="A70" i="6"/>
  <c r="F68" i="6"/>
  <c r="B68" i="6"/>
  <c r="C68" i="6"/>
  <c r="D68" i="6"/>
  <c r="E68" i="6"/>
  <c r="F10" i="21"/>
  <c r="F83" i="40" s="1"/>
  <c r="I83" i="40" s="1"/>
  <c r="B15" i="6"/>
  <c r="A15" i="6"/>
  <c r="F31" i="21"/>
  <c r="F28" i="40" s="1"/>
  <c r="I28" i="40" s="1"/>
  <c r="E90" i="40"/>
  <c r="F89" i="40"/>
  <c r="K83" i="40"/>
  <c r="H83" i="40"/>
  <c r="E83" i="40"/>
  <c r="D83" i="40"/>
  <c r="C83" i="40"/>
  <c r="B83" i="40"/>
  <c r="A83" i="40"/>
  <c r="H82" i="40"/>
  <c r="E82" i="40"/>
  <c r="D82" i="40"/>
  <c r="C82" i="40"/>
  <c r="B82" i="40"/>
  <c r="A82" i="40"/>
  <c r="A81" i="40"/>
  <c r="H80" i="40"/>
  <c r="G80" i="40"/>
  <c r="F80" i="40"/>
  <c r="E80" i="40"/>
  <c r="D80" i="40"/>
  <c r="C80" i="40"/>
  <c r="B80" i="40"/>
  <c r="A80" i="40"/>
  <c r="F79" i="40"/>
  <c r="E79" i="40"/>
  <c r="C79" i="40"/>
  <c r="B79" i="40"/>
  <c r="A79" i="40"/>
  <c r="H78" i="40"/>
  <c r="G78" i="40"/>
  <c r="E78" i="40"/>
  <c r="D78" i="40"/>
  <c r="C78" i="40"/>
  <c r="B78" i="40"/>
  <c r="A78" i="40"/>
  <c r="A77" i="40"/>
  <c r="G76" i="40"/>
  <c r="H76" i="40" s="1"/>
  <c r="E76" i="40"/>
  <c r="D76" i="40"/>
  <c r="C76" i="40"/>
  <c r="B76" i="40"/>
  <c r="A76" i="40"/>
  <c r="H75" i="40"/>
  <c r="G75" i="40"/>
  <c r="E75" i="40"/>
  <c r="D75" i="40"/>
  <c r="C75" i="40"/>
  <c r="B75" i="40"/>
  <c r="A75" i="40"/>
  <c r="G74" i="40"/>
  <c r="F74" i="40"/>
  <c r="E74" i="40"/>
  <c r="D74" i="40"/>
  <c r="C74" i="40"/>
  <c r="B74" i="40"/>
  <c r="A74" i="40"/>
  <c r="H73" i="40"/>
  <c r="F73" i="40"/>
  <c r="I73" i="40" s="1"/>
  <c r="E73" i="40"/>
  <c r="D73" i="40"/>
  <c r="C73" i="40"/>
  <c r="B73" i="40"/>
  <c r="A73" i="40"/>
  <c r="E72" i="40"/>
  <c r="C72" i="40"/>
  <c r="B72" i="40"/>
  <c r="A72" i="40"/>
  <c r="F71" i="40"/>
  <c r="E71" i="40"/>
  <c r="C71" i="40"/>
  <c r="B71" i="40"/>
  <c r="A71" i="40"/>
  <c r="D70" i="40"/>
  <c r="A70" i="40"/>
  <c r="G69" i="40"/>
  <c r="H69" i="40" s="1"/>
  <c r="E69" i="40"/>
  <c r="D69" i="40"/>
  <c r="C69" i="40"/>
  <c r="B69" i="40"/>
  <c r="A69" i="40"/>
  <c r="H68" i="40"/>
  <c r="G68" i="40"/>
  <c r="F68" i="40"/>
  <c r="E68" i="40"/>
  <c r="D68" i="40"/>
  <c r="C68" i="40"/>
  <c r="B68" i="40"/>
  <c r="A68" i="40"/>
  <c r="H67" i="40"/>
  <c r="G67" i="40"/>
  <c r="F67" i="40"/>
  <c r="I67" i="40" s="1"/>
  <c r="E67" i="40"/>
  <c r="D67" i="40"/>
  <c r="C67" i="40"/>
  <c r="B67" i="40"/>
  <c r="A67" i="40"/>
  <c r="H66" i="40"/>
  <c r="G66" i="40"/>
  <c r="E66" i="40"/>
  <c r="D66" i="40"/>
  <c r="C66" i="40"/>
  <c r="B66" i="40"/>
  <c r="A66" i="40"/>
  <c r="H65" i="40"/>
  <c r="G65" i="40"/>
  <c r="E65" i="40"/>
  <c r="D65" i="40"/>
  <c r="C65" i="40"/>
  <c r="B65" i="40"/>
  <c r="A65" i="40"/>
  <c r="D64" i="40"/>
  <c r="A64" i="40"/>
  <c r="H63" i="40"/>
  <c r="F63" i="40"/>
  <c r="I63" i="40" s="1"/>
  <c r="I62" i="40" s="1"/>
  <c r="E63" i="40"/>
  <c r="D63" i="40"/>
  <c r="C63" i="40"/>
  <c r="B63" i="40"/>
  <c r="A63" i="40"/>
  <c r="D62" i="40"/>
  <c r="A62" i="40"/>
  <c r="I61" i="40"/>
  <c r="G61" i="40"/>
  <c r="E61" i="40"/>
  <c r="D61" i="40"/>
  <c r="C61" i="40"/>
  <c r="B61" i="40"/>
  <c r="A61" i="40"/>
  <c r="H60" i="40"/>
  <c r="G60" i="40"/>
  <c r="E60" i="40"/>
  <c r="D60" i="40"/>
  <c r="C60" i="40"/>
  <c r="B60" i="40"/>
  <c r="A60" i="40"/>
  <c r="G59" i="40"/>
  <c r="E59" i="40"/>
  <c r="D59" i="40"/>
  <c r="C59" i="40"/>
  <c r="B59" i="40"/>
  <c r="A59" i="40"/>
  <c r="F58" i="40"/>
  <c r="E58" i="40"/>
  <c r="C58" i="40"/>
  <c r="B58" i="40"/>
  <c r="A58" i="40"/>
  <c r="D57" i="40"/>
  <c r="A57" i="40"/>
  <c r="A56" i="40"/>
  <c r="H55" i="40"/>
  <c r="F55" i="40"/>
  <c r="I55" i="40" s="1"/>
  <c r="E55" i="40"/>
  <c r="D55" i="40"/>
  <c r="C55" i="40"/>
  <c r="B55" i="40"/>
  <c r="A55" i="40"/>
  <c r="F54" i="40"/>
  <c r="E54" i="40"/>
  <c r="C54" i="40"/>
  <c r="B54" i="40"/>
  <c r="A54" i="40"/>
  <c r="F53" i="40"/>
  <c r="E53" i="40"/>
  <c r="D53" i="40"/>
  <c r="C53" i="40"/>
  <c r="B53" i="40"/>
  <c r="A53" i="40"/>
  <c r="E52" i="40"/>
  <c r="C52" i="40"/>
  <c r="B52" i="40"/>
  <c r="A52" i="40"/>
  <c r="H51" i="40"/>
  <c r="E51" i="40"/>
  <c r="D51" i="40"/>
  <c r="C51" i="40"/>
  <c r="B51" i="40"/>
  <c r="A51" i="40"/>
  <c r="H50" i="40"/>
  <c r="E50" i="40"/>
  <c r="D50" i="40"/>
  <c r="C50" i="40"/>
  <c r="B50" i="40"/>
  <c r="A50" i="40"/>
  <c r="H49" i="40"/>
  <c r="E49" i="40"/>
  <c r="D49" i="40"/>
  <c r="C49" i="40"/>
  <c r="B49" i="40"/>
  <c r="A49" i="40"/>
  <c r="H48" i="40"/>
  <c r="E48" i="40"/>
  <c r="D48" i="40"/>
  <c r="C48" i="40"/>
  <c r="B48" i="40"/>
  <c r="A48" i="40"/>
  <c r="A47" i="40"/>
  <c r="H46" i="40"/>
  <c r="E46" i="40"/>
  <c r="D46" i="40"/>
  <c r="C46" i="40"/>
  <c r="B46" i="40"/>
  <c r="A46" i="40"/>
  <c r="H45" i="40"/>
  <c r="E45" i="40"/>
  <c r="D45" i="40"/>
  <c r="C45" i="40"/>
  <c r="B45" i="40"/>
  <c r="A45" i="40"/>
  <c r="E44" i="40"/>
  <c r="C44" i="40"/>
  <c r="B44" i="40"/>
  <c r="A44" i="40"/>
  <c r="F43" i="40"/>
  <c r="E43" i="40"/>
  <c r="C43" i="40"/>
  <c r="B43" i="40"/>
  <c r="A43" i="40"/>
  <c r="A42" i="40"/>
  <c r="H41" i="40"/>
  <c r="E41" i="40"/>
  <c r="D41" i="40"/>
  <c r="C41" i="40"/>
  <c r="B41" i="40"/>
  <c r="A41" i="40"/>
  <c r="H40" i="40"/>
  <c r="E40" i="40"/>
  <c r="D40" i="40"/>
  <c r="C40" i="40"/>
  <c r="B40" i="40"/>
  <c r="A40" i="40"/>
  <c r="H39" i="40"/>
  <c r="F39" i="40"/>
  <c r="I39" i="40" s="1"/>
  <c r="E39" i="40"/>
  <c r="D39" i="40"/>
  <c r="C39" i="40"/>
  <c r="B39" i="40"/>
  <c r="A39" i="40"/>
  <c r="H38" i="40"/>
  <c r="E38" i="40"/>
  <c r="D38" i="40"/>
  <c r="C38" i="40"/>
  <c r="B38" i="40"/>
  <c r="A38" i="40"/>
  <c r="H37" i="40"/>
  <c r="E37" i="40"/>
  <c r="D37" i="40"/>
  <c r="C37" i="40"/>
  <c r="B37" i="40"/>
  <c r="A37" i="40"/>
  <c r="H36" i="40"/>
  <c r="F36" i="40"/>
  <c r="I36" i="40" s="1"/>
  <c r="E36" i="40"/>
  <c r="D36" i="40"/>
  <c r="C36" i="40"/>
  <c r="B36" i="40"/>
  <c r="A36" i="40"/>
  <c r="H35" i="40"/>
  <c r="F35" i="40"/>
  <c r="I35" i="40" s="1"/>
  <c r="E35" i="40"/>
  <c r="D35" i="40"/>
  <c r="C35" i="40"/>
  <c r="B35" i="40"/>
  <c r="A35" i="40"/>
  <c r="H34" i="40"/>
  <c r="E34" i="40"/>
  <c r="D34" i="40"/>
  <c r="C34" i="40"/>
  <c r="B34" i="40"/>
  <c r="A34" i="40"/>
  <c r="H33" i="40"/>
  <c r="E33" i="40"/>
  <c r="D33" i="40"/>
  <c r="C33" i="40"/>
  <c r="B33" i="40"/>
  <c r="A33" i="40"/>
  <c r="H32" i="40"/>
  <c r="E32" i="40"/>
  <c r="D32" i="40"/>
  <c r="C32" i="40"/>
  <c r="B32" i="40"/>
  <c r="A32" i="40"/>
  <c r="H31" i="40"/>
  <c r="E31" i="40"/>
  <c r="D31" i="40"/>
  <c r="C31" i="40"/>
  <c r="B31" i="40"/>
  <c r="A31" i="40"/>
  <c r="H30" i="40"/>
  <c r="E30" i="40"/>
  <c r="D30" i="40"/>
  <c r="C30" i="40"/>
  <c r="B30" i="40"/>
  <c r="A30" i="40"/>
  <c r="H29" i="40"/>
  <c r="E29" i="40"/>
  <c r="D29" i="40"/>
  <c r="C29" i="40"/>
  <c r="B29" i="40"/>
  <c r="A29" i="40"/>
  <c r="H28" i="40"/>
  <c r="E28" i="40"/>
  <c r="D28" i="40"/>
  <c r="C28" i="40"/>
  <c r="B28" i="40"/>
  <c r="A28" i="40"/>
  <c r="D27" i="40"/>
  <c r="A27" i="40"/>
  <c r="H26" i="40"/>
  <c r="H74" i="40" s="1"/>
  <c r="F26" i="40"/>
  <c r="I26" i="40" s="1"/>
  <c r="E26" i="40"/>
  <c r="D26" i="40"/>
  <c r="C26" i="40"/>
  <c r="B26" i="40"/>
  <c r="A26" i="40"/>
  <c r="H25" i="40"/>
  <c r="E25" i="40"/>
  <c r="C25" i="40"/>
  <c r="B25" i="40"/>
  <c r="A25" i="40"/>
  <c r="H24" i="40"/>
  <c r="E24" i="40"/>
  <c r="D24" i="40"/>
  <c r="C24" i="40"/>
  <c r="B24" i="40"/>
  <c r="A24" i="40"/>
  <c r="H23" i="40"/>
  <c r="E23" i="40"/>
  <c r="D23" i="40"/>
  <c r="C23" i="40"/>
  <c r="B23" i="40"/>
  <c r="A23" i="40"/>
  <c r="D22" i="40"/>
  <c r="A22" i="40"/>
  <c r="G21" i="40"/>
  <c r="I21" i="40" s="1"/>
  <c r="E21" i="40"/>
  <c r="D21" i="40"/>
  <c r="C21" i="40"/>
  <c r="B21" i="40"/>
  <c r="A21" i="40"/>
  <c r="H20" i="40"/>
  <c r="E20" i="40"/>
  <c r="D20" i="40"/>
  <c r="C20" i="40"/>
  <c r="B20" i="40"/>
  <c r="A20" i="40"/>
  <c r="H19" i="40"/>
  <c r="H59" i="40" s="1"/>
  <c r="E19" i="40"/>
  <c r="D19" i="40"/>
  <c r="C19" i="40"/>
  <c r="B19" i="40"/>
  <c r="A19" i="40"/>
  <c r="H18" i="40"/>
  <c r="F18" i="40"/>
  <c r="I18" i="40" s="1"/>
  <c r="E18" i="40"/>
  <c r="D18" i="40"/>
  <c r="C18" i="40"/>
  <c r="B18" i="40"/>
  <c r="A18" i="40"/>
  <c r="F17" i="40"/>
  <c r="E17" i="40"/>
  <c r="C17" i="40"/>
  <c r="B17" i="40"/>
  <c r="A17" i="40"/>
  <c r="H16" i="40"/>
  <c r="F16" i="40"/>
  <c r="I16" i="40" s="1"/>
  <c r="E16" i="40"/>
  <c r="D16" i="40"/>
  <c r="C16" i="40"/>
  <c r="B16" i="40"/>
  <c r="A16" i="40"/>
  <c r="H15" i="40"/>
  <c r="F15" i="40"/>
  <c r="I15" i="40" s="1"/>
  <c r="E15" i="40"/>
  <c r="D15" i="40"/>
  <c r="C15" i="40"/>
  <c r="B15" i="40"/>
  <c r="A15" i="40"/>
  <c r="D14" i="40"/>
  <c r="A14" i="40"/>
  <c r="K13" i="40"/>
  <c r="F12" i="40"/>
  <c r="E12" i="40"/>
  <c r="D12" i="40"/>
  <c r="C12" i="40"/>
  <c r="B12" i="40"/>
  <c r="A12" i="40"/>
  <c r="K8" i="40"/>
  <c r="K20" i="40" s="1"/>
  <c r="A7" i="40"/>
  <c r="A6" i="40"/>
  <c r="E5" i="40"/>
  <c r="A5" i="40"/>
  <c r="K8" i="6"/>
  <c r="K24" i="6" s="1"/>
  <c r="F95" i="6"/>
  <c r="G95" i="6"/>
  <c r="H95" i="6" s="1"/>
  <c r="A95" i="6"/>
  <c r="B95" i="6"/>
  <c r="C95" i="6"/>
  <c r="D95" i="6"/>
  <c r="E95" i="6"/>
  <c r="F63" i="6"/>
  <c r="H63" i="6"/>
  <c r="A63" i="6"/>
  <c r="B63" i="6"/>
  <c r="C63" i="6"/>
  <c r="D63" i="6"/>
  <c r="E63" i="6"/>
  <c r="A14" i="6"/>
  <c r="B14" i="6"/>
  <c r="C14" i="6"/>
  <c r="D14" i="6"/>
  <c r="E14" i="6"/>
  <c r="A13" i="6"/>
  <c r="H13" i="6"/>
  <c r="B13" i="6"/>
  <c r="C13" i="6"/>
  <c r="D13" i="6"/>
  <c r="E13" i="6"/>
  <c r="F9" i="21"/>
  <c r="F13" i="6" s="1"/>
  <c r="K14" i="6"/>
  <c r="H14" i="6"/>
  <c r="G89" i="6"/>
  <c r="F89" i="6"/>
  <c r="A89" i="6"/>
  <c r="B89" i="6"/>
  <c r="C89" i="6"/>
  <c r="D89" i="6"/>
  <c r="E89" i="6"/>
  <c r="G69" i="6"/>
  <c r="B69" i="6"/>
  <c r="C69" i="6"/>
  <c r="D69" i="6"/>
  <c r="E69" i="6"/>
  <c r="F66" i="21"/>
  <c r="F69" i="6" s="1"/>
  <c r="C15" i="6"/>
  <c r="D15" i="6"/>
  <c r="E15" i="6"/>
  <c r="F87" i="6"/>
  <c r="H87" i="6"/>
  <c r="A87" i="6"/>
  <c r="B87" i="6"/>
  <c r="C87" i="6"/>
  <c r="D87" i="6"/>
  <c r="E87" i="6"/>
  <c r="G68" i="39"/>
  <c r="F82" i="6"/>
  <c r="F81" i="6"/>
  <c r="F77" i="21"/>
  <c r="F80" i="6" s="1"/>
  <c r="F90" i="21"/>
  <c r="F93" i="6" s="1"/>
  <c r="G93" i="6"/>
  <c r="H93" i="6" s="1"/>
  <c r="F94" i="6"/>
  <c r="E94" i="6"/>
  <c r="C94" i="6"/>
  <c r="B94" i="6"/>
  <c r="A94" i="6"/>
  <c r="E93" i="6"/>
  <c r="D93" i="6"/>
  <c r="C93" i="6"/>
  <c r="B93" i="6"/>
  <c r="A93" i="6"/>
  <c r="D91" i="21"/>
  <c r="D94" i="6" s="1"/>
  <c r="G86" i="39"/>
  <c r="G85" i="39"/>
  <c r="G84" i="39"/>
  <c r="G83" i="39"/>
  <c r="G82" i="39"/>
  <c r="G81" i="39"/>
  <c r="A92" i="6"/>
  <c r="G91" i="6"/>
  <c r="H91" i="6" s="1"/>
  <c r="F88" i="21"/>
  <c r="F91" i="6" s="1"/>
  <c r="A86" i="6"/>
  <c r="A90" i="6"/>
  <c r="A91" i="6"/>
  <c r="G90" i="6"/>
  <c r="H90" i="6" s="1"/>
  <c r="F87" i="21"/>
  <c r="F90" i="6" s="1"/>
  <c r="E76" i="39"/>
  <c r="G76" i="39" s="1"/>
  <c r="E75" i="39"/>
  <c r="G75" i="39" s="1"/>
  <c r="E74" i="39"/>
  <c r="G74" i="39" s="1"/>
  <c r="E73" i="39"/>
  <c r="G73" i="39" s="1"/>
  <c r="F83" i="21"/>
  <c r="F86" i="6" s="1"/>
  <c r="D83" i="21"/>
  <c r="D86" i="6" s="1"/>
  <c r="E91" i="6"/>
  <c r="D91" i="6"/>
  <c r="C91" i="6"/>
  <c r="B91" i="6"/>
  <c r="E90" i="6"/>
  <c r="D90" i="6"/>
  <c r="C90" i="6"/>
  <c r="B90" i="6"/>
  <c r="E86" i="6"/>
  <c r="C86" i="6"/>
  <c r="B86" i="6"/>
  <c r="F85" i="6"/>
  <c r="E85" i="6"/>
  <c r="C85" i="6"/>
  <c r="B85" i="6"/>
  <c r="D82" i="21"/>
  <c r="D85" i="6" s="1"/>
  <c r="G67" i="39"/>
  <c r="A85" i="6"/>
  <c r="D84" i="6"/>
  <c r="A64" i="6"/>
  <c r="A55" i="6"/>
  <c r="A48" i="6"/>
  <c r="A28" i="6"/>
  <c r="A27" i="6"/>
  <c r="A20" i="6"/>
  <c r="A21" i="6"/>
  <c r="A22" i="6"/>
  <c r="A23" i="6"/>
  <c r="A24" i="6"/>
  <c r="A19" i="6"/>
  <c r="A18" i="6"/>
  <c r="A84" i="6"/>
  <c r="G83" i="6"/>
  <c r="H83" i="6" s="1"/>
  <c r="G82" i="6"/>
  <c r="H82" i="6" s="1"/>
  <c r="G81" i="6"/>
  <c r="H81" i="6" s="1"/>
  <c r="G80" i="6"/>
  <c r="H80" i="6" s="1"/>
  <c r="G79" i="6"/>
  <c r="H79" i="6" s="1"/>
  <c r="A81" i="6"/>
  <c r="B81" i="6"/>
  <c r="C81" i="6"/>
  <c r="D81" i="6"/>
  <c r="E81" i="6"/>
  <c r="A82" i="6"/>
  <c r="B82" i="6"/>
  <c r="C82" i="6"/>
  <c r="D82" i="6"/>
  <c r="E82" i="6"/>
  <c r="A83" i="6"/>
  <c r="B83" i="6"/>
  <c r="C83" i="6"/>
  <c r="D83" i="6"/>
  <c r="E83" i="6"/>
  <c r="A80" i="6"/>
  <c r="B80" i="6"/>
  <c r="C80" i="6"/>
  <c r="D80" i="6"/>
  <c r="E80" i="6"/>
  <c r="F80" i="21"/>
  <c r="F83" i="6" s="1"/>
  <c r="F76" i="21"/>
  <c r="F79" i="6" s="1"/>
  <c r="D73" i="6"/>
  <c r="G70" i="6"/>
  <c r="D64" i="21"/>
  <c r="D67" i="6" s="1"/>
  <c r="C67" i="6"/>
  <c r="B67" i="6"/>
  <c r="F62" i="6"/>
  <c r="D59" i="21"/>
  <c r="D62" i="6" s="1"/>
  <c r="D58" i="21"/>
  <c r="G62" i="39"/>
  <c r="G61" i="39"/>
  <c r="G60" i="39"/>
  <c r="G59" i="39"/>
  <c r="G58" i="39"/>
  <c r="G57" i="39"/>
  <c r="D61" i="6"/>
  <c r="D17" i="21"/>
  <c r="D17" i="40" s="1"/>
  <c r="F45" i="6"/>
  <c r="F43" i="21"/>
  <c r="F46" i="6" s="1"/>
  <c r="H46" i="6"/>
  <c r="A46" i="6"/>
  <c r="B46" i="6"/>
  <c r="C46" i="6"/>
  <c r="D46" i="6"/>
  <c r="E46" i="6"/>
  <c r="H45" i="6"/>
  <c r="A45" i="6"/>
  <c r="B45" i="6"/>
  <c r="C45" i="6"/>
  <c r="D45" i="6"/>
  <c r="E45" i="6"/>
  <c r="A79" i="6"/>
  <c r="B79" i="6"/>
  <c r="C79" i="6"/>
  <c r="D79" i="6"/>
  <c r="E79" i="6"/>
  <c r="D76" i="6"/>
  <c r="A76" i="6"/>
  <c r="F73" i="6"/>
  <c r="H57" i="6"/>
  <c r="H58" i="6"/>
  <c r="H59" i="6"/>
  <c r="H56" i="6"/>
  <c r="H53" i="6"/>
  <c r="H54" i="6"/>
  <c r="E73" i="6"/>
  <c r="C73" i="6"/>
  <c r="B73" i="6"/>
  <c r="A73" i="6"/>
  <c r="D72" i="6"/>
  <c r="A72" i="6"/>
  <c r="F67" i="21"/>
  <c r="F70" i="6" s="1"/>
  <c r="F20" i="21"/>
  <c r="F20" i="40" s="1"/>
  <c r="I20" i="40" s="1"/>
  <c r="F67" i="6"/>
  <c r="A67" i="6"/>
  <c r="E67" i="6"/>
  <c r="B70" i="6"/>
  <c r="C70" i="6"/>
  <c r="D70" i="6"/>
  <c r="E70" i="6"/>
  <c r="D65" i="6"/>
  <c r="A65" i="6"/>
  <c r="F61" i="6"/>
  <c r="A61" i="6"/>
  <c r="A62" i="6"/>
  <c r="B61" i="6"/>
  <c r="C61" i="6"/>
  <c r="E61" i="6"/>
  <c r="G12" i="39"/>
  <c r="G13" i="39"/>
  <c r="G11" i="39"/>
  <c r="G10" i="39"/>
  <c r="B62" i="6"/>
  <c r="C62" i="6"/>
  <c r="E62" i="6"/>
  <c r="G52" i="39"/>
  <c r="G51" i="39"/>
  <c r="G50" i="39"/>
  <c r="G49" i="39"/>
  <c r="G48" i="39"/>
  <c r="G47" i="39"/>
  <c r="F57" i="21"/>
  <c r="F60" i="6" s="1"/>
  <c r="C60" i="6"/>
  <c r="D57" i="21"/>
  <c r="D60" i="6" s="1"/>
  <c r="G42" i="39"/>
  <c r="G41" i="39"/>
  <c r="A60" i="6"/>
  <c r="A59" i="6"/>
  <c r="B59" i="6"/>
  <c r="C59" i="6"/>
  <c r="D59" i="6"/>
  <c r="E59" i="6"/>
  <c r="B60" i="6"/>
  <c r="E60" i="6"/>
  <c r="B54" i="6"/>
  <c r="C54" i="6"/>
  <c r="D54" i="6"/>
  <c r="E54" i="6"/>
  <c r="A58" i="6"/>
  <c r="B58" i="6"/>
  <c r="C58" i="6"/>
  <c r="D58" i="6"/>
  <c r="E58" i="6"/>
  <c r="F55" i="21"/>
  <c r="F58" i="6" s="1"/>
  <c r="A57" i="6"/>
  <c r="C57" i="6"/>
  <c r="E57" i="6"/>
  <c r="F54" i="21"/>
  <c r="F57" i="6" s="1"/>
  <c r="F56" i="6"/>
  <c r="D56" i="6"/>
  <c r="C56" i="6"/>
  <c r="E56" i="6"/>
  <c r="B56" i="6"/>
  <c r="A56" i="6"/>
  <c r="D52" i="21"/>
  <c r="D89" i="21" s="1"/>
  <c r="D92" i="6" s="1"/>
  <c r="A54" i="6"/>
  <c r="F51" i="21"/>
  <c r="F54" i="6" s="1"/>
  <c r="F56" i="21"/>
  <c r="F59" i="6" s="1"/>
  <c r="F50" i="21"/>
  <c r="F53" i="6" s="1"/>
  <c r="A52" i="6"/>
  <c r="A53" i="6"/>
  <c r="B52" i="6"/>
  <c r="C52" i="6"/>
  <c r="E52" i="6"/>
  <c r="B53" i="6"/>
  <c r="C53" i="6"/>
  <c r="D53" i="6"/>
  <c r="E53" i="6"/>
  <c r="F49" i="6"/>
  <c r="B49" i="6"/>
  <c r="C49" i="6"/>
  <c r="E49" i="6"/>
  <c r="A49" i="6"/>
  <c r="F49" i="21"/>
  <c r="F52" i="6" s="1"/>
  <c r="D49" i="21"/>
  <c r="D52" i="6" s="1"/>
  <c r="D46" i="21"/>
  <c r="D49" i="6" s="1"/>
  <c r="D45" i="21"/>
  <c r="G34" i="39"/>
  <c r="I75" i="6" l="1"/>
  <c r="I82" i="6"/>
  <c r="F72" i="21"/>
  <c r="I25" i="6"/>
  <c r="I88" i="6"/>
  <c r="I74" i="6"/>
  <c r="I45" i="6"/>
  <c r="I74" i="40"/>
  <c r="D54" i="40"/>
  <c r="F49" i="40"/>
  <c r="I49" i="40" s="1"/>
  <c r="F46" i="40"/>
  <c r="I46" i="40" s="1"/>
  <c r="F48" i="40"/>
  <c r="I48" i="40" s="1"/>
  <c r="D52" i="40"/>
  <c r="F65" i="40"/>
  <c r="I65" i="40" s="1"/>
  <c r="F66" i="40"/>
  <c r="I66" i="40" s="1"/>
  <c r="F82" i="40"/>
  <c r="I82" i="40" s="1"/>
  <c r="I81" i="40" s="1"/>
  <c r="F45" i="40"/>
  <c r="I45" i="40" s="1"/>
  <c r="F44" i="40"/>
  <c r="D71" i="40"/>
  <c r="F69" i="40"/>
  <c r="I69" i="40" s="1"/>
  <c r="D72" i="40"/>
  <c r="D43" i="40"/>
  <c r="F52" i="40"/>
  <c r="D79" i="40"/>
  <c r="D44" i="40"/>
  <c r="I80" i="40"/>
  <c r="F51" i="40"/>
  <c r="I51" i="40" s="1"/>
  <c r="D58" i="40"/>
  <c r="F60" i="40"/>
  <c r="I60" i="40" s="1"/>
  <c r="I68" i="40"/>
  <c r="F72" i="40"/>
  <c r="F75" i="40"/>
  <c r="I75" i="40" s="1"/>
  <c r="F76" i="40"/>
  <c r="I76" i="40" s="1"/>
  <c r="F78" i="40"/>
  <c r="I78" i="40" s="1"/>
  <c r="F40" i="40"/>
  <c r="I40" i="40" s="1"/>
  <c r="F50" i="40"/>
  <c r="I50" i="40" s="1"/>
  <c r="F59" i="40"/>
  <c r="I59" i="40" s="1"/>
  <c r="I13" i="6"/>
  <c r="D77" i="40"/>
  <c r="F14" i="6"/>
  <c r="I14" i="6" s="1"/>
  <c r="I95" i="6"/>
  <c r="I63" i="6"/>
  <c r="I87" i="6"/>
  <c r="I80" i="6"/>
  <c r="I79" i="6"/>
  <c r="I81" i="6"/>
  <c r="I93" i="6"/>
  <c r="I91" i="6"/>
  <c r="G79" i="39"/>
  <c r="I90" i="6"/>
  <c r="I83" i="6"/>
  <c r="G71" i="39"/>
  <c r="G65" i="39"/>
  <c r="I46" i="6"/>
  <c r="G55" i="39"/>
  <c r="G8" i="39"/>
  <c r="G45" i="39"/>
  <c r="I59" i="6"/>
  <c r="G39" i="39"/>
  <c r="G37" i="39" s="1"/>
  <c r="I57" i="6"/>
  <c r="I58" i="6"/>
  <c r="I56" i="6"/>
  <c r="I54" i="6"/>
  <c r="I53" i="6"/>
  <c r="G31" i="39"/>
  <c r="G32" i="39"/>
  <c r="G26" i="39"/>
  <c r="G25" i="39"/>
  <c r="G24" i="39"/>
  <c r="G85" i="6" l="1"/>
  <c r="H85" i="6" s="1"/>
  <c r="I85" i="6" s="1"/>
  <c r="G71" i="40"/>
  <c r="H71" i="40" s="1"/>
  <c r="I71" i="40" s="1"/>
  <c r="G86" i="6"/>
  <c r="H86" i="6" s="1"/>
  <c r="I86" i="6" s="1"/>
  <c r="G72" i="40"/>
  <c r="H72" i="40" s="1"/>
  <c r="I72" i="40" s="1"/>
  <c r="G94" i="6"/>
  <c r="H94" i="6" s="1"/>
  <c r="I94" i="6" s="1"/>
  <c r="I92" i="6" s="1"/>
  <c r="G79" i="40"/>
  <c r="H79" i="40" s="1"/>
  <c r="I79" i="40" s="1"/>
  <c r="I77" i="40" s="1"/>
  <c r="G62" i="6"/>
  <c r="H62" i="6" s="1"/>
  <c r="I62" i="6" s="1"/>
  <c r="G54" i="40"/>
  <c r="H54" i="40" s="1"/>
  <c r="I54" i="40" s="1"/>
  <c r="G61" i="6"/>
  <c r="H61" i="6" s="1"/>
  <c r="I61" i="6" s="1"/>
  <c r="G53" i="40"/>
  <c r="H53" i="40" s="1"/>
  <c r="I53" i="40" s="1"/>
  <c r="G67" i="6"/>
  <c r="H67" i="6" s="1"/>
  <c r="I67" i="6" s="1"/>
  <c r="G58" i="40"/>
  <c r="H58" i="40" s="1"/>
  <c r="I58" i="40" s="1"/>
  <c r="I57" i="40" s="1"/>
  <c r="G17" i="40"/>
  <c r="H17" i="40" s="1"/>
  <c r="I17" i="40" s="1"/>
  <c r="I12" i="6"/>
  <c r="I64" i="40"/>
  <c r="G60" i="6"/>
  <c r="H60" i="6" s="1"/>
  <c r="I60" i="6" s="1"/>
  <c r="G52" i="40"/>
  <c r="H52" i="40" s="1"/>
  <c r="I52" i="40" s="1"/>
  <c r="G21" i="6"/>
  <c r="H70" i="6" s="1"/>
  <c r="I70" i="6" s="1"/>
  <c r="G29" i="39"/>
  <c r="G22" i="39"/>
  <c r="F36" i="21"/>
  <c r="F35" i="21"/>
  <c r="F25" i="21"/>
  <c r="H47" i="6"/>
  <c r="A47" i="6"/>
  <c r="B47" i="6"/>
  <c r="C47" i="6"/>
  <c r="D47" i="6"/>
  <c r="E47" i="6"/>
  <c r="F34" i="21"/>
  <c r="F40" i="21"/>
  <c r="F41" i="21"/>
  <c r="F37" i="21"/>
  <c r="F33" i="21"/>
  <c r="F30" i="40" s="1"/>
  <c r="I30" i="40" s="1"/>
  <c r="F32" i="21"/>
  <c r="F34" i="6"/>
  <c r="F41" i="6"/>
  <c r="F42" i="6"/>
  <c r="H44" i="6"/>
  <c r="A44" i="6"/>
  <c r="B44" i="6"/>
  <c r="C44" i="6"/>
  <c r="D44" i="6"/>
  <c r="E44" i="6"/>
  <c r="H42" i="6"/>
  <c r="H43" i="6"/>
  <c r="A42" i="6"/>
  <c r="A43" i="6"/>
  <c r="B42" i="6"/>
  <c r="C42" i="6"/>
  <c r="D42" i="6"/>
  <c r="E42" i="6"/>
  <c r="B43" i="6"/>
  <c r="C43" i="6"/>
  <c r="D43" i="6"/>
  <c r="E43" i="6"/>
  <c r="H41" i="6"/>
  <c r="A40" i="6"/>
  <c r="A41" i="6"/>
  <c r="B40" i="6"/>
  <c r="C40" i="6"/>
  <c r="D40" i="6"/>
  <c r="E40" i="6"/>
  <c r="B41" i="6"/>
  <c r="C41" i="6"/>
  <c r="D41" i="6"/>
  <c r="E41" i="6"/>
  <c r="H37" i="6"/>
  <c r="A37" i="6"/>
  <c r="B37" i="6"/>
  <c r="C37" i="6"/>
  <c r="D37" i="6"/>
  <c r="E37" i="6"/>
  <c r="A39" i="6"/>
  <c r="B39" i="6"/>
  <c r="C39" i="6"/>
  <c r="D39" i="6"/>
  <c r="E39" i="6"/>
  <c r="H39" i="6"/>
  <c r="H40" i="6"/>
  <c r="A35" i="6"/>
  <c r="A36" i="6"/>
  <c r="A38" i="6"/>
  <c r="A34" i="6"/>
  <c r="B35" i="6"/>
  <c r="C35" i="6"/>
  <c r="D35" i="6"/>
  <c r="E35" i="6"/>
  <c r="B36" i="6"/>
  <c r="C36" i="6"/>
  <c r="D36" i="6"/>
  <c r="E36" i="6"/>
  <c r="B38" i="6"/>
  <c r="C38" i="6"/>
  <c r="D38" i="6"/>
  <c r="E38" i="6"/>
  <c r="E34" i="6"/>
  <c r="D34" i="6"/>
  <c r="C34" i="6"/>
  <c r="B34" i="6"/>
  <c r="H38" i="6"/>
  <c r="H34" i="6"/>
  <c r="H77" i="6" s="1"/>
  <c r="I77" i="6" s="1"/>
  <c r="H35" i="6"/>
  <c r="H78" i="6" s="1"/>
  <c r="I78" i="6" s="1"/>
  <c r="H36" i="6"/>
  <c r="F24" i="21"/>
  <c r="F28" i="21"/>
  <c r="F32" i="6"/>
  <c r="H28" i="6"/>
  <c r="B28" i="6"/>
  <c r="C28" i="6"/>
  <c r="D28" i="6"/>
  <c r="E28" i="6"/>
  <c r="F24" i="6"/>
  <c r="H32" i="6"/>
  <c r="H89" i="6" s="1"/>
  <c r="I89" i="6" s="1"/>
  <c r="B32" i="6"/>
  <c r="C32" i="6"/>
  <c r="D32" i="6"/>
  <c r="E32" i="6"/>
  <c r="H24" i="6"/>
  <c r="B24" i="6"/>
  <c r="C24" i="6"/>
  <c r="D24" i="6"/>
  <c r="E24" i="6"/>
  <c r="B31" i="6"/>
  <c r="C31" i="6"/>
  <c r="D31" i="6"/>
  <c r="E31" i="6"/>
  <c r="D27" i="6"/>
  <c r="E27" i="6"/>
  <c r="C27" i="6"/>
  <c r="B27" i="6"/>
  <c r="B23" i="6"/>
  <c r="H27" i="6"/>
  <c r="H73" i="6" s="1"/>
  <c r="I73" i="6" s="1"/>
  <c r="I72" i="6" s="1"/>
  <c r="F19" i="21"/>
  <c r="E23" i="6"/>
  <c r="C23" i="6"/>
  <c r="D23" i="6"/>
  <c r="H23" i="6"/>
  <c r="H69" i="6" s="1"/>
  <c r="I69" i="6" s="1"/>
  <c r="H31" i="6"/>
  <c r="I70" i="40" l="1"/>
  <c r="I76" i="6"/>
  <c r="G49" i="6"/>
  <c r="H49" i="6" s="1"/>
  <c r="I49" i="6" s="1"/>
  <c r="G43" i="40"/>
  <c r="H43" i="40" s="1"/>
  <c r="I43" i="40" s="1"/>
  <c r="I84" i="6"/>
  <c r="I55" i="6"/>
  <c r="I47" i="40"/>
  <c r="G52" i="6"/>
  <c r="H52" i="6" s="1"/>
  <c r="I52" i="6" s="1"/>
  <c r="G44" i="40"/>
  <c r="H44" i="40" s="1"/>
  <c r="I44" i="40" s="1"/>
  <c r="F26" i="21"/>
  <c r="I56" i="40"/>
  <c r="F44" i="6"/>
  <c r="I44" i="6" s="1"/>
  <c r="F38" i="40"/>
  <c r="I38" i="40" s="1"/>
  <c r="F43" i="6"/>
  <c r="I43" i="6" s="1"/>
  <c r="F37" i="40"/>
  <c r="I37" i="40" s="1"/>
  <c r="F28" i="6"/>
  <c r="I28" i="6" s="1"/>
  <c r="F24" i="40"/>
  <c r="I24" i="40" s="1"/>
  <c r="F23" i="6"/>
  <c r="I23" i="6" s="1"/>
  <c r="F19" i="40"/>
  <c r="I19" i="40" s="1"/>
  <c r="I14" i="40" s="1"/>
  <c r="F27" i="6"/>
  <c r="I27" i="6" s="1"/>
  <c r="F23" i="40"/>
  <c r="I23" i="40" s="1"/>
  <c r="F40" i="6"/>
  <c r="I40" i="6" s="1"/>
  <c r="F34" i="40"/>
  <c r="I34" i="40" s="1"/>
  <c r="F37" i="6"/>
  <c r="I37" i="6" s="1"/>
  <c r="F31" i="40"/>
  <c r="I31" i="40" s="1"/>
  <c r="F38" i="6"/>
  <c r="I38" i="6" s="1"/>
  <c r="F32" i="40"/>
  <c r="I32" i="40" s="1"/>
  <c r="F39" i="6"/>
  <c r="I39" i="6" s="1"/>
  <c r="F33" i="40"/>
  <c r="I33" i="40" s="1"/>
  <c r="F35" i="6"/>
  <c r="I35" i="6" s="1"/>
  <c r="F29" i="40"/>
  <c r="I29" i="40" s="1"/>
  <c r="F31" i="6"/>
  <c r="I31" i="6" s="1"/>
  <c r="F25" i="40"/>
  <c r="I25" i="40" s="1"/>
  <c r="F44" i="21"/>
  <c r="F36" i="6"/>
  <c r="I36" i="6" s="1"/>
  <c r="I34" i="6"/>
  <c r="I41" i="6"/>
  <c r="I42" i="6"/>
  <c r="I24" i="6"/>
  <c r="I32" i="6"/>
  <c r="F22" i="6"/>
  <c r="B22" i="6"/>
  <c r="C22" i="6"/>
  <c r="D22" i="6"/>
  <c r="E22" i="6"/>
  <c r="H22" i="6"/>
  <c r="H68" i="6" s="1"/>
  <c r="I68" i="6" s="1"/>
  <c r="C23" i="7" l="1"/>
  <c r="K55" i="6"/>
  <c r="I42" i="40"/>
  <c r="I48" i="6"/>
  <c r="F29" i="6"/>
  <c r="F30" i="6" s="1"/>
  <c r="I30" i="6" s="1"/>
  <c r="F27" i="21"/>
  <c r="F47" i="6"/>
  <c r="I47" i="6" s="1"/>
  <c r="I33" i="6" s="1"/>
  <c r="F41" i="40"/>
  <c r="I41" i="40" s="1"/>
  <c r="I27" i="40" s="1"/>
  <c r="I22" i="40"/>
  <c r="I22" i="6"/>
  <c r="J23" i="7" l="1"/>
  <c r="J37" i="7" s="1"/>
  <c r="I23" i="7"/>
  <c r="C37" i="7"/>
  <c r="K23" i="7"/>
  <c r="I29" i="6"/>
  <c r="I26" i="6" s="1"/>
  <c r="I13" i="40"/>
  <c r="I84" i="40" s="1"/>
  <c r="F19" i="6"/>
  <c r="C6" i="28"/>
  <c r="J36" i="7" l="1"/>
  <c r="E36" i="7"/>
  <c r="D36" i="7"/>
  <c r="L36" i="7"/>
  <c r="G36" i="7"/>
  <c r="H36" i="7"/>
  <c r="K79" i="40"/>
  <c r="K84" i="40"/>
  <c r="K81" i="40"/>
  <c r="E102" i="6"/>
  <c r="F101" i="6"/>
  <c r="H21" i="6"/>
  <c r="B21" i="6"/>
  <c r="C21" i="6"/>
  <c r="D21" i="6"/>
  <c r="E21" i="6"/>
  <c r="F21" i="6"/>
  <c r="I21" i="6" l="1"/>
  <c r="H9" i="27"/>
  <c r="G9" i="27"/>
  <c r="F9" i="27"/>
  <c r="F43" i="7" l="1"/>
  <c r="H9" i="38" l="1"/>
  <c r="H10" i="38"/>
  <c r="H11" i="38"/>
  <c r="H12" i="38"/>
  <c r="H8" i="38"/>
  <c r="H13" i="38" s="1"/>
  <c r="I9" i="27"/>
  <c r="I15" i="27" l="1"/>
  <c r="I16" i="27"/>
  <c r="I17" i="27"/>
  <c r="I19" i="27"/>
  <c r="I18" i="27"/>
  <c r="H20" i="6" l="1"/>
  <c r="H66" i="6" s="1"/>
  <c r="I66" i="6" s="1"/>
  <c r="E20" i="6"/>
  <c r="D20" i="6"/>
  <c r="C20" i="6"/>
  <c r="B20" i="6"/>
  <c r="H19" i="6"/>
  <c r="I65" i="6" l="1"/>
  <c r="I64" i="6" s="1"/>
  <c r="F20" i="6"/>
  <c r="I20" i="6" s="1"/>
  <c r="E14" i="27" l="1"/>
  <c r="J9" i="27"/>
  <c r="H14" i="27" s="1"/>
  <c r="I14" i="27" s="1"/>
  <c r="H14" i="25" l="1"/>
  <c r="H13" i="25"/>
  <c r="H14" i="31"/>
  <c r="H13" i="31"/>
  <c r="F12" i="25"/>
  <c r="H12" i="25" s="1"/>
  <c r="F10" i="25"/>
  <c r="H10" i="25" s="1"/>
  <c r="F12" i="31"/>
  <c r="H12" i="31" s="1"/>
  <c r="F11" i="31"/>
  <c r="H11" i="31" s="1"/>
  <c r="F10" i="31"/>
  <c r="H10" i="31" s="1"/>
  <c r="F8" i="31"/>
  <c r="H8" i="31" s="1"/>
  <c r="F8" i="25"/>
  <c r="H8" i="25" s="1"/>
  <c r="F11" i="25"/>
  <c r="H11" i="25" s="1"/>
  <c r="F9" i="31"/>
  <c r="H9" i="31" s="1"/>
  <c r="H15" i="31" l="1"/>
  <c r="F9" i="25" l="1"/>
  <c r="H9" i="25" s="1"/>
  <c r="A26" i="6"/>
  <c r="A16" i="7" s="1"/>
  <c r="D26" i="6"/>
  <c r="B16" i="7" s="1"/>
  <c r="F14" i="27" l="1"/>
  <c r="D14" i="27"/>
  <c r="G6" i="28"/>
  <c r="I20" i="27" l="1"/>
  <c r="H15" i="25" l="1"/>
  <c r="I10" i="24" l="1"/>
  <c r="I9" i="24"/>
  <c r="I11" i="24" l="1"/>
  <c r="A33" i="6"/>
  <c r="A18" i="7" s="1"/>
  <c r="D33" i="6"/>
  <c r="B18" i="7" s="1"/>
  <c r="L35" i="7" l="1"/>
  <c r="B19" i="6" l="1"/>
  <c r="C19" i="6"/>
  <c r="D19" i="6"/>
  <c r="E19" i="6"/>
  <c r="I19" i="6"/>
  <c r="I18" i="6" s="1"/>
  <c r="D18" i="6"/>
  <c r="B14" i="7" s="1"/>
  <c r="A14" i="7"/>
  <c r="I37" i="7" l="1"/>
  <c r="I36" i="7" s="1"/>
  <c r="K37" i="7"/>
  <c r="K36" i="7" s="1"/>
  <c r="F37" i="7"/>
  <c r="F36" i="7" s="1"/>
  <c r="E19" i="7"/>
  <c r="I9" i="22"/>
  <c r="I10" i="22"/>
  <c r="I11" i="22" l="1"/>
  <c r="A6" i="7" l="1"/>
  <c r="E5" i="6" l="1"/>
  <c r="J6" i="7" l="1"/>
  <c r="A7" i="6" l="1"/>
  <c r="A6" i="6"/>
  <c r="A5" i="6"/>
  <c r="A1" i="28" s="1"/>
  <c r="A7" i="7"/>
  <c r="A2" i="28" l="1"/>
  <c r="A2" i="39"/>
  <c r="A3" i="28"/>
  <c r="A4" i="39"/>
  <c r="A5" i="7"/>
  <c r="D17" i="7" l="1"/>
  <c r="D15" i="7" l="1"/>
  <c r="I17" i="6" l="1"/>
  <c r="I96" i="6" s="1"/>
  <c r="C32" i="7"/>
  <c r="K7" i="6" l="1"/>
  <c r="K5" i="7"/>
  <c r="C26" i="7"/>
  <c r="C20" i="7"/>
  <c r="C22" i="7"/>
  <c r="C18" i="7"/>
  <c r="C10" i="7"/>
  <c r="K96" i="6"/>
  <c r="K98" i="6"/>
  <c r="C16" i="7"/>
  <c r="C30" i="7"/>
  <c r="C14" i="7"/>
  <c r="C28" i="7"/>
  <c r="K12" i="6"/>
  <c r="C34" i="7"/>
  <c r="C36"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Priscila</author>
  </authors>
  <commentList>
    <comment ref="J7" authorId="0" shapeId="0" xr:uid="{00000000-0006-0000-0100-000001000000}">
      <text>
        <r>
          <rPr>
            <b/>
            <sz val="9"/>
            <color indexed="81"/>
            <rFont val="Segoe UI"/>
            <family val="2"/>
          </rPr>
          <t>Priscila:</t>
        </r>
        <r>
          <rPr>
            <sz val="9"/>
            <color indexed="81"/>
            <rFont val="Segoe UI"/>
            <family val="2"/>
          </rPr>
          <t xml:space="preserve">
</t>
        </r>
      </text>
    </comment>
  </commentList>
</comments>
</file>

<file path=xl/sharedStrings.xml><?xml version="1.0" encoding="utf-8"?>
<sst xmlns="http://schemas.openxmlformats.org/spreadsheetml/2006/main" count="1130" uniqueCount="436">
  <si>
    <t>ITEM</t>
  </si>
  <si>
    <t>DESCRIÇÃO</t>
  </si>
  <si>
    <t>CÓDIGO</t>
  </si>
  <si>
    <t>DIRETA</t>
  </si>
  <si>
    <t>INDIRETA</t>
  </si>
  <si>
    <t>(    )</t>
  </si>
  <si>
    <t>UND.</t>
  </si>
  <si>
    <t>QUANT.</t>
  </si>
  <si>
    <t>TOTAL</t>
  </si>
  <si>
    <t>FONTE</t>
  </si>
  <si>
    <t>VALOR TOTAL:</t>
  </si>
  <si>
    <t>2.1</t>
  </si>
  <si>
    <t>(  X  )</t>
  </si>
  <si>
    <t>UNITÁRIO
 S/ BDI</t>
  </si>
  <si>
    <t>UNITÁRIO
C/ BDI</t>
  </si>
  <si>
    <t>FÓRMULA/MEMÓRIA</t>
  </si>
  <si>
    <t>MÊS 01</t>
  </si>
  <si>
    <t>MÊS 02</t>
  </si>
  <si>
    <t>MÊS 03</t>
  </si>
  <si>
    <t>___________________________________________________</t>
  </si>
  <si>
    <t>-</t>
  </si>
  <si>
    <t>SEINFRA</t>
  </si>
  <si>
    <t>A EXECUTAR</t>
  </si>
  <si>
    <t>FÍSICO/
FINANCEIRO</t>
  </si>
  <si>
    <t xml:space="preserve">SERVIÇOS PRELIMINARES </t>
  </si>
  <si>
    <t>PLANILHA ORÇAMENTÁRIA DE CUSTOS</t>
  </si>
  <si>
    <t>MEMÓRIA DE CÁLCULO DE QUANTITATIVOS</t>
  </si>
  <si>
    <t xml:space="preserve">M2 </t>
  </si>
  <si>
    <t>TIPO</t>
  </si>
  <si>
    <t>UNIDADE</t>
  </si>
  <si>
    <t>ÍNDICE</t>
  </si>
  <si>
    <t>UNIT. (R$)</t>
  </si>
  <si>
    <t>MAT.</t>
  </si>
  <si>
    <t>SER.CG</t>
  </si>
  <si>
    <t>SERVENTE COM ENCARGOS COMPLEMENTARES</t>
  </si>
  <si>
    <t>H</t>
  </si>
  <si>
    <t>PEDREIRO COM ENCARGOS COMPLEMENTARES</t>
  </si>
  <si>
    <t>ED-50367</t>
  </si>
  <si>
    <t>ED-50381</t>
  </si>
  <si>
    <t>M3</t>
  </si>
  <si>
    <t>CRONOGRAMA FÍSICO-FINANCEIRO</t>
  </si>
  <si>
    <t>PREFEITURA MUNICIPAL DE SENHORA DOS REMÉDIOS</t>
  </si>
  <si>
    <t>LOCAL: ALAMEDA PADRE JOSÉ DUARTE, PALMITAL DOS CARVALHOS, SENHORA DOS REMÉDIOS/MG</t>
  </si>
  <si>
    <t>OBRA: REFORMA DA PRAÇA SÃO SEBASTIÃO</t>
  </si>
  <si>
    <t>REMOÇÕES E DEMOLIÇÕES</t>
  </si>
  <si>
    <t>COMPOSIÇÃO 1: REMOÇÃO DE PAVIMENTO POLIÉDRICO, INCLUSIVE AFASTAMENTO</t>
  </si>
  <si>
    <t xml:space="preserve">M3 </t>
  </si>
  <si>
    <t>TERRA VEGETAL (GRANEL)</t>
  </si>
  <si>
    <t>1 placa conforme padrão estabelecido</t>
  </si>
  <si>
    <t>Priscila Cristina De Paula Neto</t>
  </si>
  <si>
    <r>
      <t>Engenheira Civil - CREA/MG n</t>
    </r>
    <r>
      <rPr>
        <sz val="10"/>
        <rFont val="Calibri"/>
        <family val="2"/>
      </rPr>
      <t>º</t>
    </r>
    <r>
      <rPr>
        <sz val="10"/>
        <rFont val="Arial"/>
        <family val="2"/>
      </rPr>
      <t xml:space="preserve"> 142702/D</t>
    </r>
  </si>
  <si>
    <t xml:space="preserve">FORMA DE 
EXECUÇÃO: </t>
  </si>
  <si>
    <t>DEMOLIÇÃO DE CONCRETO SIMPLES-MANUAL, INCLUSIVE AFASTAMENTO</t>
  </si>
  <si>
    <t>C.C</t>
  </si>
  <si>
    <t>ED-51142</t>
  </si>
  <si>
    <t>REMOÇÃO E REASSENTAMENTO DE MEIO-FIO PRÉ-MOLDADO DE CONCRETO COM REAPROVEITAMENTO</t>
  </si>
  <si>
    <t>M</t>
  </si>
  <si>
    <t>ED-48440</t>
  </si>
  <si>
    <t>ED-51107</t>
  </si>
  <si>
    <t>ESCAVAÇÃO MANUAL DE VALAS H &lt;= 1,50 M</t>
  </si>
  <si>
    <t>ED-49787</t>
  </si>
  <si>
    <t>FORNECIMENTO DE CONCRETO ESTRUTURAL, PREPARADO EM OBRA COM BETONEIRA, COM FCK 25 MPA, INCLUSIVE LANÇAMENTO, ADENSAMENTO E ACABAMENTO (FUNDAÇÃO)</t>
  </si>
  <si>
    <t>ED-15226</t>
  </si>
  <si>
    <t>PISO PODOTÁTIL DE CONCRETO, ALERTA, APLICADO EM PISO (20X20CM) COM JUNTA SECA, COR VERMELHO/ AMARELO, ASSENTAMENTO COM ARGAMASSA INDUSTRIALIZADA, INCLUSIVE FORNECIMENTO E INSTALAÇÃO</t>
  </si>
  <si>
    <t>M2</t>
  </si>
  <si>
    <t>UNID.</t>
  </si>
  <si>
    <t>DESCRIÇÃO DO SERVIÇO OU FORNECIMENTO</t>
  </si>
  <si>
    <t>DATA BASE</t>
  </si>
  <si>
    <t>PREÇO REFERENCIAL</t>
  </si>
  <si>
    <t>001</t>
  </si>
  <si>
    <t>CNPJ</t>
  </si>
  <si>
    <t>NOME DA EMPRESA FORNECEDORA</t>
  </si>
  <si>
    <t>TELEFONE</t>
  </si>
  <si>
    <t>CONTATO</t>
  </si>
  <si>
    <t>DATA COTAÇÃO</t>
  </si>
  <si>
    <t>PREÇO COTADO</t>
  </si>
  <si>
    <t>ESPECIFICAÇÃO TÉCNICA:</t>
  </si>
  <si>
    <t>COTAÇÃO</t>
  </si>
  <si>
    <t>ED-49784</t>
  </si>
  <si>
    <t>FORNECIMENTO DE CONCRETO NÃO ESTRUTURAL, PREPARADO EM OBRA COM BETONEIRA, COM FCK 15 MPA, INCLUSIVE LANÇAMENTO, ADENSAMENTO E ACABAMENTO (FUNDAÇÃO)</t>
  </si>
  <si>
    <t>ED-51125</t>
  </si>
  <si>
    <t>TRANSPORTE DE MATERIAL DEMOLIDO EM CAÇAMBA</t>
  </si>
  <si>
    <t>???</t>
  </si>
  <si>
    <t>COMPOSIÇÃO:</t>
  </si>
  <si>
    <t>URB-RAM-005</t>
  </si>
  <si>
    <t xml:space="preserve">RAMPA PARA ACESSO DE DEFICIENTE, EM CONCRETO SIMPLES FCK = 25 MPA, DESEMPENADA, COM PINTURA INDICATIVA, 02 DEMÃOS </t>
  </si>
  <si>
    <t xml:space="preserve">UN </t>
  </si>
  <si>
    <t>DEM-CON-005</t>
  </si>
  <si>
    <t>FUN-CON-050</t>
  </si>
  <si>
    <t>FORNECIMENTO E LANÇAMENTO DE CONCRETO ESTRUTURAL VIRADO EM OBRA FCK &gt;= 25 MPA, BRITA 1 E 2</t>
  </si>
  <si>
    <t>MAO-AJD-040</t>
  </si>
  <si>
    <t>MAO-OFC-075</t>
  </si>
  <si>
    <t>PIN-ACR-025</t>
  </si>
  <si>
    <t>PINTURA ACRÍLICA SOBRE PISOS CIMENTADOS</t>
  </si>
  <si>
    <t>TER-ESC-035</t>
  </si>
  <si>
    <t>URB-MFC-020</t>
  </si>
  <si>
    <t>URB-PAS-015</t>
  </si>
  <si>
    <t>LANÇAMENTO E ESPALHAMENTO DE SOLO EM ÁREA DE PASSEIO</t>
  </si>
  <si>
    <t>SERV.</t>
  </si>
  <si>
    <t>COTAÇÕES</t>
  </si>
  <si>
    <t>EMPRESA / CNPJ</t>
  </si>
  <si>
    <t>MÉDIA</t>
  </si>
  <si>
    <t>PREÇO
ADOTADO</t>
  </si>
  <si>
    <t>BANCO EM CONCRETO COM ENCOSTO COMP. 1,50M X 0,40M X 0,45M</t>
  </si>
  <si>
    <t>___________________________________________</t>
  </si>
  <si>
    <r>
      <rPr>
        <sz val="6"/>
        <rFont val="Arial"/>
        <family val="2"/>
      </rPr>
      <t>FELIPE G V MONTEIRO COMÉRCIO DE BRINQUEDOS E CIMENTÍCIOS EPP</t>
    </r>
    <r>
      <rPr>
        <b/>
        <sz val="6"/>
        <rFont val="Arial"/>
        <family val="2"/>
      </rPr>
      <t xml:space="preserve">
31.873.202/0001-71</t>
    </r>
  </si>
  <si>
    <r>
      <rPr>
        <sz val="6"/>
        <rFont val="Arial"/>
        <family val="2"/>
      </rPr>
      <t>MESA E CIA - MARMORITES NUNES LTDA</t>
    </r>
    <r>
      <rPr>
        <b/>
        <sz val="6"/>
        <rFont val="Arial"/>
        <family val="2"/>
      </rPr>
      <t xml:space="preserve">
03.700.680/0001-44</t>
    </r>
  </si>
  <si>
    <r>
      <rPr>
        <sz val="6"/>
        <rFont val="Arial"/>
        <family val="2"/>
      </rPr>
      <t>FABRICA DE PRÉ MOLDADOS SÃO MARCOS</t>
    </r>
    <r>
      <rPr>
        <b/>
        <sz val="6"/>
        <rFont val="Arial"/>
        <family val="2"/>
      </rPr>
      <t xml:space="preserve">
60.771.177/0001-13</t>
    </r>
  </si>
  <si>
    <t>Análise SEINFRA</t>
  </si>
  <si>
    <t>Observações SEINFRA</t>
  </si>
  <si>
    <t>Correções</t>
  </si>
  <si>
    <t>Favor alterar a indicação da área total nos selos dos desenhos/formatos para congruência com a memória de cálculo. Também alterar no selo a data da revisão do projeto.</t>
  </si>
  <si>
    <t>SINAPI</t>
  </si>
  <si>
    <t>COMPOSIÇÃO 3: RAMPA PARA ACESSO DE PNE, EM CONCRETO SIMPLES FCK=25 MPA, DESEMPENADA, COM PISO TÁTIL - MOD. 01 (CONFORME PROJETO)</t>
  </si>
  <si>
    <t>COMPOSIÇÃO 4: RAMPA PARA ACESSO DE PNE, EM CONCRETO SIMPLES FCK=25 MPA, DESEMPENADA, COM PISO TÁTIL - MOD. 02 (CONFORME PROJETO)</t>
  </si>
  <si>
    <t>COMPOSIÇÃO 5: TERRA VEGETAL - FORNECIMENTO, CARGA MANUAL E APLICAÇÃO EM CANTEIRO</t>
  </si>
  <si>
    <t>COMPOSIÇÃO 6: BANCO EM CONCRETO APARENTE, COM ENCOSTO, POLIDO, COMPRIMENTO 150CM, LARGURA 40CM, ALTURA 45CM, INCLUSIVE CORTE NO PISO PARA FIXAÇÃO COM CONCRETO NÃO ESTRUTURAL, PREPARADO EM OBRA COM BETONEIRA, COM FCK 15 MPA E FORNECIMENTO</t>
  </si>
  <si>
    <t>COMPOSIÇÃO 2: ESCORAMENTO PARA LAJE PRÉ MOLDADAS EM TABUAS DE PINHO, INCLUSIVE RETIRADA</t>
  </si>
  <si>
    <t>MATED-11344</t>
  </si>
  <si>
    <t>PONTALETE 3A.CONSTRUÇÃO (SEÇÃO TRANSVERSAL: 3"X 3" - 7, 5X7,5CM / TIPO DE MADEIRA: CEDRO)</t>
  </si>
  <si>
    <t>PREGO 18X30 COM CABEÇA (COMPRIMENTO: 69,0 MM|DIÂMETRO: 3,4 MM| QUANTIDADE POR QUILO:203)</t>
  </si>
  <si>
    <t xml:space="preserve">MATED-11332 </t>
  </si>
  <si>
    <t>TÁBUA 3A. CONSTRUÇÃO (SEÇÃO TRANSVERSAL:1X12 " / TIPO DE MADEIRA:CEDRINHO)</t>
  </si>
  <si>
    <t xml:space="preserve">MATED-11354 </t>
  </si>
  <si>
    <t>KG</t>
  </si>
  <si>
    <t>CARPINTEIRO DE FORMA COM ENCARGOS COMPLEMENTARES</t>
  </si>
  <si>
    <t>ED-50372</t>
  </si>
  <si>
    <t>PREFEITURA MUNICIPAL DE BOM JARDIM DE MINAS</t>
  </si>
  <si>
    <t>ED-16660</t>
  </si>
  <si>
    <t>FORNECIMENTO E COLOCAÇÃO DE PLACA DE OBRA EM CHAPA GALVANIZADA #26, ESP. 0,45 MM, PLOTADA COM ADESIVO VINÍLICO, AFIXADA COM REBITES 4,8X40 MM, EM ESTRUTURA METÁLICA DE METALON 20X20 MM, ESP. 1,25 MM, INCLUSIVE SUPORTE EM EUCALIPTO AUTOCLAVADO PINTADO COM TINTA PVA DUAS (2) DEMÃOS</t>
  </si>
  <si>
    <t>ED-50150</t>
  </si>
  <si>
    <t>LIGAÇÃO DE ÁGUA PROVISÓRIA PARA CANTEIRO, INCLUSIVE HIDRÔMETRO E CAVALETE PARA MEDIÇÃO DE ÁGUA - ENTRADA PRINCIPAL, EM AÇO GALVANIZADO DN 20MM (1/2") - PADRÃO CONCESSIONÁRIA</t>
  </si>
  <si>
    <t>1 UNID.</t>
  </si>
  <si>
    <t>Prefeito Municipal de Bom Jardim de Minas</t>
  </si>
  <si>
    <t>ISS
5,00%</t>
  </si>
  <si>
    <t xml:space="preserve">José Francisco Matos e Silva </t>
  </si>
  <si>
    <t>CHP</t>
  </si>
  <si>
    <t>SERVIÇOS COMPLEMENTARES</t>
  </si>
  <si>
    <t>17.027.669/0001-70</t>
  </si>
  <si>
    <t>OSMAR</t>
  </si>
  <si>
    <t>ATACADÃO DO CIMENTO DISTRIBUICÃO LTDA</t>
  </si>
  <si>
    <t>(32) 3235-0074</t>
  </si>
  <si>
    <t>14.072.798/0016-78</t>
  </si>
  <si>
    <t>NL TINTAS E FERRAGENS LTDA</t>
  </si>
  <si>
    <t>(32)35127397</t>
  </si>
  <si>
    <t>JOAQUIM</t>
  </si>
  <si>
    <t>FABRICIO</t>
  </si>
  <si>
    <t>20.452.157/0001-65</t>
  </si>
  <si>
    <t>MENDES E MENDES</t>
  </si>
  <si>
    <t>(32) 3250-2250</t>
  </si>
  <si>
    <t xml:space="preserve">BDI SERVIÇO = </t>
  </si>
  <si>
    <t>Prefeito municipal</t>
  </si>
  <si>
    <t xml:space="preserve">Adotado BDI "CONSTRUÇÃO DE EDIFÍCIOS" da planilha de preços SEINFRA/REGIÃO LESTE JANEIRO/2025 COM DESONERAÇÃO </t>
  </si>
  <si>
    <t xml:space="preserve">ED-50128 </t>
  </si>
  <si>
    <t>BARRACÃO DE OBRA PARA DEPÓSITO E FERRAMENTARIA TIPO-I, ÁREA INTERNA 14,52M2, EM CHAPA DE COMPENSADO RESINADO, INCLUSIVE MOBILIÁRIO (OBRA DE PEQUENO PORTE, EFETIVO ATÉ 30 HOMENS), PADRÃO DER-MG</t>
  </si>
  <si>
    <t xml:space="preserve">ED-50703  </t>
  </si>
  <si>
    <t>LIMPEZA DE TERRENO, INCLUSIVE CAPINA, RASTELAMENTO COM AFASTAMENTO ATÉ VINTE (20) METROS E QUEIMA CONTROLADA</t>
  </si>
  <si>
    <t>M²</t>
  </si>
  <si>
    <t>2 X ((8 X 16) - (7,25 - 4))</t>
  </si>
  <si>
    <t>M³</t>
  </si>
  <si>
    <t>SICRO</t>
  </si>
  <si>
    <t>2.2</t>
  </si>
  <si>
    <t>2.3</t>
  </si>
  <si>
    <t xml:space="preserve">ED-29823 </t>
  </si>
  <si>
    <t>TAPUME FIXO DE PROTEÇÃO PARA FECHAMENTO DE OBRA EM TELHA METÁLICA GALVANIZADA, TIPO TRAPEZOIDAL, ESP. 0,5MM, COM MÓDULO NA DIMENSÃO DE (300X220)CM, COM REAPROVEITAMENTO, EXCLUSIVE PINTURA ESMALTE, INCLUSIVE PONTALETE E FIXAÇÃO</t>
  </si>
  <si>
    <t>GUINDAUTO HIDRÁULICO, CAPACIDADE MÁXIMA DE CARGA 6200 KG, MOMENTO MÁXIMO DE CARGA 11,7 TM, ALCANCE MÁXIMO HORIZONTAL 9,70 M, INCLUSIVE CAMINHÃO TOCO PBT 16.000 KG, POTÊNCIA DE 189 CV - CHP DIURNO. AF_06/2014</t>
  </si>
  <si>
    <t>2.4</t>
  </si>
  <si>
    <t>INFRAESTRUTURA E MESOESTRUTURA</t>
  </si>
  <si>
    <t>DEMOLIÇÃO DE PISO DE CONCRETO SIMPLES, DE FORMA MANUAL, SEM REAPROVEITAMENTO. AF_09/2023</t>
  </si>
  <si>
    <t>ESGOTAMENTO DE ÁGUA COM BOMBA SUBMERSA</t>
  </si>
  <si>
    <t>ENSECADEIRA INCLUSIVE RETIRADA DO MADEIRAMENTO , PAREDE SIMPLES</t>
  </si>
  <si>
    <t xml:space="preserve">ED-50422 </t>
  </si>
  <si>
    <t>ESCAVAÇÃO MANUAL PARA BLOCO DE COROAMENTO OU SAPATA (INCLUINDO ESCAVAÇÃO PARA COLOCAÇÃO DE FÔRMAS). AF_01/2024</t>
  </si>
  <si>
    <t xml:space="preserve">ED-49812 </t>
  </si>
  <si>
    <t>LASTRO DE CONCRETO MAGRO, INCLUSIVE TRANSPORTE, LANÇAMENTO E ADENSAMENTO</t>
  </si>
  <si>
    <t xml:space="preserve">ED-49810 </t>
  </si>
  <si>
    <t>FÔRMA E DESFORMA PARA VIGA-CINTA/BLOCO COM TÁBUA E SARRAFO, REAPROVEITAMENTO (3X) (FUNDAÇÃO)</t>
  </si>
  <si>
    <t>ESTACA BROCA DE CONCRETO, DIÂMETRO DE 30CM, ESCAVAÇÃO MANUAL COM TRADO CONCHA, COM ARMADURA DE ARRANQUE. AF_05/2020</t>
  </si>
  <si>
    <t>CONCRETAGEM DE BLOCO DE COROAMENTO OU VIGA BALDRAME, FCK 30 MPA, COM USO DE BOMBA - LANÇAMENTO, ADENSAMENTO E ACABAMENTO. AF_01/2024</t>
  </si>
  <si>
    <t xml:space="preserve">ED-15690 </t>
  </si>
  <si>
    <t>FÔRMA E DESFORMA PARA CORTINA DE CONCRETO OU PAREDE ESTRUTURAL (VIGA-PAREDE), ALTURA MÁXIMA DE 360CM, COM CHAPA DE COMPENSADO PLASTIFICADO, ESP. 18MM, REAPROVEITAMENTO (3X), INCLUSIVE TRAVAMENTO COM TIRANTES EM ARAME E ESCORA PARA PRUMO EM MADEIRA</t>
  </si>
  <si>
    <t>MONTAGEM E DESMONTAGEM DE FÔRMA DE PILARES RETANGULARES E ESTRUTURAS SIMILARES, PÉ-DIREITO DUPLO, EM CHAPA DE MADEIRA COMPENSADA RESINADA, 2 UTILIZAÇÕES. AF_09/2020</t>
  </si>
  <si>
    <t>CONCRETAGEM DE PILARES, FCK = 25 MPA, COM USO DE BOMBA -LANÇAMENTO, ADENSAMENTO E ACABAMENTO. AF_02/2022_PS</t>
  </si>
  <si>
    <t>CONCRETAGEM DE CORTINA DE CONTENÇÃO, ATRAVÉS DE BOMBA - LANÇAMENTO, ADENSAMENTO E ACABAMENTO. AF_11/2024</t>
  </si>
  <si>
    <t>Prazo de escavação e concretagem das fundações, sendo este 3 semanas = (5 dias/semana x 3,00 semana) x 8hs/dia = 120h</t>
  </si>
  <si>
    <t>77,44 (sapatas) + 85,14 (alas)</t>
  </si>
  <si>
    <t>Considerado 3 estacas em cada muro, parte frontal, cada uma com 5m de profundidade = 4 alas x 3 nº estacas x 5 prof. = 60m</t>
  </si>
  <si>
    <t>REATERRO MANUAL DE VALAS, COM PLACA VIBRATÓRIA. AF_08/2023</t>
  </si>
  <si>
    <t>Considerado 0,05m sob cada sapata e ala = [(3,40 x 3,40 x 2,00) + (3,00 x 1,80 x 2,00) + (9,52+10,62+10,14+12,29)] x 0,05</t>
  </si>
  <si>
    <t>Vol. escavação - (vol. Concreto sapatas + volume de concreto para subir os pilares até o nível do chão, (h=1m)+ volume de concreto para subir as paredes das alas até o nível do chão, (h=1,5m))</t>
  </si>
  <si>
    <t>SUPERESTRUTURA</t>
  </si>
  <si>
    <t>COMP. 01</t>
  </si>
  <si>
    <t>DESCRIÇÃO DO INSUMO</t>
  </si>
  <si>
    <t>COEFICIENTE</t>
  </si>
  <si>
    <t>CUSTO UNITÁRIO</t>
  </si>
  <si>
    <t>CUSTO TOTAL</t>
  </si>
  <si>
    <t>COMP. 02</t>
  </si>
  <si>
    <t>002</t>
  </si>
  <si>
    <t>COMPOSIÇÃO DE CUSTO UNITÁRIO</t>
  </si>
  <si>
    <t>REGIÃO/MÊS DE REFERÊNCIA: SEINFRA "CONSTRUÇÃO DE EDIFÍCIOS" - REGIÃO LESTE COM DESONERAÇÃO JANEIRO/2025, SINAPI MG DEZEMBRO/2024 DESONERADO</t>
  </si>
  <si>
    <t>FORNECIMENTO E MONTAGEM DE ESTRUTURA EM AÇO ASTM-A36/A572 GRAU 50, SEM PINTURA</t>
  </si>
  <si>
    <t>01/2025
12/2024</t>
  </si>
  <si>
    <t>SEINFRA / SINAPI</t>
  </si>
  <si>
    <t xml:space="preserve">VIGA METÁLICA EM PERFIL LAMINADO OU SOLDADO EM AÇO ESTRUTURAL, COM CONEXÕES SOLDADAS, INCLUSOS MÃO DE OBRA, TRANSPORTE E IÇAMENTO UTILIZANDO GUINDASTE - FORNECIMENTO E INSTALAÇÃO. </t>
  </si>
  <si>
    <t>CONTRAVENTAMENTO COM CANTONEIRAS DE AÇO, ABAS IGUAIS, COM CONEXÕES PARAFUSADAS, INCLUSOS MÃO DE OBRA, TRANSPORTE E IÇAMENTO UTILIZANDO GUINDASTE, PARA EDIFÍCIOS DE 3 A 5 PAVIMENTOS - FORNECIMENTO E INSTALAÇÃO.</t>
  </si>
  <si>
    <t>CHAPA DE ACO GROSSA, ASTM A36, E = 1/2" (12,70 MM) 99,59 KG/M2 CR</t>
  </si>
  <si>
    <t xml:space="preserve"> KG</t>
  </si>
  <si>
    <t>SINAPI-I</t>
  </si>
  <si>
    <t>VB</t>
  </si>
  <si>
    <t xml:space="preserve">LAJE MACIÇA COM FORMA STEEL DECK, FORNECIMENTO E EXECUÇÃO, INCLUSO CONCRETAGEM, FORMAS (STEEL DECK) E ARMAÇÃO </t>
  </si>
  <si>
    <t>ARMAÇÃO DE LAJE DE ESTRUTURA CONVENCIONAL DE CONCRETO ARMADO UTILIZANDO AÇO CA-50 DE 8,0 MM - MONTAGEM. AF_06/2022</t>
  </si>
  <si>
    <t xml:space="preserve">RO-00545 </t>
  </si>
  <si>
    <t>TRELIÇA NERVURADA COM TRÊS BARRAS LONGITUDINAIS INTERLIGADAS POR DUAS DIAGONAIS SINUSOIDAL - FORNECIMENTO E INSTALAÇÃO</t>
  </si>
  <si>
    <t xml:space="preserve">ED-49639 </t>
  </si>
  <si>
    <t>FORNECIMENTO DE CONCRETO ESTRUTURAL, USINADO BOMBEADO, COM FCK 30MPA, INCLUSIVE LANÇAMENTO, ADENSAMENTO E ACABAMENTO</t>
  </si>
  <si>
    <t>CHAPA EM ACO GALVANIZADO PARA STEEL DECK, COM NERVURAS TRAPEZOIDAIS, LARGURA UTIL DE 915 MM E ESPESSURA DE 0,95 MM</t>
  </si>
  <si>
    <t>GUINDASTE HIDRÁULICO AUTOPROPELIDO, COM LANÇA TELESCÓPICA 28,80 M, CAPACIDADE MÁXIMA 30 T, POTÊNCIA 97 KW, TRAÇÃO 4 X 4 - CHP DIURNO. AF_11/2014</t>
  </si>
  <si>
    <t>COMP.</t>
  </si>
  <si>
    <t>10,4 x 24,9 &gt; ÁREA DE LAJE</t>
  </si>
  <si>
    <t>Conforme projeto estrutural</t>
  </si>
  <si>
    <t>Considerado o prazo da montagem da estrutura, sendo este 2 semanas. Portanto: 5 (dias) x 2 (semana) x 8 (h/dia)</t>
  </si>
  <si>
    <t>GUARDA-CORPO DE AÇO GALVANIZADO DE 1,10M, MONTANTES TUBULARES DE 1.1/4 " ESPAÇADOS DE 1,20M, TRAVESSA SUPERIOR DE 1.1/2", GRADIL FORMADO POR TUBOS HORIZONTAIS DE 1" E VERTICAIS DE 3/4", FIXADO COM CHUMBADOR MECÂNICO. AF_04/2019_PS</t>
  </si>
  <si>
    <t>[(31,15 + 24,90) x 1,00] + [(24,90 + 37,12) x 1,00] &gt; Extensão da ponte x lados</t>
  </si>
  <si>
    <t>APARELHO DE APOIO DE NEOPRENE FRETADO PARA ESTRUTURAS PRÉ-MOLDADAS - FORNECIMENTO E INSTALAÇÃO</t>
  </si>
  <si>
    <t>(0,30 x 0,25 x 0,031)&gt; Volume por unid. = 0,002325 m3 
24 unid. &gt; Quant.
1m³ = 1000dm³
logo = (0,30 x 0,25 x 0,031) x 24 x 1000</t>
  </si>
  <si>
    <t>49,78 + 52,65 &gt; Áreas indicadas em projeto</t>
  </si>
  <si>
    <t>ASSENTAMENTO DE GUIA (MEIO-FIO) EM TRECHO RETO, CONFECCIONADA EM CONCRETO PRÉ-FABRICADO, DIMENSÕES 100X15X13X30 CM (COMPRIMENTO X BASE INFERIOR X BASE SUPERIOR X ALTURA). AF_01/2024</t>
  </si>
  <si>
    <t>6,24 + 4,40 + 6,64+ 6,53 &gt; Divisa da calçada em concreto e piso em intertravado (extensão)</t>
  </si>
  <si>
    <t>COMP. 03</t>
  </si>
  <si>
    <t xml:space="preserve">ED-50532 </t>
  </si>
  <si>
    <t>PINTURA COM FUNDO ANTICORROSIVO (ZARCÃO) EM ESQUADRIA E SUPERFÍCIE METÁLICA, UMA (1) DEMÃO, INCLUSIVE PREPARAÇÃO DA SUPERFÍCIE COM LIXAMENTO</t>
  </si>
  <si>
    <t>PINTURA COM TINTA ALQUÍDICA DE ACABAMENTO (ESMALTE SINTÉTICO BRILHANTE) PULVERIZADA SOBRE SUPERFÍCIES METÁLICAS (EXCETO PERFIL) EXECUTADO EM OBRA (POR DEMÃO). AF_01/2020_PE</t>
  </si>
  <si>
    <t>ELETRODO REVESTIDO AWS - E7018, DIAMETRO IGUAL A 4,00 MM</t>
  </si>
  <si>
    <t xml:space="preserve">SOLDADOR COM ENCARGOS COMPLEMENTARES </t>
  </si>
  <si>
    <t>003</t>
  </si>
  <si>
    <t xml:space="preserve">80,00 x 1,20 &gt; Extensão x altura </t>
  </si>
  <si>
    <t>RESTAURAÇÃO DE GUARDA-CORPO, INCLUI LIXAMENTO, FUNDO COM ZARCÃO, PINTURA COM TINTA ALQUÍDICA E SOLDA DE BARRAS DANIFICADAS.</t>
  </si>
  <si>
    <t>COMP. 04</t>
  </si>
  <si>
    <t>004</t>
  </si>
  <si>
    <t xml:space="preserve">ED-49327 </t>
  </si>
  <si>
    <t>ELETRODUTO DE AÇO GALVANIZADO PESADO, INCLUSIVE CONEXÕES,  SUPORTES E FIXAÇÃO DN 25 (1")</t>
  </si>
  <si>
    <t>CONDULETE DE ALUMÍNIO, TIPO T, PARA ELETRODUTO DE AÇO GALVANIZADO DN 20 MM (3/4''), APARENTE - FORNECIMENTO E INSTALAÇÃO. AF_10/2022</t>
  </si>
  <si>
    <t>CONDULETE DE ALUMÍNIO, TIPO LR, PARA ELETRODUTO DE AÇO GALVANIZADO DN20 MM (3/4''), APARENTE - FORNECIMENTO E INSTALAÇÃO. AF_10/2022</t>
  </si>
  <si>
    <t>POSTE DECORATIVO PARA JARDIM EM AÇO TUBULAR, H = *2,5* M, SEM LUMINÁRIA - FORNECIMENTO E INSTALAÇÃO. AF_11/2019</t>
  </si>
  <si>
    <t>LUMINÁRIA DE LED PARA ILUMINAÇÃO PÚBLICA, DE 51 W ATÉ 67 W - FORNECIMENTO E INSTALAÇÃO. AF_08/2020</t>
  </si>
  <si>
    <t>CABO DE COBRE FLEXÍVEL ISOLADO, 4 MM², ANTI-CHAMA 450/750 V, PARA CIRCUITOS TERMINAIS - FORNECIMENTO E INSTALAÇÃO. AF_03/2023</t>
  </si>
  <si>
    <t>005</t>
  </si>
  <si>
    <t>ENTRADA DE ENERGIA PARA PONTE</t>
  </si>
  <si>
    <t>COMP. 05</t>
  </si>
  <si>
    <t>ENTRADA DE ENERGIA SUBTERRÂNEA, TIPO F3, PADRÃO CEMIG,
CARGA INSTALADA DE 95,1KVA ATÉ 114KVA, TRIFÁSICO, COM
SAÍDA SUBTERRÂNEA, INCLUSIVE POSTE, CAIXA PARA MEDIDOR,
DISJUNTOR, BARRAMENTO, ATERRAMENTO E ACESSÓRIOS</t>
  </si>
  <si>
    <t>ED-20591</t>
  </si>
  <si>
    <t xml:space="preserve">ED-49199 </t>
  </si>
  <si>
    <t>CAIXA DE INSPEÇÃO EM CONCRETO, TIPO "ZB" PASSEIO, PADRÃO
CEMIG, DIMENSÃO (52X44)CM, ALTURA 70CM, COM TAMPA E ARO ARTICULADO EM FERRO FUNDIDO, INCLUSIVE ESCAVAÇÃO, APILOAMENTO, LASTRO DE BRITA, REATERRO E TRANSPORTE COM RETIRADA DO MATERIAL ESCAVADO (EM CAÇAMBA)</t>
  </si>
  <si>
    <t>CABO DE COBRE FLEXÍVEL ISOLADO, 16 MM², ANTI-CHAMA 450/750 V, PARA DISTRIBUIÇÃO - FORNECIMENTO E INSTALAÇÃO. AF_10/2020</t>
  </si>
  <si>
    <t>ED-7249</t>
  </si>
  <si>
    <t>ELETRODUTO FLEXÍVEL, EM AÇO GALVANIZADO, REVESTIDO EXTERNAMENTE COM PVC PRETO (1"), INCLUSIVE CONEXÕES, SUPORTES E FIXAÇÃO</t>
  </si>
  <si>
    <t xml:space="preserve">                             PONTE ASSIS RODRIGUES NARDY</t>
  </si>
  <si>
    <t>REGIÃO/MÊS DE REFERÊNCIA: SEINFRA "CONSTRUÇÃO DE EDIFÍCIOS" - REGIÃO LESTE COM DESONERAÇÃO JANEIRO/2025, SINAPI E SICRO MG DEZEMBRO/2024 DESONERADO</t>
  </si>
  <si>
    <t xml:space="preserve">                             PONTE VILA DOS FRANCESES</t>
  </si>
  <si>
    <t>[10,40+ 9,85 + (1,00 x 4,00)] x 2,20  &gt; FECHAMENTO DOS DOIS ACESSOS EXISTENTES x ALTURA</t>
  </si>
  <si>
    <t>5,00 x 2,00 x 2,20 &gt; Fechamento dos acessos existentes</t>
  </si>
  <si>
    <t>Considerado a demolição de 2 pilares e uma viga, ambos locados no centro da ponte existente, e parte das duas cabeceiras de forma a acomodar o berço para as vigas metálicas</t>
  </si>
  <si>
    <t xml:space="preserve">ED-29553 </t>
  </si>
  <si>
    <t>CORTE, DOBRA E MONTAGEM DE AÇO CA-50, DIÂMETRO 16MM, INCLUSIVE ESPAÇADOR</t>
  </si>
  <si>
    <t xml:space="preserve">ED-48295 </t>
  </si>
  <si>
    <t>CORTE, DOBRA E MONTAGEM DE AÇO CA-50, DIÂMETRO (6,3MM A 12,5MM), INCLUSIVE ESPAÇADOR</t>
  </si>
  <si>
    <t>1905,90 &gt; Conforme projeto estrutural - Sapatas, pilares e vigas (S1, S2, S3 S4, P1, P2, P3 ,P4, P5 E P6) + Alas</t>
  </si>
  <si>
    <t>180 + 841,50 + 717,90 + 1362,40 &gt; Conforme projeto estrutural - Sapatas, pilares e vigas (S1, S2, S3 S4, P1, P2, P3 ,P4, P5 E P6) + Alas</t>
  </si>
  <si>
    <t>006</t>
  </si>
  <si>
    <t>COMP. 06</t>
  </si>
  <si>
    <t xml:space="preserve">Conforme projeto </t>
  </si>
  <si>
    <t>ILUMINAÇÃO PASSARELA (GUARDA CORPO), INCLUSO 32 POSTES COM DIÂMETRO DE 4", COM 2 LUMINÁRIAS DE LED PARA ILUMINAÇÃO PUBLICA DE 51W A 67W CADA, ELETRODUTO E REDE (CONFORME DETALHAMENTO)</t>
  </si>
  <si>
    <t>ILUMINAÇÃO PONTE, INCLUSO 12 POSTES COM 2 LUMINÁRIAS DE LED PARA ILUMINAÇÃO PUBLICA DE 51W A 67W CADA, ELETRODUTO E REDE (CONFORME DETALHAMENTO)</t>
  </si>
  <si>
    <t xml:space="preserve"> DM3</t>
  </si>
  <si>
    <t>Junto aos berços de concreto</t>
  </si>
  <si>
    <t>112,79 x 0,15 &gt; Área da laje da  ponte a ser demolida (conforme projeto) x espessura</t>
  </si>
  <si>
    <t>(8,78 + 7,28 + 12,15) x 0,05 &gt; Área de calçada existente x espessura (conforme projeto)</t>
  </si>
  <si>
    <t>43,42 + 36,12 &gt; Área de piso existente (conforme projeto)</t>
  </si>
  <si>
    <t>(6,80 x 2,00) + (4,80 x 2,00) + (2,40 x 2,00) &gt; Volume x quant. (conforme projeto)</t>
  </si>
  <si>
    <t>(5,78 x 2,00) + (2,70 x 2,00) + (0,20 x 2,00) &gt; Volume x quant. (conforme projeto)</t>
  </si>
  <si>
    <t>202,99  (conforme projeto)</t>
  </si>
  <si>
    <t>53,49  (conforme projeto)</t>
  </si>
  <si>
    <t>16,80 x 6,00 &gt; VOLUME x QUANT. (conforme projeto)</t>
  </si>
  <si>
    <t>2,52 x 6,00 &gt; VOLUME x QUANT.  (conforme projeto)</t>
  </si>
  <si>
    <t>16,82 + 63,56 &gt; Conforme projeto estrutural - Berços</t>
  </si>
  <si>
    <t>1.1.1</t>
  </si>
  <si>
    <t>1.1.2</t>
  </si>
  <si>
    <t>1.1.3</t>
  </si>
  <si>
    <t>2.1.1</t>
  </si>
  <si>
    <t>2.1.2</t>
  </si>
  <si>
    <t>2.2.1</t>
  </si>
  <si>
    <t>2.3.1</t>
  </si>
  <si>
    <t>2.3.2</t>
  </si>
  <si>
    <t>2.3.3</t>
  </si>
  <si>
    <t>2.3.4</t>
  </si>
  <si>
    <t>2.3.5</t>
  </si>
  <si>
    <t>2.4.1</t>
  </si>
  <si>
    <t>COMP. 07</t>
  </si>
  <si>
    <t>MONTAGEM DE ESTRUTURA EM AÇO ASTM-A36/A572 GRAU 50, SEM PINTURA (VIGAS E CHAPA DE AÇO FORNECIDAS PELA PREFEITURA MUNICIPAL)</t>
  </si>
  <si>
    <t>008</t>
  </si>
  <si>
    <t>COMP. 08</t>
  </si>
  <si>
    <t>4,72 x 12,00 &gt; ÁREA DE LAJE</t>
  </si>
  <si>
    <t>2.4.2</t>
  </si>
  <si>
    <t>2.4.3</t>
  </si>
  <si>
    <t>Considerado o prazo da montagem da estrutura, sendo este 1 semana: Portanto: 5 (dias) x 1 (semana) x 8 (h/dia)</t>
  </si>
  <si>
    <t>2.4.4</t>
  </si>
  <si>
    <t>(0,30 x 0,25 x 0,031)&gt; Volume por unid. = 0,002325 m3 
6 unid. &gt; Quant.
1m³ = 1000dm³
logo = (0,30 x 0,25 x 0,031) x 6 x 1000</t>
  </si>
  <si>
    <t>2.5</t>
  </si>
  <si>
    <t>009</t>
  </si>
  <si>
    <t>2.5.1</t>
  </si>
  <si>
    <t>2.5.2</t>
  </si>
  <si>
    <t>COMP. 09</t>
  </si>
  <si>
    <t>ILUMINAÇÃO PONTE, INCLUSO 6 POSTES COM 2 LUMINÁRIAS DE LED PARA ILUMINAÇÃO PUBLICA DE 51W A 67W CADA, ELETRODUTO E REDE (CONFORME DETALHAMENTO)</t>
  </si>
  <si>
    <t>Considerado três trechos cada um com 11,05m.</t>
  </si>
  <si>
    <t>Considerado 3 estacas em cada berço, parte frontal, cada uma com 3m de profundidade = 2 berços x 3 nº estacas x 3 prof. = 60m</t>
  </si>
  <si>
    <t>6,40 &gt; (conforme projeto)</t>
  </si>
  <si>
    <t>1,152 &gt; Volume berços (conforme projeto)</t>
  </si>
  <si>
    <t>VIGA METÁLICA EM PERFIL LAMINADO OU SOLDADO EM AÇO ESTRUTURAL, COM CONEXÕES SOLDADAS, INCLUSOS MÃO DE OBRA, TRANSPORTE E IÇAMENTO UTILIZANDO GUINDASTE - FORNECIMENTO E INSTALAÇÃO. AF_01/2020_PA</t>
  </si>
  <si>
    <t>CHAPA DE ACO GROSSA, ASTM A36, E = 1/2" (12,70 MM) 99,59 KG/M2</t>
  </si>
  <si>
    <t xml:space="preserve">ED-29091 </t>
  </si>
  <si>
    <t>TRANSPORTE DE VIGA OU TABULEIRO PARA PONTE (CUSTO FIXO), INCLUSIVE CARGA, EXCLUSIVE FORNECIMENTO , DESCARGA E TRANSPORTE EM QUILÔMETRO RODADO (CUSTO VARIÁVEL)</t>
  </si>
  <si>
    <t>Quant. de vigas a serem transportadas</t>
  </si>
  <si>
    <t>ADMINISTRAÇÃO DE OBRA</t>
  </si>
  <si>
    <t>3.1.1</t>
  </si>
  <si>
    <t xml:space="preserve">ED-50393 </t>
  </si>
  <si>
    <t>%</t>
  </si>
  <si>
    <t>Conforme valor da planilha</t>
  </si>
  <si>
    <t>MOBILIZAÇÃO E DESMOBILIZAÇÃO DE OBRA EM CENTRO URBANO OU REGIÃO LIMÍTROFE COM VALOR ENTRE 1.000.000,01 E 3.000.000,00</t>
  </si>
  <si>
    <t>2.1.3</t>
  </si>
  <si>
    <t>2.1.4</t>
  </si>
  <si>
    <t xml:space="preserve">2 x (0,40 x 3,60) </t>
  </si>
  <si>
    <t xml:space="preserve">90779 </t>
  </si>
  <si>
    <t xml:space="preserve">ENGENHEIRO CIVIL DE OBRA SENIOR COM ENCARGOS COMPLEMENTARES </t>
  </si>
  <si>
    <t>2hs por semana x 4 semanas por mês x 9 meses</t>
  </si>
  <si>
    <t>3.1.2</t>
  </si>
  <si>
    <t>ENCARREGADO GERAL COM ENCARGOS COMPLEMENTARES</t>
  </si>
  <si>
    <t xml:space="preserve">                            ADMINISTRAÇÃO DE OBRA</t>
  </si>
  <si>
    <t>LOCAL: BAIRRO NITEROI E CANDEIAS - BOM JARDIM DE MINAS /MG</t>
  </si>
  <si>
    <t xml:space="preserve">ED-50635 </t>
  </si>
  <si>
    <t>PLACA DE ALUMÍNIO FUNDIDO, DIMENSÃO (85X50)CM, PARA INAUGURAÇÃO, INCLUSIVE FIXAÇÃO</t>
  </si>
  <si>
    <t>2.5.3</t>
  </si>
  <si>
    <t xml:space="preserve">OBRA: REFORMA, AMPLIAÇÃO E REVITALIZAÇÃO DA PONTE NITEROI - (PONTE GENI GONÇALVES DE REZENDE RODRIGUES) E PONTE DA RUA MIZAEL MARCELINO DE ALMEIDA </t>
  </si>
  <si>
    <t>8,00 x 2,00 &gt; Utilizado para remoção das vigas existentes</t>
  </si>
  <si>
    <t>(2,00 x 4,00) x 1,50</t>
  </si>
  <si>
    <t xml:space="preserve">PONTE DA RUA MIZAEL MARCELINO DE ALMEIDA </t>
  </si>
  <si>
    <t>2.1.5</t>
  </si>
  <si>
    <t>2.1.6</t>
  </si>
  <si>
    <t>2.2.2</t>
  </si>
  <si>
    <t>2.2.3</t>
  </si>
  <si>
    <t>2.2.4</t>
  </si>
  <si>
    <t>2.3.6</t>
  </si>
  <si>
    <t>2.3.7</t>
  </si>
  <si>
    <t>2.3.8</t>
  </si>
  <si>
    <t>2.3.9</t>
  </si>
  <si>
    <t>2.3.10</t>
  </si>
  <si>
    <t>2.3.11</t>
  </si>
  <si>
    <t>2.3.12</t>
  </si>
  <si>
    <t>2.3.13</t>
  </si>
  <si>
    <t>2.3.14</t>
  </si>
  <si>
    <t>2.5.4</t>
  </si>
  <si>
    <t>2.5.5</t>
  </si>
  <si>
    <t>2.5.6</t>
  </si>
  <si>
    <t>2.5.7</t>
  </si>
  <si>
    <t>2.5.8</t>
  </si>
  <si>
    <t>3.1</t>
  </si>
  <si>
    <t>3.1.3</t>
  </si>
  <si>
    <t>3.1.4</t>
  </si>
  <si>
    <t>3.2</t>
  </si>
  <si>
    <t>3.2.1</t>
  </si>
  <si>
    <t>3.3</t>
  </si>
  <si>
    <t>3.3.1</t>
  </si>
  <si>
    <t>3.3.2</t>
  </si>
  <si>
    <t>3.3.3</t>
  </si>
  <si>
    <t>3.3.4</t>
  </si>
  <si>
    <t>3.3.5</t>
  </si>
  <si>
    <t>3.4</t>
  </si>
  <si>
    <t>3.4.1</t>
  </si>
  <si>
    <t>3.4.2</t>
  </si>
  <si>
    <t>3.4.3</t>
  </si>
  <si>
    <t>3.4.4</t>
  </si>
  <si>
    <t>3.4.5</t>
  </si>
  <si>
    <t>3.4.6</t>
  </si>
  <si>
    <t>3.5</t>
  </si>
  <si>
    <t>3.5.1</t>
  </si>
  <si>
    <t>3.5.2</t>
  </si>
  <si>
    <t>3.5.3</t>
  </si>
  <si>
    <t>24hs por semana x 4 semanas por mês x 9 meses</t>
  </si>
  <si>
    <t>3.1.5</t>
  </si>
  <si>
    <t xml:space="preserve">ED-51125 </t>
  </si>
  <si>
    <t>TRANSPORTE DE MATERIAL DEMOLIDO EM CAÇAMBA, EXCLUSIVE CARGA MANUAL OU MECÂNICA</t>
  </si>
  <si>
    <t>2.2.5</t>
  </si>
  <si>
    <t>Volume de demolição x fator de empolamento 30%</t>
  </si>
  <si>
    <t>3.3.6</t>
  </si>
  <si>
    <t>3.3.7</t>
  </si>
  <si>
    <t>3.2.2</t>
  </si>
  <si>
    <t>(2,00 x 5,00) x 1,50</t>
  </si>
  <si>
    <t>Prazo de escavação e concretagem das fundações, sendo este 1 semana = (5 dias/semana x 1,00 semana) x 8hs/dia = 40h</t>
  </si>
  <si>
    <t xml:space="preserve">ED-29090 </t>
  </si>
  <si>
    <t>DESCARGA DE CAMINHÃO, PARA ELEMENTOS DE VIGA OU TABULEIRO PARA PONTE, INCLUSIVE DESCARGA DE PERFIS LONGARINAS, TRANSVERSINAS, CHAPAS E ACESSÓRIOS, EXCLUSIVE FORNECIMENTO E TRANSPORTE</t>
  </si>
  <si>
    <t>3.4.7</t>
  </si>
  <si>
    <t>2.1.7</t>
  </si>
  <si>
    <t xml:space="preserve">ED-14457 </t>
  </si>
  <si>
    <t>PORTÃO PARA TAPUME FIXO DE PROTEÇÃO COM FECHAMENTO DE OBRA EM TELHA METÁLICA GALVANIZADA, TIPO TRAPEZOIDAL ESP. 0,5MM, COM MÓDULO NA DIMENSÃO DE (300X220)CM, EXCLUSIVE PINTURA ESMALTE</t>
  </si>
  <si>
    <t>1,50 x 2,20 &gt; Larg. x Alt.</t>
  </si>
  <si>
    <t>Volume de demolição de concreto e piso x fator de empolamento 30%</t>
  </si>
  <si>
    <t xml:space="preserve">ED-51131 </t>
  </si>
  <si>
    <t>CARGA MANUAL DE MATERIAL DE QUALQUER NATUREZA SOBRE CAMINHÃO, EXCLUSIVE TRANSPORTE</t>
  </si>
  <si>
    <t>2.2.6</t>
  </si>
  <si>
    <t>3.2.3</t>
  </si>
  <si>
    <t>3.1.6</t>
  </si>
  <si>
    <t xml:space="preserve">ED-8914 </t>
  </si>
  <si>
    <t>EXECUÇÃO DE PAVIMENTO COM PISO INTERTRAVADO, TIPO SEXTAVADO, ESP. 8CM, COM FCK DE 35MPA, INCLUSIVE COLCHÃO DE AREIA, ESP. 6CM, PARA ASSENTAMENTO, COMPACTAÇÃO MECANIZADA, CARGA E DESCARGA MECÂNICA EM CAMINHÃO, EXCLUSIVE TRANSPORTE DE PISO INTERTRAVADO</t>
  </si>
  <si>
    <t xml:space="preserve">ED-48443 </t>
  </si>
  <si>
    <t>DEMOLIÇÃO MECANIZADA DE CONCRETO ARMADO, COM EQUIPAMENTO ELÉTRICO, INCLUSIVE AFASTAMENTO E EMPILHAMENTO, EXCLUSIVE TRANSPORTE E RETIRADA DO MATERIAL DEMOLIDO</t>
  </si>
  <si>
    <t>REMOÇÃO DE PISO DE BLOCO INTERTRAVADO  DE FORMA MANUAL, SEM REAPROVEITAMENTO.</t>
  </si>
  <si>
    <t xml:space="preserve">SERVENTE COM ENCARGOS COMPLEMENTARES </t>
  </si>
  <si>
    <t xml:space="preserve">CALCETEIRO COM ENCARGOS COMPLEMENTARES </t>
  </si>
  <si>
    <t>COMP. 10</t>
  </si>
  <si>
    <t>010</t>
  </si>
  <si>
    <t xml:space="preserve">ED-51145 </t>
  </si>
  <si>
    <t xml:space="preserve">[(6,24 x 1,20) + (6,64 x 1,20) + (4,40 x 1,20) + (6,53 x 1,20)]  &gt; Áreas conforme projeto </t>
  </si>
  <si>
    <t>2.4.5</t>
  </si>
  <si>
    <t>6 unid. (VIGA PRINCIPAL - W610 x 174) + 6 unid. (VIGA PRINCIPAL - W610 x 174)</t>
  </si>
  <si>
    <t>2.4.6</t>
  </si>
  <si>
    <t xml:space="preserve"> PONTE NITEROI - (PONTE GENI GONÇALVES DE REZENDE RODRIGUES)</t>
  </si>
  <si>
    <t>PRAZO DE EXECUÇÃO 9 MESES</t>
  </si>
  <si>
    <t>DATA: 11/06/2025</t>
  </si>
  <si>
    <t>MÊS 04</t>
  </si>
  <si>
    <t>MÊS 05</t>
  </si>
  <si>
    <t>MÊS 06</t>
  </si>
  <si>
    <t>MÊS 07</t>
  </si>
  <si>
    <t>MÊS 08</t>
  </si>
  <si>
    <t>MÊS 09</t>
  </si>
  <si>
    <t xml:space="preserve"> ADMINISTRAÇÃO DE OBRA</t>
  </si>
  <si>
    <t>PONTE NITEROI - (PONTE GENI GONÇALVES DE REZENDE RODRIGUES)</t>
  </si>
  <si>
    <t>PASSEIOS DE CONCRETO E = 6 CM, FCK = 10 MPA, JUNTA SECA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</si>
</sst>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R$&quot;\ * #,##0.00_-;\-&quot;R$&quot;\ * #,##0.00_-;_-&quot;R$&quot;\ * &quot;-&quot;??_-;_-@_-"/>
    <numFmt numFmtId="43" formatCode="_-* #,##0.00_-;\-* #,##0.00_-;_-* &quot;-&quot;??_-;_-@_-"/>
    <numFmt numFmtId="164" formatCode="_(* #,##0.00_);_(* \(#,##0.00\);_(* &quot;-&quot;??_);_(@_)"/>
    <numFmt numFmtId="165" formatCode="&quot;R$&quot;\ #,##0.00"/>
    <numFmt numFmtId="166" formatCode="#,##0.0000"/>
    <numFmt numFmtId="167" formatCode="_-* #,##0.00000_-;\-* #,##0.00000_-;_-* &quot;-&quot;??_-;_-@_-"/>
    <numFmt numFmtId="168" formatCode="&quot;R$&quot;\ #,##0.00;&quot;R$&quot;\ #,##0.00;"/>
    <numFmt numFmtId="169" formatCode="0.000000"/>
    <numFmt numFmtId="170" formatCode="0.0000"/>
    <numFmt numFmtId="171" formatCode="_-[$R$-416]\ * #,##0.00_-;\-[$R$-416]\ * #,##0.00_-;_-[$R$-416]\ * &quot;-&quot;??_-;_-@_-"/>
  </numFmts>
  <fonts count="56" x14ac:knownFonts="1">
    <font>
      <sz val="10"/>
      <name val="Arial"/>
    </font>
    <font>
      <sz val="11"/>
      <color theme="1"/>
      <name val="Calibri"/>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0"/>
      <name val="Arial"/>
      <family val="2"/>
    </font>
    <font>
      <sz val="8"/>
      <name val="Arial"/>
      <family val="2"/>
    </font>
    <font>
      <sz val="8"/>
      <color rgb="FFFF0000"/>
      <name val="Arial"/>
      <family val="2"/>
    </font>
    <font>
      <b/>
      <sz val="8"/>
      <name val="Arial"/>
      <family val="2"/>
    </font>
    <font>
      <b/>
      <sz val="8"/>
      <color rgb="FFFF0000"/>
      <name val="Arial"/>
      <family val="2"/>
    </font>
    <font>
      <sz val="10"/>
      <color rgb="FFFF0000"/>
      <name val="Arial"/>
      <family val="2"/>
    </font>
    <font>
      <b/>
      <sz val="10"/>
      <color rgb="FFFF0000"/>
      <name val="Arial"/>
      <family val="2"/>
    </font>
    <font>
      <b/>
      <sz val="9"/>
      <name val="Arial"/>
      <family val="2"/>
    </font>
    <font>
      <sz val="10"/>
      <color rgb="FF000000"/>
      <name val="Arial"/>
      <family val="2"/>
    </font>
    <font>
      <b/>
      <sz val="10"/>
      <color rgb="FF000000"/>
      <name val="Arial"/>
      <family val="2"/>
    </font>
    <font>
      <sz val="10"/>
      <name val="Calibri"/>
      <family val="2"/>
    </font>
    <font>
      <sz val="10"/>
      <color theme="1"/>
      <name val="Arial"/>
      <family val="2"/>
    </font>
    <font>
      <b/>
      <sz val="10"/>
      <color theme="1"/>
      <name val="Arial"/>
      <family val="2"/>
    </font>
    <font>
      <b/>
      <sz val="12"/>
      <color theme="1"/>
      <name val="Arial"/>
      <family val="2"/>
    </font>
    <font>
      <sz val="8"/>
      <color theme="1"/>
      <name val="Arial"/>
      <family val="2"/>
    </font>
    <font>
      <sz val="8"/>
      <color indexed="8"/>
      <name val="Calibri"/>
      <family val="2"/>
    </font>
    <font>
      <b/>
      <sz val="10"/>
      <color indexed="8"/>
      <name val="Arial"/>
      <family val="2"/>
    </font>
    <font>
      <sz val="10"/>
      <color indexed="8"/>
      <name val="Arial"/>
      <family val="2"/>
    </font>
    <font>
      <sz val="6"/>
      <name val="Arial"/>
      <family val="2"/>
    </font>
    <font>
      <b/>
      <sz val="6"/>
      <name val="Arial"/>
      <family val="2"/>
    </font>
    <font>
      <sz val="8"/>
      <color rgb="FF000000"/>
      <name val="Courier New"/>
      <family val="3"/>
    </font>
    <font>
      <b/>
      <sz val="8"/>
      <color rgb="FF000000"/>
      <name val="Courier New"/>
      <family val="3"/>
    </font>
    <font>
      <sz val="7"/>
      <name val="Arial"/>
      <family val="2"/>
    </font>
    <font>
      <b/>
      <sz val="7"/>
      <name val="Arial"/>
      <family val="2"/>
    </font>
    <font>
      <sz val="9"/>
      <color indexed="81"/>
      <name val="Segoe UI"/>
      <family val="2"/>
    </font>
    <font>
      <b/>
      <sz val="9"/>
      <color indexed="81"/>
      <name val="Segoe UI"/>
      <family val="2"/>
    </font>
    <font>
      <b/>
      <sz val="12"/>
      <name val="Arial"/>
      <family val="2"/>
    </font>
    <font>
      <b/>
      <sz val="8"/>
      <color indexed="8"/>
      <name val="Calibri"/>
      <family val="2"/>
    </font>
    <font>
      <b/>
      <sz val="8"/>
      <name val="Calibri"/>
      <family val="2"/>
    </font>
    <font>
      <b/>
      <sz val="8"/>
      <color theme="1"/>
      <name val="Calibri"/>
      <family val="2"/>
    </font>
    <font>
      <sz val="8"/>
      <color theme="1"/>
      <name val="Calibri"/>
      <family val="2"/>
    </font>
    <font>
      <sz val="8"/>
      <name val="Calibri"/>
      <family val="2"/>
    </font>
    <font>
      <b/>
      <sz val="9.5"/>
      <name val="Arial"/>
      <family val="2"/>
    </font>
    <font>
      <b/>
      <sz val="9"/>
      <color theme="1"/>
      <name val="Arial"/>
      <family val="2"/>
    </font>
    <font>
      <sz val="10"/>
      <name val="Arial"/>
    </font>
    <font>
      <sz val="8"/>
      <name val="Arial"/>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rgb="FFFFFFCC"/>
        <bgColor indexed="64"/>
      </patternFill>
    </fill>
    <fill>
      <patternFill patternType="solid">
        <fgColor theme="0" tint="-0.14996795556505021"/>
        <bgColor indexed="64"/>
      </patternFill>
    </fill>
    <fill>
      <patternFill patternType="solid">
        <fgColor theme="0" tint="-0.249977111117893"/>
        <bgColor indexed="64"/>
      </patternFill>
    </fill>
    <fill>
      <patternFill patternType="solid">
        <fgColor theme="0"/>
        <bgColor indexed="64"/>
      </patternFill>
    </fill>
    <fill>
      <patternFill patternType="solid">
        <fgColor rgb="FFFFC000"/>
        <bgColor indexed="64"/>
      </patternFill>
    </fill>
    <fill>
      <patternFill patternType="solid">
        <fgColor rgb="FFFFFF99"/>
        <bgColor indexed="64"/>
      </patternFill>
    </fill>
    <fill>
      <patternFill patternType="solid">
        <fgColor theme="0" tint="-0.14999847407452621"/>
        <bgColor indexed="64"/>
      </patternFill>
    </fill>
  </fills>
  <borders count="6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bottom/>
      <diagonal/>
    </border>
    <border>
      <left/>
      <right/>
      <top style="thin">
        <color auto="1"/>
      </top>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48">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4"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1" borderId="0" applyNumberFormat="0" applyBorder="0" applyAlignment="0" applyProtection="0"/>
    <xf numFmtId="0" fontId="9" fillId="7" borderId="1" applyNumberFormat="0" applyAlignment="0" applyProtection="0"/>
    <xf numFmtId="0" fontId="10" fillId="3" borderId="0" applyNumberFormat="0" applyBorder="0" applyAlignment="0" applyProtection="0"/>
    <xf numFmtId="0" fontId="11" fillId="22" borderId="0" applyNumberFormat="0" applyBorder="0" applyAlignment="0" applyProtection="0"/>
    <xf numFmtId="0" fontId="2" fillId="23" borderId="4" applyNumberFormat="0" applyFont="0" applyAlignment="0" applyProtection="0"/>
    <xf numFmtId="9" fontId="2" fillId="0" borderId="0" applyFont="0" applyFill="0" applyBorder="0" applyAlignment="0" applyProtection="0"/>
    <xf numFmtId="0" fontId="12" fillId="16" borderId="5"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6" applyNumberFormat="0" applyFill="0" applyAlignment="0" applyProtection="0"/>
    <xf numFmtId="0" fontId="17" fillId="0" borderId="7" applyNumberFormat="0" applyFill="0" applyAlignment="0" applyProtection="0"/>
    <xf numFmtId="0" fontId="18" fillId="0" borderId="8" applyNumberFormat="0" applyFill="0" applyAlignment="0" applyProtection="0"/>
    <xf numFmtId="0" fontId="18" fillId="0" borderId="0" applyNumberFormat="0" applyFill="0" applyBorder="0" applyAlignment="0" applyProtection="0"/>
    <xf numFmtId="0" fontId="19" fillId="0" borderId="9" applyNumberFormat="0" applyFill="0" applyAlignment="0" applyProtection="0"/>
    <xf numFmtId="43" fontId="1" fillId="0" borderId="0" applyFont="0" applyFill="0" applyBorder="0" applyAlignment="0" applyProtection="0"/>
    <xf numFmtId="164" fontId="2" fillId="0" borderId="0" applyFont="0" applyFill="0" applyBorder="0" applyAlignment="0" applyProtection="0"/>
    <xf numFmtId="0" fontId="2" fillId="0" borderId="0"/>
    <xf numFmtId="9" fontId="2" fillId="0" borderId="0" applyFont="0" applyFill="0" applyBorder="0" applyAlignment="0" applyProtection="0"/>
    <xf numFmtId="44" fontId="54" fillId="0" borderId="0" applyFont="0" applyFill="0" applyBorder="0" applyAlignment="0" applyProtection="0"/>
  </cellStyleXfs>
  <cellXfs count="492">
    <xf numFmtId="0" fontId="0" fillId="0" borderId="0" xfId="0"/>
    <xf numFmtId="0" fontId="20" fillId="0" borderId="13" xfId="0" applyFont="1" applyBorder="1" applyAlignment="1">
      <alignment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4" fontId="2" fillId="0" borderId="0" xfId="0" applyNumberFormat="1" applyFont="1" applyAlignment="1">
      <alignment horizontal="center" vertical="center"/>
    </xf>
    <xf numFmtId="4" fontId="20" fillId="0" borderId="10" xfId="0" applyNumberFormat="1" applyFont="1" applyBorder="1" applyAlignment="1">
      <alignment horizontal="center" vertical="center" wrapText="1"/>
    </xf>
    <xf numFmtId="0" fontId="2" fillId="0" borderId="12" xfId="0" applyFont="1" applyBorder="1" applyAlignment="1">
      <alignment vertical="center"/>
    </xf>
    <xf numFmtId="0" fontId="2" fillId="0" borderId="13" xfId="0" applyFont="1" applyBorder="1" applyAlignment="1">
      <alignment vertical="center"/>
    </xf>
    <xf numFmtId="49" fontId="20" fillId="0" borderId="12" xfId="0" applyNumberFormat="1" applyFont="1" applyBorder="1" applyAlignment="1">
      <alignment vertical="center"/>
    </xf>
    <xf numFmtId="4" fontId="2" fillId="0" borderId="13" xfId="0" applyNumberFormat="1" applyFont="1" applyBorder="1" applyAlignment="1">
      <alignment horizontal="center" vertical="center"/>
    </xf>
    <xf numFmtId="0" fontId="2" fillId="0" borderId="0" xfId="0" applyFont="1" applyAlignment="1">
      <alignment vertical="center"/>
    </xf>
    <xf numFmtId="0" fontId="2" fillId="0" borderId="0" xfId="0" applyFont="1" applyAlignment="1">
      <alignment horizontal="left" vertical="center" wrapText="1"/>
    </xf>
    <xf numFmtId="0" fontId="20" fillId="0" borderId="12" xfId="0" applyFont="1" applyBorder="1" applyAlignment="1">
      <alignment horizontal="left" vertical="center"/>
    </xf>
    <xf numFmtId="0" fontId="20" fillId="0" borderId="0" xfId="0" applyFont="1" applyAlignment="1">
      <alignment vertical="center"/>
    </xf>
    <xf numFmtId="0" fontId="2" fillId="0" borderId="0" xfId="0" applyFont="1" applyAlignment="1">
      <alignment vertical="center" wrapText="1"/>
    </xf>
    <xf numFmtId="4" fontId="2" fillId="0" borderId="18" xfId="0" applyNumberFormat="1" applyFont="1" applyBorder="1" applyAlignment="1">
      <alignment horizontal="center" vertical="center"/>
    </xf>
    <xf numFmtId="0" fontId="2" fillId="0" borderId="21" xfId="0" applyFont="1" applyBorder="1" applyAlignment="1">
      <alignment horizontal="center" vertical="center"/>
    </xf>
    <xf numFmtId="0" fontId="20" fillId="0" borderId="20" xfId="0" applyFont="1" applyBorder="1" applyAlignment="1">
      <alignment vertical="center"/>
    </xf>
    <xf numFmtId="49" fontId="2" fillId="0" borderId="20" xfId="0" applyNumberFormat="1" applyFont="1" applyBorder="1" applyAlignment="1">
      <alignment horizontal="center" vertical="center"/>
    </xf>
    <xf numFmtId="165" fontId="2" fillId="0" borderId="25" xfId="0" applyNumberFormat="1" applyFont="1" applyBorder="1" applyAlignment="1">
      <alignment horizontal="center" vertical="center" wrapText="1"/>
    </xf>
    <xf numFmtId="165" fontId="20" fillId="0" borderId="25" xfId="0" applyNumberFormat="1" applyFont="1" applyBorder="1" applyAlignment="1">
      <alignment horizontal="center" vertical="center" wrapText="1"/>
    </xf>
    <xf numFmtId="10" fontId="2" fillId="0" borderId="24" xfId="0" applyNumberFormat="1" applyFont="1" applyBorder="1" applyAlignment="1">
      <alignment horizontal="center" vertical="center" wrapText="1"/>
    </xf>
    <xf numFmtId="0" fontId="2" fillId="0" borderId="14" xfId="0" applyFont="1" applyBorder="1" applyAlignment="1">
      <alignment vertical="center"/>
    </xf>
    <xf numFmtId="0" fontId="20" fillId="0" borderId="12" xfId="0" applyFont="1" applyBorder="1" applyAlignment="1">
      <alignment vertical="center"/>
    </xf>
    <xf numFmtId="0" fontId="20" fillId="0" borderId="12" xfId="0" applyFont="1" applyBorder="1" applyAlignment="1">
      <alignment horizontal="right" vertical="center"/>
    </xf>
    <xf numFmtId="165" fontId="2" fillId="0" borderId="0" xfId="0" applyNumberFormat="1" applyFont="1" applyAlignment="1">
      <alignment vertical="center"/>
    </xf>
    <xf numFmtId="0" fontId="2" fillId="0" borderId="17" xfId="0" applyFont="1" applyBorder="1" applyAlignment="1">
      <alignment vertical="center"/>
    </xf>
    <xf numFmtId="0" fontId="2" fillId="0" borderId="21" xfId="0" applyFont="1" applyBorder="1" applyAlignment="1">
      <alignment vertical="center"/>
    </xf>
    <xf numFmtId="49" fontId="21" fillId="0" borderId="10" xfId="0" applyNumberFormat="1" applyFont="1" applyBorder="1" applyAlignment="1">
      <alignment horizontal="center" vertical="center" wrapText="1"/>
    </xf>
    <xf numFmtId="0" fontId="21" fillId="0" borderId="10" xfId="0" applyFont="1" applyBorder="1" applyAlignment="1">
      <alignment horizontal="center" vertical="center"/>
    </xf>
    <xf numFmtId="165" fontId="21" fillId="0" borderId="10" xfId="0" applyNumberFormat="1" applyFont="1" applyBorder="1" applyAlignment="1">
      <alignment horizontal="center" vertical="center" wrapText="1"/>
    </xf>
    <xf numFmtId="0" fontId="21" fillId="0" borderId="0" xfId="0" applyFont="1" applyAlignment="1">
      <alignment vertical="center"/>
    </xf>
    <xf numFmtId="2" fontId="23" fillId="0" borderId="10" xfId="0" applyNumberFormat="1" applyFont="1" applyBorder="1" applyAlignment="1">
      <alignment horizontal="center" vertical="center" wrapText="1"/>
    </xf>
    <xf numFmtId="0" fontId="23" fillId="0" borderId="0" xfId="0" applyFont="1" applyAlignment="1">
      <alignment vertical="center"/>
    </xf>
    <xf numFmtId="0" fontId="2" fillId="0" borderId="0" xfId="0" applyFont="1" applyAlignment="1">
      <alignment horizontal="center" vertical="center" wrapText="1"/>
    </xf>
    <xf numFmtId="49" fontId="2" fillId="0" borderId="0" xfId="0" applyNumberFormat="1" applyFont="1" applyAlignment="1">
      <alignment horizontal="center" vertical="center" wrapText="1"/>
    </xf>
    <xf numFmtId="4" fontId="2" fillId="0" borderId="0" xfId="0" applyNumberFormat="1" applyFont="1" applyAlignment="1">
      <alignment horizontal="center" vertical="center" wrapText="1"/>
    </xf>
    <xf numFmtId="0" fontId="20" fillId="0" borderId="13" xfId="0" applyFont="1" applyBorder="1" applyAlignment="1">
      <alignment horizontal="left" vertical="center"/>
    </xf>
    <xf numFmtId="0" fontId="20" fillId="0" borderId="0" xfId="0" applyFont="1" applyAlignment="1">
      <alignment horizontal="left" vertical="center"/>
    </xf>
    <xf numFmtId="0" fontId="2" fillId="0" borderId="21" xfId="0" applyFont="1" applyBorder="1" applyAlignment="1">
      <alignment horizontal="left" vertical="center"/>
    </xf>
    <xf numFmtId="0" fontId="2" fillId="0" borderId="0" xfId="0" applyFont="1" applyAlignment="1">
      <alignment horizontal="left" vertical="center"/>
    </xf>
    <xf numFmtId="49" fontId="23" fillId="0" borderId="10" xfId="0" applyNumberFormat="1" applyFont="1" applyBorder="1" applyAlignment="1">
      <alignment horizontal="center" vertical="center" wrapText="1"/>
    </xf>
    <xf numFmtId="0" fontId="21" fillId="0" borderId="0" xfId="0" applyFont="1" applyAlignment="1">
      <alignment vertical="center" wrapText="1"/>
    </xf>
    <xf numFmtId="0" fontId="21" fillId="0" borderId="10" xfId="0" applyFont="1" applyBorder="1" applyAlignment="1">
      <alignment horizontal="center" vertical="center" wrapText="1"/>
    </xf>
    <xf numFmtId="0" fontId="21" fillId="0" borderId="10" xfId="0" applyFont="1" applyBorder="1" applyAlignment="1">
      <alignment horizontal="left" vertical="center" wrapText="1"/>
    </xf>
    <xf numFmtId="0" fontId="23" fillId="0" borderId="10" xfId="0" applyFont="1" applyBorder="1" applyAlignment="1">
      <alignment horizontal="left" vertical="center" wrapText="1"/>
    </xf>
    <xf numFmtId="0" fontId="23" fillId="0" borderId="10" xfId="0" applyFont="1" applyBorder="1" applyAlignment="1">
      <alignment horizontal="center" vertical="center" wrapText="1"/>
    </xf>
    <xf numFmtId="0" fontId="23" fillId="0" borderId="0" xfId="0" applyFont="1" applyAlignment="1">
      <alignment vertical="center" wrapText="1"/>
    </xf>
    <xf numFmtId="0" fontId="21" fillId="0" borderId="0" xfId="0" applyFont="1" applyAlignment="1">
      <alignment horizontal="center" vertical="center"/>
    </xf>
    <xf numFmtId="2" fontId="21" fillId="0" borderId="0" xfId="0" applyNumberFormat="1" applyFont="1" applyAlignment="1">
      <alignment horizontal="center" vertical="center"/>
    </xf>
    <xf numFmtId="0" fontId="2" fillId="0" borderId="27" xfId="0" applyFont="1" applyBorder="1" applyAlignment="1">
      <alignment vertical="center"/>
    </xf>
    <xf numFmtId="0" fontId="2" fillId="0" borderId="27" xfId="0" applyFont="1" applyBorder="1" applyAlignment="1">
      <alignment horizontal="left" vertical="center"/>
    </xf>
    <xf numFmtId="0" fontId="25" fillId="0" borderId="12" xfId="0" applyFont="1" applyBorder="1" applyAlignment="1">
      <alignment vertical="center"/>
    </xf>
    <xf numFmtId="0" fontId="25" fillId="0" borderId="13" xfId="0" applyFont="1" applyBorder="1" applyAlignment="1">
      <alignment vertical="center"/>
    </xf>
    <xf numFmtId="0" fontId="25" fillId="0" borderId="0" xfId="0" applyFont="1" applyAlignment="1">
      <alignment vertical="center"/>
    </xf>
    <xf numFmtId="0" fontId="26" fillId="0" borderId="13" xfId="0" applyFont="1" applyBorder="1" applyAlignment="1">
      <alignment horizontal="center" vertical="center"/>
    </xf>
    <xf numFmtId="0" fontId="26" fillId="0" borderId="13" xfId="0" applyFont="1" applyBorder="1" applyAlignment="1">
      <alignment vertical="center"/>
    </xf>
    <xf numFmtId="0" fontId="2" fillId="0" borderId="18" xfId="0" applyFont="1" applyBorder="1" applyAlignment="1">
      <alignment horizontal="center" vertical="center"/>
    </xf>
    <xf numFmtId="0" fontId="25" fillId="0" borderId="18" xfId="0" applyFont="1" applyBorder="1" applyAlignment="1">
      <alignment horizontal="center" vertical="center"/>
    </xf>
    <xf numFmtId="0" fontId="25" fillId="0" borderId="0" xfId="0" applyFont="1" applyAlignment="1">
      <alignment vertical="center" wrapText="1"/>
    </xf>
    <xf numFmtId="0" fontId="2" fillId="0" borderId="13" xfId="0" applyFont="1" applyBorder="1" applyAlignment="1">
      <alignment horizontal="left" vertical="center" wrapText="1"/>
    </xf>
    <xf numFmtId="0" fontId="25" fillId="0" borderId="13" xfId="0" applyFont="1" applyBorder="1" applyAlignment="1">
      <alignment horizontal="left" vertical="center" wrapText="1"/>
    </xf>
    <xf numFmtId="0" fontId="26" fillId="0" borderId="13" xfId="0" applyFont="1" applyBorder="1" applyAlignment="1">
      <alignment horizontal="left" vertical="center" wrapText="1"/>
    </xf>
    <xf numFmtId="0" fontId="26" fillId="0" borderId="18" xfId="0" applyFont="1" applyBorder="1" applyAlignment="1">
      <alignment horizontal="left" vertical="center" wrapText="1"/>
    </xf>
    <xf numFmtId="2" fontId="2" fillId="0" borderId="13" xfId="0" applyNumberFormat="1" applyFont="1" applyBorder="1" applyAlignment="1">
      <alignment horizontal="center" vertical="center"/>
    </xf>
    <xf numFmtId="2" fontId="25" fillId="0" borderId="13" xfId="0" applyNumberFormat="1" applyFont="1" applyBorder="1" applyAlignment="1">
      <alignment horizontal="center" vertical="center"/>
    </xf>
    <xf numFmtId="2" fontId="26" fillId="0" borderId="13" xfId="0" applyNumberFormat="1" applyFont="1" applyBorder="1" applyAlignment="1">
      <alignment horizontal="center" vertical="center"/>
    </xf>
    <xf numFmtId="2" fontId="20" fillId="0" borderId="13" xfId="0" applyNumberFormat="1" applyFont="1" applyBorder="1" applyAlignment="1">
      <alignment horizontal="center" vertical="center"/>
    </xf>
    <xf numFmtId="2" fontId="21" fillId="0" borderId="10" xfId="0" applyNumberFormat="1" applyFont="1" applyBorder="1" applyAlignment="1">
      <alignment horizontal="center" vertical="center"/>
    </xf>
    <xf numFmtId="2" fontId="2" fillId="0" borderId="0" xfId="0" applyNumberFormat="1" applyFont="1" applyAlignment="1">
      <alignment horizontal="center" vertical="center"/>
    </xf>
    <xf numFmtId="0" fontId="27" fillId="0" borderId="19" xfId="0" applyFont="1" applyBorder="1" applyAlignment="1">
      <alignment horizontal="center" vertical="center"/>
    </xf>
    <xf numFmtId="165" fontId="25" fillId="0" borderId="0" xfId="0" applyNumberFormat="1" applyFont="1" applyAlignment="1">
      <alignment vertical="center"/>
    </xf>
    <xf numFmtId="165" fontId="22" fillId="0" borderId="0" xfId="0" applyNumberFormat="1" applyFont="1" applyAlignment="1">
      <alignment vertical="center"/>
    </xf>
    <xf numFmtId="166" fontId="2" fillId="0" borderId="0" xfId="0" applyNumberFormat="1" applyFont="1" applyAlignment="1">
      <alignment vertical="center"/>
    </xf>
    <xf numFmtId="166" fontId="25" fillId="0" borderId="0" xfId="0" applyNumberFormat="1" applyFont="1" applyAlignment="1">
      <alignment vertical="center"/>
    </xf>
    <xf numFmtId="166" fontId="21" fillId="0" borderId="0" xfId="0" applyNumberFormat="1" applyFont="1" applyAlignment="1">
      <alignment vertical="center"/>
    </xf>
    <xf numFmtId="2" fontId="20" fillId="0" borderId="10" xfId="0" applyNumberFormat="1" applyFont="1" applyBorder="1" applyAlignment="1">
      <alignment horizontal="center" vertical="center"/>
    </xf>
    <xf numFmtId="49" fontId="20" fillId="0" borderId="10" xfId="0" applyNumberFormat="1" applyFont="1" applyBorder="1" applyAlignment="1">
      <alignment horizontal="center" vertical="center"/>
    </xf>
    <xf numFmtId="0" fontId="20" fillId="0" borderId="10" xfId="0" applyFont="1" applyBorder="1" applyAlignment="1">
      <alignment horizontal="center" vertical="center"/>
    </xf>
    <xf numFmtId="165" fontId="25" fillId="0" borderId="0" xfId="0" applyNumberFormat="1" applyFont="1" applyAlignment="1">
      <alignment horizontal="center" vertical="center"/>
    </xf>
    <xf numFmtId="166" fontId="2" fillId="0" borderId="0" xfId="0" applyNumberFormat="1" applyFont="1" applyAlignment="1">
      <alignment horizontal="center" vertical="center"/>
    </xf>
    <xf numFmtId="0" fontId="28" fillId="0" borderId="0" xfId="0" applyFont="1" applyAlignment="1">
      <alignment horizontal="left" vertical="center"/>
    </xf>
    <xf numFmtId="0" fontId="28" fillId="0" borderId="0" xfId="0" applyFont="1" applyAlignment="1">
      <alignment horizontal="center" vertical="center"/>
    </xf>
    <xf numFmtId="167" fontId="28" fillId="0" borderId="0" xfId="43" applyNumberFormat="1" applyFont="1" applyFill="1" applyBorder="1" applyAlignment="1">
      <alignment horizontal="right" vertical="center"/>
    </xf>
    <xf numFmtId="165" fontId="28" fillId="0" borderId="0" xfId="43" applyNumberFormat="1" applyFont="1" applyFill="1" applyBorder="1" applyAlignment="1">
      <alignment horizontal="right" vertical="center"/>
    </xf>
    <xf numFmtId="0" fontId="2" fillId="0" borderId="10" xfId="0" applyFont="1" applyBorder="1" applyAlignment="1">
      <alignment horizontal="center" vertical="center"/>
    </xf>
    <xf numFmtId="0" fontId="28" fillId="0" borderId="10" xfId="0" applyFont="1" applyBorder="1" applyAlignment="1">
      <alignment horizontal="center" vertical="center"/>
    </xf>
    <xf numFmtId="0" fontId="28" fillId="0" borderId="10" xfId="0" applyFont="1" applyBorder="1" applyAlignment="1">
      <alignment horizontal="left" vertical="center"/>
    </xf>
    <xf numFmtId="167" fontId="28" fillId="0" borderId="10" xfId="43" applyNumberFormat="1" applyFont="1" applyFill="1" applyBorder="1" applyAlignment="1">
      <alignment horizontal="right" vertical="center"/>
    </xf>
    <xf numFmtId="165" fontId="28" fillId="0" borderId="10" xfId="43" applyNumberFormat="1" applyFont="1" applyFill="1" applyBorder="1" applyAlignment="1">
      <alignment horizontal="right" vertical="center"/>
    </xf>
    <xf numFmtId="0" fontId="29" fillId="0" borderId="10" xfId="0" applyFont="1" applyBorder="1" applyAlignment="1">
      <alignment horizontal="center" vertical="center"/>
    </xf>
    <xf numFmtId="0" fontId="29" fillId="0" borderId="10" xfId="0" applyFont="1" applyBorder="1" applyAlignment="1">
      <alignment horizontal="left" vertical="center"/>
    </xf>
    <xf numFmtId="167" fontId="29" fillId="0" borderId="10" xfId="43" applyNumberFormat="1" applyFont="1" applyFill="1" applyBorder="1" applyAlignment="1">
      <alignment horizontal="right" vertical="center"/>
    </xf>
    <xf numFmtId="165" fontId="29" fillId="0" borderId="10" xfId="43" applyNumberFormat="1" applyFont="1" applyFill="1" applyBorder="1" applyAlignment="1">
      <alignment horizontal="right" vertical="center"/>
    </xf>
    <xf numFmtId="0" fontId="2" fillId="0" borderId="27" xfId="0" applyFont="1" applyBorder="1" applyAlignment="1">
      <alignment horizontal="center" vertical="center"/>
    </xf>
    <xf numFmtId="0" fontId="28" fillId="0" borderId="27" xfId="0" applyFont="1" applyBorder="1" applyAlignment="1">
      <alignment horizontal="center" vertical="center"/>
    </xf>
    <xf numFmtId="0" fontId="28" fillId="0" borderId="27" xfId="0" applyFont="1" applyBorder="1" applyAlignment="1">
      <alignment horizontal="left" vertical="center"/>
    </xf>
    <xf numFmtId="167" fontId="28" fillId="0" borderId="27" xfId="43" applyNumberFormat="1" applyFont="1" applyFill="1" applyBorder="1" applyAlignment="1">
      <alignment horizontal="right" vertical="center"/>
    </xf>
    <xf numFmtId="167" fontId="28" fillId="0" borderId="13" xfId="43" applyNumberFormat="1" applyFont="1" applyFill="1" applyBorder="1" applyAlignment="1">
      <alignment horizontal="right" vertical="center"/>
    </xf>
    <xf numFmtId="165" fontId="28" fillId="0" borderId="13" xfId="43" applyNumberFormat="1" applyFont="1" applyFill="1" applyBorder="1" applyAlignment="1">
      <alignment horizontal="right" vertical="center"/>
    </xf>
    <xf numFmtId="165" fontId="28" fillId="0" borderId="18" xfId="43" applyNumberFormat="1" applyFont="1" applyFill="1" applyBorder="1" applyAlignment="1">
      <alignment horizontal="right" vertical="center"/>
    </xf>
    <xf numFmtId="0" fontId="29" fillId="0" borderId="12" xfId="0" applyFont="1" applyBorder="1" applyAlignment="1">
      <alignment horizontal="left" vertical="center"/>
    </xf>
    <xf numFmtId="0" fontId="2" fillId="0" borderId="13" xfId="0" applyFont="1" applyBorder="1" applyAlignment="1">
      <alignment horizontal="center" vertical="center"/>
    </xf>
    <xf numFmtId="0" fontId="28" fillId="0" borderId="13" xfId="0" applyFont="1" applyBorder="1" applyAlignment="1">
      <alignment horizontal="center" vertical="center"/>
    </xf>
    <xf numFmtId="0" fontId="28" fillId="0" borderId="13" xfId="0" applyFont="1" applyBorder="1" applyAlignment="1">
      <alignment horizontal="left" vertical="center"/>
    </xf>
    <xf numFmtId="167" fontId="29" fillId="0" borderId="10" xfId="43" applyNumberFormat="1" applyFont="1" applyFill="1" applyBorder="1" applyAlignment="1">
      <alignment horizontal="center" vertical="center"/>
    </xf>
    <xf numFmtId="165" fontId="29" fillId="0" borderId="10" xfId="43" applyNumberFormat="1" applyFont="1" applyFill="1" applyBorder="1" applyAlignment="1">
      <alignment horizontal="center" vertical="center"/>
    </xf>
    <xf numFmtId="0" fontId="23" fillId="0" borderId="10" xfId="0" applyFont="1" applyBorder="1" applyAlignment="1">
      <alignment vertical="center" wrapText="1"/>
    </xf>
    <xf numFmtId="0" fontId="20" fillId="0" borderId="20" xfId="0" applyFont="1" applyBorder="1" applyAlignment="1">
      <alignment horizontal="center" vertical="center"/>
    </xf>
    <xf numFmtId="0" fontId="20" fillId="0" borderId="0" xfId="0" applyFont="1" applyAlignment="1">
      <alignment horizontal="center" vertical="center"/>
    </xf>
    <xf numFmtId="0" fontId="2" fillId="0" borderId="20" xfId="0" applyFont="1" applyBorder="1" applyAlignment="1">
      <alignment horizontal="center" vertical="center"/>
    </xf>
    <xf numFmtId="2" fontId="20" fillId="0" borderId="26" xfId="0" applyNumberFormat="1" applyFont="1" applyBorder="1" applyAlignment="1">
      <alignment vertical="center"/>
    </xf>
    <xf numFmtId="0" fontId="2" fillId="0" borderId="17" xfId="0" applyFont="1" applyBorder="1" applyAlignment="1">
      <alignment horizontal="center" vertical="center"/>
    </xf>
    <xf numFmtId="4" fontId="20" fillId="0" borderId="21" xfId="0" applyNumberFormat="1" applyFont="1" applyBorder="1" applyAlignment="1">
      <alignment vertical="center"/>
    </xf>
    <xf numFmtId="2" fontId="20" fillId="0" borderId="23" xfId="0" applyNumberFormat="1" applyFont="1" applyBorder="1" applyAlignment="1">
      <alignment vertical="center"/>
    </xf>
    <xf numFmtId="165" fontId="2" fillId="0" borderId="0" xfId="0" applyNumberFormat="1" applyFont="1" applyAlignment="1">
      <alignment horizontal="center" vertical="center"/>
    </xf>
    <xf numFmtId="2" fontId="20" fillId="0" borderId="0" xfId="0" applyNumberFormat="1" applyFont="1" applyAlignment="1">
      <alignment vertical="center"/>
    </xf>
    <xf numFmtId="4" fontId="20" fillId="0" borderId="26" xfId="0" applyNumberFormat="1" applyFont="1" applyBorder="1" applyAlignment="1">
      <alignment horizontal="center" vertical="center"/>
    </xf>
    <xf numFmtId="0" fontId="25" fillId="0" borderId="13" xfId="0" applyFont="1" applyBorder="1" applyAlignment="1">
      <alignment horizontal="center" vertical="center"/>
    </xf>
    <xf numFmtId="4" fontId="26" fillId="0" borderId="13" xfId="0" applyNumberFormat="1" applyFont="1" applyBorder="1" applyAlignment="1">
      <alignment horizontal="center" vertical="center"/>
    </xf>
    <xf numFmtId="4" fontId="20" fillId="0" borderId="0" xfId="0" applyNumberFormat="1" applyFont="1" applyAlignment="1">
      <alignment horizontal="center" vertical="center"/>
    </xf>
    <xf numFmtId="0" fontId="20" fillId="0" borderId="10" xfId="0" applyFont="1" applyBorder="1" applyAlignment="1">
      <alignment horizontal="left" vertical="center" wrapText="1"/>
    </xf>
    <xf numFmtId="0" fontId="2" fillId="0" borderId="26" xfId="0" applyFont="1" applyBorder="1" applyAlignment="1">
      <alignment horizontal="center" vertical="center"/>
    </xf>
    <xf numFmtId="0" fontId="29" fillId="0" borderId="12" xfId="0" applyFont="1" applyBorder="1" applyAlignment="1">
      <alignment horizontal="center" vertical="center"/>
    </xf>
    <xf numFmtId="0" fontId="26" fillId="0" borderId="12" xfId="0" applyFont="1" applyBorder="1" applyAlignment="1">
      <alignment horizontal="center" vertical="center"/>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6" fillId="0" borderId="18" xfId="0" applyFont="1" applyBorder="1" applyAlignment="1">
      <alignment horizontal="center" vertical="center"/>
    </xf>
    <xf numFmtId="4" fontId="21" fillId="0" borderId="10" xfId="0" applyNumberFormat="1" applyFont="1" applyBorder="1" applyAlignment="1">
      <alignment horizontal="center" vertical="center" wrapText="1"/>
    </xf>
    <xf numFmtId="2" fontId="21" fillId="0" borderId="10" xfId="0" applyNumberFormat="1" applyFont="1" applyBorder="1" applyAlignment="1">
      <alignment horizontal="center" vertical="center" wrapText="1"/>
    </xf>
    <xf numFmtId="4" fontId="20" fillId="0" borderId="13" xfId="0" applyNumberFormat="1" applyFont="1" applyBorder="1" applyAlignment="1">
      <alignment horizontal="center" vertical="center" wrapText="1"/>
    </xf>
    <xf numFmtId="0" fontId="2" fillId="0" borderId="18" xfId="0" applyFont="1" applyBorder="1" applyAlignment="1">
      <alignment vertical="center" wrapText="1"/>
    </xf>
    <xf numFmtId="49" fontId="20" fillId="0" borderId="12" xfId="0" applyNumberFormat="1" applyFont="1" applyBorder="1" applyAlignment="1">
      <alignment vertical="center" wrapText="1"/>
    </xf>
    <xf numFmtId="0" fontId="20" fillId="0" borderId="13" xfId="0" applyFont="1" applyBorder="1" applyAlignment="1">
      <alignment vertical="center" wrapText="1"/>
    </xf>
    <xf numFmtId="0" fontId="21" fillId="0" borderId="12" xfId="0" applyFont="1" applyBorder="1" applyAlignment="1">
      <alignment horizontal="center" vertical="center" wrapText="1"/>
    </xf>
    <xf numFmtId="49" fontId="21" fillId="0" borderId="13" xfId="0" applyNumberFormat="1" applyFont="1" applyBorder="1" applyAlignment="1">
      <alignment horizontal="center" vertical="center" wrapText="1"/>
    </xf>
    <xf numFmtId="0" fontId="21" fillId="0" borderId="13" xfId="0" applyFont="1" applyBorder="1" applyAlignment="1">
      <alignment horizontal="left" vertical="center" wrapText="1"/>
    </xf>
    <xf numFmtId="4" fontId="21" fillId="0" borderId="13" xfId="0" applyNumberFormat="1" applyFont="1" applyBorder="1" applyAlignment="1">
      <alignment horizontal="center" vertical="center" wrapText="1"/>
    </xf>
    <xf numFmtId="0" fontId="21" fillId="0" borderId="18" xfId="0" applyFont="1" applyBorder="1" applyAlignment="1">
      <alignment vertical="center" wrapText="1"/>
    </xf>
    <xf numFmtId="0" fontId="2" fillId="0" borderId="21" xfId="0" applyFont="1" applyBorder="1" applyAlignment="1">
      <alignment horizontal="left" vertical="center" wrapText="1"/>
    </xf>
    <xf numFmtId="4" fontId="23" fillId="0" borderId="0" xfId="0" applyNumberFormat="1" applyFont="1" applyAlignment="1">
      <alignment horizontal="center" vertical="center"/>
    </xf>
    <xf numFmtId="0" fontId="21" fillId="0" borderId="12" xfId="0" applyFont="1" applyBorder="1" applyAlignment="1">
      <alignment horizontal="center" vertical="center"/>
    </xf>
    <xf numFmtId="0" fontId="21" fillId="0" borderId="13" xfId="0" applyFont="1" applyBorder="1" applyAlignment="1">
      <alignment horizontal="center" vertical="center"/>
    </xf>
    <xf numFmtId="2" fontId="21" fillId="0" borderId="13" xfId="0" applyNumberFormat="1" applyFont="1" applyBorder="1" applyAlignment="1">
      <alignment horizontal="center" vertical="center"/>
    </xf>
    <xf numFmtId="165" fontId="21" fillId="0" borderId="13" xfId="0" applyNumberFormat="1" applyFont="1" applyBorder="1" applyAlignment="1">
      <alignment horizontal="center" vertical="center"/>
    </xf>
    <xf numFmtId="165" fontId="23" fillId="0" borderId="18" xfId="0" applyNumberFormat="1" applyFont="1" applyBorder="1" applyAlignment="1">
      <alignment horizontal="right" vertical="center" wrapText="1"/>
    </xf>
    <xf numFmtId="0" fontId="2" fillId="0" borderId="0" xfId="0" applyFont="1" applyAlignment="1">
      <alignment horizontal="center"/>
    </xf>
    <xf numFmtId="0" fontId="2" fillId="0" borderId="0" xfId="0" applyFont="1"/>
    <xf numFmtId="0" fontId="28" fillId="0" borderId="12" xfId="0" applyFont="1" applyBorder="1" applyAlignment="1">
      <alignment horizontal="center" vertical="center"/>
    </xf>
    <xf numFmtId="0" fontId="28" fillId="0" borderId="12" xfId="0" applyFont="1" applyBorder="1" applyAlignment="1">
      <alignment horizontal="left" vertical="center"/>
    </xf>
    <xf numFmtId="0" fontId="32" fillId="0" borderId="12" xfId="0" applyFont="1" applyBorder="1" applyAlignment="1">
      <alignment horizontal="left" vertical="center"/>
    </xf>
    <xf numFmtId="0" fontId="32" fillId="0" borderId="13" xfId="0" applyFont="1" applyBorder="1" applyAlignment="1">
      <alignment vertical="center"/>
    </xf>
    <xf numFmtId="0" fontId="32" fillId="0" borderId="13" xfId="0" applyFont="1" applyBorder="1" applyAlignment="1">
      <alignment horizontal="left" vertical="center" wrapText="1"/>
    </xf>
    <xf numFmtId="0" fontId="32" fillId="0" borderId="12" xfId="0" applyFont="1" applyBorder="1" applyAlignment="1">
      <alignment vertical="center"/>
    </xf>
    <xf numFmtId="4" fontId="32" fillId="0" borderId="13" xfId="0" applyNumberFormat="1" applyFont="1" applyBorder="1" applyAlignment="1">
      <alignment horizontal="center" vertical="center"/>
    </xf>
    <xf numFmtId="0" fontId="31" fillId="0" borderId="18" xfId="0" applyFont="1" applyBorder="1" applyAlignment="1">
      <alignment vertical="center"/>
    </xf>
    <xf numFmtId="0" fontId="31" fillId="0" borderId="0" xfId="0" applyFont="1" applyAlignment="1">
      <alignment vertical="center"/>
    </xf>
    <xf numFmtId="4" fontId="32" fillId="0" borderId="13" xfId="0" applyNumberFormat="1" applyFont="1" applyBorder="1" applyAlignment="1">
      <alignment vertical="center"/>
    </xf>
    <xf numFmtId="0" fontId="34" fillId="0" borderId="10" xfId="0" applyFont="1" applyBorder="1" applyAlignment="1">
      <alignment vertical="center" wrapText="1"/>
    </xf>
    <xf numFmtId="2" fontId="34" fillId="0" borderId="10" xfId="0" applyNumberFormat="1" applyFont="1" applyBorder="1" applyAlignment="1">
      <alignment horizontal="center" vertical="center" wrapText="1"/>
    </xf>
    <xf numFmtId="0" fontId="34" fillId="0" borderId="10" xfId="0" applyFont="1" applyBorder="1" applyAlignment="1">
      <alignment horizontal="left" vertical="center" wrapText="1"/>
    </xf>
    <xf numFmtId="49" fontId="34" fillId="0" borderId="10" xfId="0" applyNumberFormat="1" applyFont="1" applyBorder="1" applyAlignment="1">
      <alignment horizontal="center" vertical="center" wrapText="1"/>
    </xf>
    <xf numFmtId="0" fontId="34" fillId="0" borderId="10" xfId="0" applyFont="1" applyBorder="1" applyAlignment="1">
      <alignment horizontal="center" vertical="center" wrapText="1"/>
    </xf>
    <xf numFmtId="0" fontId="28" fillId="0" borderId="10" xfId="0" applyFont="1" applyBorder="1" applyAlignment="1">
      <alignment horizontal="left" vertical="center" wrapText="1"/>
    </xf>
    <xf numFmtId="0" fontId="35" fillId="0" borderId="0" xfId="0" applyFont="1" applyAlignment="1">
      <alignment vertical="center"/>
    </xf>
    <xf numFmtId="0" fontId="35" fillId="0" borderId="0" xfId="0" applyFont="1" applyAlignment="1">
      <alignment vertical="center" wrapText="1"/>
    </xf>
    <xf numFmtId="14" fontId="35" fillId="0" borderId="0" xfId="0" applyNumberFormat="1" applyFont="1" applyAlignment="1">
      <alignment vertical="center"/>
    </xf>
    <xf numFmtId="0" fontId="36" fillId="0" borderId="12" xfId="0" applyFont="1" applyBorder="1" applyAlignment="1">
      <alignment vertical="center"/>
    </xf>
    <xf numFmtId="0" fontId="36" fillId="0" borderId="18" xfId="0" applyFont="1" applyBorder="1" applyAlignment="1">
      <alignment vertical="center"/>
    </xf>
    <xf numFmtId="0" fontId="36" fillId="0" borderId="10" xfId="0" applyFont="1" applyBorder="1" applyAlignment="1">
      <alignment vertical="center" wrapText="1"/>
    </xf>
    <xf numFmtId="0" fontId="36" fillId="0" borderId="10" xfId="0" applyFont="1" applyBorder="1" applyAlignment="1">
      <alignment horizontal="center" vertical="center"/>
    </xf>
    <xf numFmtId="14" fontId="36" fillId="0" borderId="12" xfId="0" applyNumberFormat="1" applyFont="1" applyBorder="1" applyAlignment="1">
      <alignment horizontal="center" vertical="center"/>
    </xf>
    <xf numFmtId="0" fontId="36" fillId="0" borderId="18" xfId="0" applyFont="1" applyBorder="1" applyAlignment="1">
      <alignment horizontal="right" vertical="center"/>
    </xf>
    <xf numFmtId="0" fontId="36" fillId="24" borderId="0" xfId="0" applyFont="1" applyFill="1" applyAlignment="1" applyProtection="1">
      <alignment vertical="center" wrapText="1"/>
      <protection locked="0"/>
    </xf>
    <xf numFmtId="0" fontId="36" fillId="24" borderId="15" xfId="0" applyFont="1" applyFill="1" applyBorder="1" applyAlignment="1" applyProtection="1">
      <alignment horizontal="center" vertical="center"/>
      <protection locked="0"/>
    </xf>
    <xf numFmtId="17" fontId="36" fillId="24" borderId="10" xfId="0" applyNumberFormat="1" applyFont="1" applyFill="1" applyBorder="1" applyAlignment="1" applyProtection="1">
      <alignment horizontal="center" vertical="center"/>
      <protection locked="0"/>
    </xf>
    <xf numFmtId="168" fontId="36" fillId="0" borderId="18" xfId="0" applyNumberFormat="1" applyFont="1" applyBorder="1" applyAlignment="1">
      <alignment vertical="center"/>
    </xf>
    <xf numFmtId="0" fontId="37" fillId="0" borderId="11" xfId="0" applyFont="1" applyBorder="1" applyAlignment="1">
      <alignment vertical="center"/>
    </xf>
    <xf numFmtId="0" fontId="37" fillId="0" borderId="10" xfId="0" applyFont="1" applyBorder="1" applyAlignment="1">
      <alignment vertical="center"/>
    </xf>
    <xf numFmtId="0" fontId="37" fillId="0" borderId="10" xfId="0" applyFont="1" applyBorder="1" applyAlignment="1">
      <alignment horizontal="center" vertical="center"/>
    </xf>
    <xf numFmtId="0" fontId="37" fillId="0" borderId="16" xfId="0" applyFont="1" applyBorder="1" applyAlignment="1">
      <alignment horizontal="left" vertical="center"/>
    </xf>
    <xf numFmtId="0" fontId="37" fillId="24" borderId="29" xfId="0" applyFont="1" applyFill="1" applyBorder="1" applyAlignment="1" applyProtection="1">
      <alignment horizontal="left" vertical="center" wrapText="1"/>
      <protection locked="0"/>
    </xf>
    <xf numFmtId="0" fontId="37" fillId="24" borderId="29" xfId="0" applyFont="1" applyFill="1" applyBorder="1" applyAlignment="1" applyProtection="1">
      <alignment vertical="center" wrapText="1"/>
      <protection locked="0"/>
    </xf>
    <xf numFmtId="0" fontId="37" fillId="24" borderId="29" xfId="0" applyFont="1" applyFill="1" applyBorder="1" applyAlignment="1" applyProtection="1">
      <alignment horizontal="center" vertical="center" wrapText="1"/>
      <protection locked="0"/>
    </xf>
    <xf numFmtId="169" fontId="37" fillId="24" borderId="29" xfId="0" applyNumberFormat="1" applyFont="1" applyFill="1" applyBorder="1" applyAlignment="1" applyProtection="1">
      <alignment vertical="center" wrapText="1"/>
      <protection locked="0"/>
    </xf>
    <xf numFmtId="14" fontId="37" fillId="24" borderId="29" xfId="0" applyNumberFormat="1" applyFont="1" applyFill="1" applyBorder="1" applyAlignment="1" applyProtection="1">
      <alignment vertical="center" wrapText="1"/>
      <protection locked="0"/>
    </xf>
    <xf numFmtId="165" fontId="37" fillId="24" borderId="29" xfId="0" applyNumberFormat="1" applyFont="1" applyFill="1" applyBorder="1" applyAlignment="1" applyProtection="1">
      <alignment vertical="center"/>
      <protection locked="0"/>
    </xf>
    <xf numFmtId="0" fontId="37" fillId="24" borderId="30" xfId="0" applyFont="1" applyFill="1" applyBorder="1" applyAlignment="1" applyProtection="1">
      <alignment horizontal="left" vertical="center" wrapText="1"/>
      <protection locked="0"/>
    </xf>
    <xf numFmtId="0" fontId="37" fillId="24" borderId="30" xfId="0" applyFont="1" applyFill="1" applyBorder="1" applyAlignment="1" applyProtection="1">
      <alignment vertical="center" wrapText="1"/>
      <protection locked="0"/>
    </xf>
    <xf numFmtId="0" fontId="37" fillId="24" borderId="30" xfId="0" applyFont="1" applyFill="1" applyBorder="1" applyAlignment="1" applyProtection="1">
      <alignment horizontal="center" vertical="center" wrapText="1"/>
      <protection locked="0"/>
    </xf>
    <xf numFmtId="169" fontId="37" fillId="24" borderId="30" xfId="0" applyNumberFormat="1" applyFont="1" applyFill="1" applyBorder="1" applyAlignment="1" applyProtection="1">
      <alignment vertical="center" wrapText="1"/>
      <protection locked="0"/>
    </xf>
    <xf numFmtId="165" fontId="37" fillId="24" borderId="30" xfId="0" applyNumberFormat="1" applyFont="1" applyFill="1" applyBorder="1" applyAlignment="1" applyProtection="1">
      <alignment vertical="center"/>
      <protection locked="0"/>
    </xf>
    <xf numFmtId="14" fontId="37" fillId="0" borderId="10" xfId="0" applyNumberFormat="1" applyFont="1" applyBorder="1" applyAlignment="1">
      <alignment horizontal="center" vertical="center" wrapText="1"/>
    </xf>
    <xf numFmtId="0" fontId="37" fillId="0" borderId="10" xfId="0" applyFont="1" applyBorder="1" applyAlignment="1">
      <alignment horizontal="center" vertical="center" wrapText="1"/>
    </xf>
    <xf numFmtId="3" fontId="37" fillId="24" borderId="30" xfId="0" applyNumberFormat="1" applyFont="1" applyFill="1" applyBorder="1" applyAlignment="1" applyProtection="1">
      <alignment horizontal="center" vertical="center" wrapText="1"/>
      <protection locked="0"/>
    </xf>
    <xf numFmtId="0" fontId="20" fillId="0" borderId="13" xfId="0" applyFont="1" applyBorder="1" applyAlignment="1">
      <alignment horizontal="left" vertical="center" wrapText="1"/>
    </xf>
    <xf numFmtId="0" fontId="20" fillId="0" borderId="18" xfId="0" applyFont="1" applyBorder="1" applyAlignment="1">
      <alignment horizontal="left" vertical="center" wrapText="1"/>
    </xf>
    <xf numFmtId="49" fontId="20" fillId="0" borderId="12" xfId="0" applyNumberFormat="1" applyFont="1" applyBorder="1" applyAlignment="1">
      <alignment horizontal="center" vertical="center" wrapText="1"/>
    </xf>
    <xf numFmtId="0" fontId="23" fillId="0" borderId="12" xfId="0" applyFont="1" applyBorder="1" applyAlignment="1">
      <alignment horizontal="center" vertical="center" wrapText="1"/>
    </xf>
    <xf numFmtId="0" fontId="20" fillId="0" borderId="12" xfId="0" applyFont="1" applyBorder="1" applyAlignment="1">
      <alignment vertical="center" wrapText="1"/>
    </xf>
    <xf numFmtId="0" fontId="0" fillId="0" borderId="0" xfId="0" applyAlignment="1">
      <alignment horizontal="center" vertical="center"/>
    </xf>
    <xf numFmtId="0" fontId="39" fillId="0" borderId="10" xfId="0" applyFont="1" applyBorder="1" applyAlignment="1">
      <alignment horizontal="center" vertical="center" wrapText="1"/>
    </xf>
    <xf numFmtId="0" fontId="40" fillId="25" borderId="31" xfId="0" applyFont="1" applyFill="1" applyBorder="1" applyAlignment="1">
      <alignment vertical="center"/>
    </xf>
    <xf numFmtId="0" fontId="40" fillId="25" borderId="31" xfId="0" applyFont="1" applyFill="1" applyBorder="1" applyAlignment="1">
      <alignment horizontal="left" vertical="center"/>
    </xf>
    <xf numFmtId="0" fontId="40" fillId="25" borderId="31" xfId="0" applyFont="1" applyFill="1" applyBorder="1" applyAlignment="1">
      <alignment horizontal="center" vertical="center"/>
    </xf>
    <xf numFmtId="0" fontId="41" fillId="26" borderId="32" xfId="0" applyFont="1" applyFill="1" applyBorder="1" applyAlignment="1">
      <alignment vertical="center"/>
    </xf>
    <xf numFmtId="0" fontId="41" fillId="26" borderId="33" xfId="0" applyFont="1" applyFill="1" applyBorder="1" applyAlignment="1">
      <alignment horizontal="left" vertical="center"/>
    </xf>
    <xf numFmtId="0" fontId="41" fillId="26" borderId="33" xfId="0" applyFont="1" applyFill="1" applyBorder="1" applyAlignment="1">
      <alignment horizontal="center" vertical="center"/>
    </xf>
    <xf numFmtId="0" fontId="40" fillId="0" borderId="32" xfId="0" applyFont="1" applyBorder="1" applyAlignment="1">
      <alignment vertical="center"/>
    </xf>
    <xf numFmtId="0" fontId="40" fillId="0" borderId="33" xfId="0" applyFont="1" applyBorder="1" applyAlignment="1">
      <alignment horizontal="right" vertical="center"/>
    </xf>
    <xf numFmtId="0" fontId="40" fillId="0" borderId="33" xfId="0" applyFont="1" applyBorder="1" applyAlignment="1">
      <alignment horizontal="left" vertical="center"/>
    </xf>
    <xf numFmtId="0" fontId="40" fillId="0" borderId="33" xfId="0" applyFont="1" applyBorder="1" applyAlignment="1">
      <alignment horizontal="center" vertical="center"/>
    </xf>
    <xf numFmtId="0" fontId="40" fillId="0" borderId="35" xfId="0" applyFont="1" applyBorder="1" applyAlignment="1">
      <alignment vertical="center"/>
    </xf>
    <xf numFmtId="0" fontId="40" fillId="0" borderId="36" xfId="0" applyFont="1" applyBorder="1" applyAlignment="1">
      <alignment horizontal="right" vertical="center"/>
    </xf>
    <xf numFmtId="0" fontId="40" fillId="0" borderId="36" xfId="0" applyFont="1" applyBorder="1" applyAlignment="1">
      <alignment horizontal="left" vertical="center"/>
    </xf>
    <xf numFmtId="0" fontId="40" fillId="0" borderId="36" xfId="0" applyFont="1" applyBorder="1" applyAlignment="1">
      <alignment horizontal="center" vertical="center"/>
    </xf>
    <xf numFmtId="0" fontId="40" fillId="26" borderId="0" xfId="0" applyFont="1" applyFill="1" applyAlignment="1">
      <alignment vertical="center"/>
    </xf>
    <xf numFmtId="0" fontId="40" fillId="26" borderId="0" xfId="0" applyFont="1" applyFill="1" applyAlignment="1">
      <alignment horizontal="right" vertical="center"/>
    </xf>
    <xf numFmtId="0" fontId="40" fillId="26" borderId="0" xfId="0" applyFont="1" applyFill="1" applyAlignment="1">
      <alignment horizontal="left" vertical="center"/>
    </xf>
    <xf numFmtId="0" fontId="40" fillId="26" borderId="0" xfId="0" applyFont="1" applyFill="1" applyAlignment="1">
      <alignment horizontal="center" vertical="center"/>
    </xf>
    <xf numFmtId="167" fontId="28" fillId="0" borderId="13" xfId="43" applyNumberFormat="1" applyFont="1" applyFill="1" applyBorder="1" applyAlignment="1">
      <alignment horizontal="center" vertical="center"/>
    </xf>
    <xf numFmtId="165" fontId="28" fillId="0" borderId="13" xfId="43" applyNumberFormat="1" applyFont="1" applyFill="1" applyBorder="1" applyAlignment="1">
      <alignment horizontal="center" vertical="center"/>
    </xf>
    <xf numFmtId="165" fontId="28" fillId="0" borderId="18" xfId="43" applyNumberFormat="1" applyFont="1" applyFill="1" applyBorder="1" applyAlignment="1">
      <alignment horizontal="center" vertical="center"/>
    </xf>
    <xf numFmtId="170" fontId="28" fillId="0" borderId="10" xfId="43" applyNumberFormat="1" applyFont="1" applyFill="1" applyBorder="1" applyAlignment="1">
      <alignment horizontal="center" vertical="center"/>
    </xf>
    <xf numFmtId="165" fontId="28" fillId="0" borderId="10" xfId="43" applyNumberFormat="1" applyFont="1" applyFill="1" applyBorder="1" applyAlignment="1">
      <alignment horizontal="center" vertical="center"/>
    </xf>
    <xf numFmtId="167" fontId="40" fillId="25" borderId="31" xfId="43" applyNumberFormat="1" applyFont="1" applyFill="1" applyBorder="1" applyAlignment="1">
      <alignment horizontal="center" vertical="center"/>
    </xf>
    <xf numFmtId="43" fontId="40" fillId="25" borderId="31" xfId="43" applyFont="1" applyFill="1" applyBorder="1" applyAlignment="1">
      <alignment horizontal="center" vertical="center"/>
    </xf>
    <xf numFmtId="171" fontId="40" fillId="25" borderId="31" xfId="43" applyNumberFormat="1" applyFont="1" applyFill="1" applyBorder="1" applyAlignment="1">
      <alignment horizontal="center" vertical="center"/>
    </xf>
    <xf numFmtId="167" fontId="41" fillId="26" borderId="33" xfId="43" applyNumberFormat="1" applyFont="1" applyFill="1" applyBorder="1" applyAlignment="1">
      <alignment horizontal="center" vertical="center"/>
    </xf>
    <xf numFmtId="43" fontId="41" fillId="26" borderId="33" xfId="43" applyFont="1" applyFill="1" applyBorder="1" applyAlignment="1">
      <alignment horizontal="center" vertical="center"/>
    </xf>
    <xf numFmtId="171" fontId="41" fillId="26" borderId="34" xfId="43" applyNumberFormat="1" applyFont="1" applyFill="1" applyBorder="1" applyAlignment="1">
      <alignment horizontal="center" vertical="center"/>
    </xf>
    <xf numFmtId="167" fontId="40" fillId="0" borderId="33" xfId="43" applyNumberFormat="1" applyFont="1" applyFill="1" applyBorder="1" applyAlignment="1">
      <alignment horizontal="center" vertical="center"/>
    </xf>
    <xf numFmtId="43" fontId="40" fillId="0" borderId="33" xfId="43" applyFont="1" applyFill="1" applyBorder="1" applyAlignment="1">
      <alignment horizontal="center" vertical="center"/>
    </xf>
    <xf numFmtId="171" fontId="40" fillId="0" borderId="34" xfId="43" applyNumberFormat="1" applyFont="1" applyFill="1" applyBorder="1" applyAlignment="1">
      <alignment horizontal="center" vertical="center"/>
    </xf>
    <xf numFmtId="167" fontId="40" fillId="0" borderId="36" xfId="43" applyNumberFormat="1" applyFont="1" applyFill="1" applyBorder="1" applyAlignment="1">
      <alignment horizontal="center" vertical="center"/>
    </xf>
    <xf numFmtId="43" fontId="40" fillId="0" borderId="36" xfId="43" applyFont="1" applyFill="1" applyBorder="1" applyAlignment="1">
      <alignment horizontal="center" vertical="center"/>
    </xf>
    <xf numFmtId="171" fontId="40" fillId="0" borderId="37" xfId="43" applyNumberFormat="1" applyFont="1" applyFill="1" applyBorder="1" applyAlignment="1">
      <alignment horizontal="center" vertical="center"/>
    </xf>
    <xf numFmtId="167" fontId="40" fillId="26" borderId="0" xfId="43" applyNumberFormat="1" applyFont="1" applyFill="1" applyBorder="1" applyAlignment="1">
      <alignment horizontal="center" vertical="center"/>
    </xf>
    <xf numFmtId="43" fontId="40" fillId="26" borderId="0" xfId="43" applyFont="1" applyFill="1" applyBorder="1" applyAlignment="1">
      <alignment horizontal="center" vertical="center"/>
    </xf>
    <xf numFmtId="171" fontId="40" fillId="26" borderId="0" xfId="43" applyNumberFormat="1" applyFont="1" applyFill="1" applyBorder="1" applyAlignment="1">
      <alignment horizontal="center" vertical="center"/>
    </xf>
    <xf numFmtId="0" fontId="20" fillId="0" borderId="14" xfId="0" applyFont="1" applyBorder="1" applyAlignment="1">
      <alignment vertical="center"/>
    </xf>
    <xf numFmtId="165" fontId="2" fillId="0" borderId="27" xfId="0" applyNumberFormat="1" applyFont="1" applyBorder="1" applyAlignment="1">
      <alignment horizontal="center" vertical="center"/>
    </xf>
    <xf numFmtId="165" fontId="2" fillId="0" borderId="13" xfId="0" applyNumberFormat="1" applyFont="1" applyBorder="1" applyAlignment="1">
      <alignment horizontal="center" vertical="center"/>
    </xf>
    <xf numFmtId="0" fontId="2" fillId="0" borderId="18" xfId="0" applyFont="1" applyBorder="1" applyAlignment="1">
      <alignment vertical="center"/>
    </xf>
    <xf numFmtId="0" fontId="42" fillId="0" borderId="15" xfId="0" applyFont="1" applyBorder="1" applyAlignment="1">
      <alignment vertical="center"/>
    </xf>
    <xf numFmtId="0" fontId="43" fillId="0" borderId="10" xfId="0" applyFont="1" applyBorder="1" applyAlignment="1">
      <alignment horizontal="center" vertical="center"/>
    </xf>
    <xf numFmtId="0" fontId="42" fillId="0" borderId="10" xfId="0" applyFont="1" applyBorder="1" applyAlignment="1">
      <alignment vertical="center" wrapText="1"/>
    </xf>
    <xf numFmtId="170" fontId="2" fillId="0" borderId="27" xfId="0" applyNumberFormat="1" applyFont="1" applyBorder="1" applyAlignment="1">
      <alignment horizontal="center" vertical="center"/>
    </xf>
    <xf numFmtId="170" fontId="20" fillId="0" borderId="10" xfId="43" applyNumberFormat="1" applyFont="1" applyFill="1" applyBorder="1" applyAlignment="1">
      <alignment horizontal="center" vertical="center"/>
    </xf>
    <xf numFmtId="170" fontId="2" fillId="0" borderId="13" xfId="43" applyNumberFormat="1" applyFont="1" applyFill="1" applyBorder="1" applyAlignment="1">
      <alignment horizontal="center" vertical="center"/>
    </xf>
    <xf numFmtId="170" fontId="2" fillId="0" borderId="10" xfId="43" applyNumberFormat="1" applyFont="1" applyFill="1" applyBorder="1" applyAlignment="1">
      <alignment horizontal="center" vertical="center"/>
    </xf>
    <xf numFmtId="170" fontId="2" fillId="0" borderId="0" xfId="0" applyNumberFormat="1" applyFont="1" applyAlignment="1">
      <alignment horizontal="center" vertical="center"/>
    </xf>
    <xf numFmtId="170" fontId="25" fillId="0" borderId="20" xfId="43" applyNumberFormat="1" applyFont="1" applyFill="1" applyBorder="1" applyAlignment="1">
      <alignment horizontal="center" vertical="center"/>
    </xf>
    <xf numFmtId="49" fontId="2" fillId="0" borderId="17" xfId="0" applyNumberFormat="1" applyFont="1" applyBorder="1" applyAlignment="1">
      <alignment horizontal="center" vertical="center"/>
    </xf>
    <xf numFmtId="2" fontId="2" fillId="0" borderId="21" xfId="0" applyNumberFormat="1" applyFont="1" applyBorder="1" applyAlignment="1">
      <alignment horizontal="center" vertical="center"/>
    </xf>
    <xf numFmtId="4" fontId="2" fillId="0" borderId="21" xfId="0" applyNumberFormat="1" applyFont="1" applyBorder="1" applyAlignment="1">
      <alignment horizontal="center" vertical="center"/>
    </xf>
    <xf numFmtId="4" fontId="2" fillId="0" borderId="23" xfId="0" applyNumberFormat="1" applyFont="1" applyBorder="1" applyAlignment="1">
      <alignment horizontal="center" vertical="center"/>
    </xf>
    <xf numFmtId="4" fontId="26" fillId="0" borderId="0" xfId="0" applyNumberFormat="1" applyFont="1" applyAlignment="1">
      <alignment horizontal="center" vertical="center"/>
    </xf>
    <xf numFmtId="2" fontId="27" fillId="0" borderId="28" xfId="0" applyNumberFormat="1" applyFont="1" applyBorder="1" applyAlignment="1">
      <alignment vertical="center"/>
    </xf>
    <xf numFmtId="4" fontId="33" fillId="0" borderId="18" xfId="0" applyNumberFormat="1" applyFont="1" applyBorder="1" applyAlignment="1">
      <alignment vertical="center" wrapText="1"/>
    </xf>
    <xf numFmtId="0" fontId="25" fillId="0" borderId="0" xfId="0" applyFont="1" applyAlignment="1">
      <alignment horizontal="left" vertical="center"/>
    </xf>
    <xf numFmtId="165" fontId="43" fillId="0" borderId="10" xfId="0" applyNumberFormat="1" applyFont="1" applyBorder="1" applyAlignment="1">
      <alignment horizontal="center" vertical="center"/>
    </xf>
    <xf numFmtId="165" fontId="43" fillId="27" borderId="10" xfId="0" applyNumberFormat="1" applyFont="1" applyFill="1" applyBorder="1" applyAlignment="1">
      <alignment horizontal="center" vertical="center"/>
    </xf>
    <xf numFmtId="170" fontId="39" fillId="0" borderId="10" xfId="0" applyNumberFormat="1" applyFont="1" applyBorder="1" applyAlignment="1">
      <alignment horizontal="center" vertical="center" wrapText="1"/>
    </xf>
    <xf numFmtId="0" fontId="25" fillId="0" borderId="10" xfId="0" applyFont="1" applyBorder="1" applyAlignment="1">
      <alignment horizontal="left" vertical="center" wrapText="1"/>
    </xf>
    <xf numFmtId="0" fontId="22" fillId="0" borderId="10" xfId="0" applyFont="1" applyBorder="1" applyAlignment="1">
      <alignment vertical="center" wrapText="1"/>
    </xf>
    <xf numFmtId="0" fontId="22" fillId="0" borderId="10" xfId="0" applyFont="1" applyBorder="1" applyAlignment="1">
      <alignment horizontal="left" vertical="center" wrapText="1"/>
    </xf>
    <xf numFmtId="0" fontId="20" fillId="0" borderId="14" xfId="0" applyFont="1" applyBorder="1" applyAlignment="1">
      <alignment horizontal="center" vertical="center"/>
    </xf>
    <xf numFmtId="0" fontId="20" fillId="0" borderId="27" xfId="0" applyFont="1" applyBorder="1" applyAlignment="1">
      <alignment horizontal="left" vertical="center"/>
    </xf>
    <xf numFmtId="165" fontId="20" fillId="0" borderId="27" xfId="0" applyNumberFormat="1" applyFont="1" applyBorder="1" applyAlignment="1">
      <alignment horizontal="center" vertical="center"/>
    </xf>
    <xf numFmtId="165" fontId="20" fillId="0" borderId="22" xfId="0" applyNumberFormat="1" applyFont="1" applyBorder="1" applyAlignment="1">
      <alignment horizontal="center" vertical="center"/>
    </xf>
    <xf numFmtId="0" fontId="34" fillId="0" borderId="10" xfId="0" applyFont="1" applyBorder="1" applyAlignment="1">
      <alignment horizontal="center" vertical="center"/>
    </xf>
    <xf numFmtId="0" fontId="21" fillId="0" borderId="10" xfId="0" applyFont="1" applyBorder="1" applyAlignment="1">
      <alignment vertical="center" wrapText="1"/>
    </xf>
    <xf numFmtId="0" fontId="31" fillId="0" borderId="10" xfId="0" applyFont="1" applyBorder="1" applyAlignment="1">
      <alignment horizontal="center" vertical="center"/>
    </xf>
    <xf numFmtId="0" fontId="20" fillId="0" borderId="10" xfId="0" applyFont="1" applyBorder="1" applyAlignment="1">
      <alignment horizontal="center" vertical="center" wrapText="1"/>
    </xf>
    <xf numFmtId="165" fontId="20" fillId="0" borderId="22" xfId="0" applyNumberFormat="1" applyFont="1" applyBorder="1" applyAlignment="1">
      <alignment horizontal="right" vertical="center"/>
    </xf>
    <xf numFmtId="0" fontId="22" fillId="0" borderId="18" xfId="0" applyFont="1" applyBorder="1" applyAlignment="1">
      <alignment vertical="center" wrapText="1"/>
    </xf>
    <xf numFmtId="0" fontId="22" fillId="0" borderId="18" xfId="0" applyFont="1" applyBorder="1" applyAlignment="1">
      <alignment horizontal="center" vertical="center" wrapText="1"/>
    </xf>
    <xf numFmtId="0" fontId="21" fillId="0" borderId="26" xfId="0" applyFont="1" applyBorder="1" applyAlignment="1">
      <alignment horizontal="center" vertical="center"/>
    </xf>
    <xf numFmtId="0" fontId="20" fillId="0" borderId="26" xfId="0" applyFont="1" applyBorder="1" applyAlignment="1">
      <alignment horizontal="center" vertical="center"/>
    </xf>
    <xf numFmtId="10" fontId="20" fillId="0" borderId="24" xfId="0" applyNumberFormat="1" applyFont="1" applyBorder="1" applyAlignment="1">
      <alignment horizontal="center" vertical="center" wrapText="1"/>
    </xf>
    <xf numFmtId="0" fontId="2" fillId="0" borderId="24" xfId="0" applyFont="1" applyBorder="1" applyAlignment="1">
      <alignment horizontal="center" vertical="center"/>
    </xf>
    <xf numFmtId="0" fontId="2" fillId="0" borderId="25" xfId="0" applyFont="1" applyBorder="1" applyAlignment="1">
      <alignment horizontal="center" vertical="center"/>
    </xf>
    <xf numFmtId="165" fontId="29" fillId="0" borderId="22" xfId="43" applyNumberFormat="1" applyFont="1" applyFill="1" applyBorder="1" applyAlignment="1">
      <alignment horizontal="right" vertical="center"/>
    </xf>
    <xf numFmtId="167" fontId="28" fillId="0" borderId="10" xfId="43" applyNumberFormat="1" applyFont="1" applyFill="1" applyBorder="1" applyAlignment="1">
      <alignment horizontal="center" vertical="center"/>
    </xf>
    <xf numFmtId="0" fontId="2" fillId="0" borderId="10" xfId="0" applyFont="1" applyBorder="1" applyAlignment="1">
      <alignment horizontal="center" vertical="center" wrapText="1"/>
    </xf>
    <xf numFmtId="165" fontId="20" fillId="0" borderId="10" xfId="0" applyNumberFormat="1" applyFont="1" applyBorder="1" applyAlignment="1">
      <alignment horizontal="center" vertical="center"/>
    </xf>
    <xf numFmtId="0" fontId="0" fillId="0" borderId="0" xfId="0" applyAlignment="1">
      <alignment vertical="center"/>
    </xf>
    <xf numFmtId="165" fontId="42" fillId="0" borderId="10" xfId="0" applyNumberFormat="1" applyFont="1" applyBorder="1" applyAlignment="1">
      <alignment horizontal="center" vertical="center"/>
    </xf>
    <xf numFmtId="2" fontId="42" fillId="0" borderId="10" xfId="0" applyNumberFormat="1" applyFont="1" applyBorder="1" applyAlignment="1">
      <alignment horizontal="center" vertical="center"/>
    </xf>
    <xf numFmtId="0" fontId="2" fillId="0" borderId="0" xfId="0" applyFont="1" applyAlignment="1">
      <alignment wrapText="1"/>
    </xf>
    <xf numFmtId="165" fontId="34" fillId="0" borderId="10" xfId="0" applyNumberFormat="1" applyFont="1" applyBorder="1" applyAlignment="1">
      <alignment horizontal="center" vertical="center" wrapText="1"/>
    </xf>
    <xf numFmtId="0" fontId="34" fillId="0" borderId="0" xfId="0" applyFont="1" applyAlignment="1">
      <alignment vertical="center"/>
    </xf>
    <xf numFmtId="165" fontId="34" fillId="0" borderId="0" xfId="0" applyNumberFormat="1" applyFont="1" applyAlignment="1">
      <alignment vertical="center"/>
    </xf>
    <xf numFmtId="166" fontId="34" fillId="0" borderId="0" xfId="0" applyNumberFormat="1" applyFont="1" applyAlignment="1">
      <alignment vertical="center"/>
    </xf>
    <xf numFmtId="2" fontId="27" fillId="0" borderId="10" xfId="0" applyNumberFormat="1" applyFont="1" applyBorder="1" applyAlignment="1">
      <alignment horizontal="center" vertical="center"/>
    </xf>
    <xf numFmtId="0" fontId="27" fillId="0" borderId="10" xfId="0" applyFont="1" applyBorder="1" applyAlignment="1">
      <alignment horizontal="center" vertical="center"/>
    </xf>
    <xf numFmtId="0" fontId="2" fillId="0" borderId="22" xfId="0" applyFont="1" applyBorder="1" applyAlignment="1">
      <alignment vertical="center"/>
    </xf>
    <xf numFmtId="0" fontId="20" fillId="0" borderId="18" xfId="0" applyFont="1" applyBorder="1" applyAlignment="1">
      <alignment vertical="center"/>
    </xf>
    <xf numFmtId="0" fontId="20" fillId="0" borderId="27" xfId="0" applyFont="1" applyBorder="1" applyAlignment="1">
      <alignment horizontal="center" vertical="center"/>
    </xf>
    <xf numFmtId="165" fontId="20" fillId="0" borderId="0" xfId="0" applyNumberFormat="1" applyFont="1" applyAlignment="1">
      <alignment horizontal="center" vertical="center"/>
    </xf>
    <xf numFmtId="165" fontId="20" fillId="0" borderId="26" xfId="0" applyNumberFormat="1" applyFont="1" applyBorder="1" applyAlignment="1">
      <alignment horizontal="center" vertical="center"/>
    </xf>
    <xf numFmtId="0" fontId="2" fillId="0" borderId="26" xfId="0" applyFont="1" applyBorder="1" applyAlignment="1">
      <alignment vertical="center"/>
    </xf>
    <xf numFmtId="0" fontId="2" fillId="0" borderId="23" xfId="0" applyFont="1" applyBorder="1" applyAlignment="1">
      <alignment vertical="center"/>
    </xf>
    <xf numFmtId="0" fontId="23" fillId="27" borderId="0" xfId="0" applyFont="1" applyFill="1" applyAlignment="1">
      <alignment vertical="center"/>
    </xf>
    <xf numFmtId="165" fontId="24" fillId="27" borderId="0" xfId="0" applyNumberFormat="1" applyFont="1" applyFill="1" applyAlignment="1">
      <alignment vertical="center"/>
    </xf>
    <xf numFmtId="166" fontId="23" fillId="27" borderId="0" xfId="0" applyNumberFormat="1" applyFont="1" applyFill="1" applyAlignment="1">
      <alignment vertical="center"/>
    </xf>
    <xf numFmtId="0" fontId="24" fillId="0" borderId="10" xfId="0" applyFont="1" applyBorder="1" applyAlignment="1">
      <alignment vertical="center" wrapText="1"/>
    </xf>
    <xf numFmtId="0" fontId="24" fillId="0" borderId="0" xfId="0" applyFont="1" applyAlignment="1">
      <alignment vertical="center" wrapText="1"/>
    </xf>
    <xf numFmtId="0" fontId="21" fillId="0" borderId="10" xfId="0" applyFont="1" applyBorder="1" applyAlignment="1">
      <alignment horizontal="left" vertical="center"/>
    </xf>
    <xf numFmtId="165" fontId="21" fillId="0" borderId="0" xfId="0" applyNumberFormat="1" applyFont="1" applyAlignment="1">
      <alignment vertical="center"/>
    </xf>
    <xf numFmtId="0" fontId="34" fillId="0" borderId="12" xfId="0" applyFont="1" applyBorder="1" applyAlignment="1">
      <alignment horizontal="center" vertical="center" wrapText="1"/>
    </xf>
    <xf numFmtId="0" fontId="34" fillId="0" borderId="18" xfId="0" applyFont="1" applyBorder="1" applyAlignment="1">
      <alignment horizontal="center" vertical="center" wrapText="1"/>
    </xf>
    <xf numFmtId="0" fontId="34" fillId="0" borderId="0" xfId="0" applyFont="1" applyAlignment="1">
      <alignment vertical="center" wrapText="1"/>
    </xf>
    <xf numFmtId="0" fontId="27" fillId="28" borderId="41" xfId="0" applyFont="1" applyFill="1" applyBorder="1"/>
    <xf numFmtId="0" fontId="27" fillId="28" borderId="42" xfId="0" applyFont="1" applyFill="1" applyBorder="1"/>
    <xf numFmtId="0" fontId="47" fillId="29" borderId="44" xfId="0" applyFont="1" applyFill="1" applyBorder="1" applyAlignment="1">
      <alignment horizontal="center" vertical="center"/>
    </xf>
    <xf numFmtId="0" fontId="47" fillId="29" borderId="13" xfId="0" applyFont="1" applyFill="1" applyBorder="1" applyAlignment="1">
      <alignment horizontal="center" vertical="center"/>
    </xf>
    <xf numFmtId="0" fontId="47" fillId="29" borderId="43" xfId="0" applyFont="1" applyFill="1" applyBorder="1" applyAlignment="1">
      <alignment horizontal="center" vertical="center"/>
    </xf>
    <xf numFmtId="0" fontId="47" fillId="0" borderId="45" xfId="45" applyFont="1" applyBorder="1" applyAlignment="1">
      <alignment vertical="center"/>
    </xf>
    <xf numFmtId="0" fontId="47" fillId="0" borderId="10" xfId="45" applyFont="1" applyBorder="1" applyAlignment="1">
      <alignment horizontal="left" vertical="center"/>
    </xf>
    <xf numFmtId="0" fontId="47" fillId="0" borderId="10" xfId="45" applyFont="1" applyBorder="1" applyAlignment="1">
      <alignment vertical="center" wrapText="1"/>
    </xf>
    <xf numFmtId="0" fontId="47" fillId="0" borderId="10" xfId="45" applyFont="1" applyBorder="1" applyAlignment="1">
      <alignment horizontal="center" vertical="center"/>
    </xf>
    <xf numFmtId="0" fontId="47" fillId="0" borderId="46" xfId="45" applyFont="1" applyBorder="1" applyAlignment="1">
      <alignment horizontal="right" vertical="center"/>
    </xf>
    <xf numFmtId="0" fontId="35" fillId="0" borderId="45" xfId="0" applyFont="1" applyBorder="1" applyAlignment="1">
      <alignment horizontal="centerContinuous" vertical="center" wrapText="1"/>
    </xf>
    <xf numFmtId="0" fontId="35" fillId="0" borderId="10" xfId="0" applyFont="1" applyBorder="1" applyAlignment="1">
      <alignment horizontal="left" vertical="center"/>
    </xf>
    <xf numFmtId="0" fontId="47" fillId="24" borderId="15" xfId="0" applyFont="1" applyFill="1" applyBorder="1" applyAlignment="1" applyProtection="1">
      <alignment horizontal="center" vertical="center"/>
      <protection locked="0"/>
    </xf>
    <xf numFmtId="17" fontId="47" fillId="24" borderId="10" xfId="0" applyNumberFormat="1" applyFont="1" applyFill="1" applyBorder="1" applyAlignment="1" applyProtection="1">
      <alignment horizontal="center" vertical="center" wrapText="1"/>
      <protection locked="0"/>
    </xf>
    <xf numFmtId="17" fontId="49" fillId="24" borderId="10" xfId="45" applyNumberFormat="1" applyFont="1" applyFill="1" applyBorder="1" applyAlignment="1" applyProtection="1">
      <alignment horizontal="center" vertical="center" wrapText="1"/>
      <protection locked="0"/>
    </xf>
    <xf numFmtId="165" fontId="47" fillId="0" borderId="43" xfId="0" applyNumberFormat="1" applyFont="1" applyBorder="1" applyAlignment="1">
      <alignment vertical="center"/>
    </xf>
    <xf numFmtId="0" fontId="35" fillId="0" borderId="45" xfId="0" applyFont="1" applyBorder="1" applyAlignment="1">
      <alignment vertical="center"/>
    </xf>
    <xf numFmtId="0" fontId="35" fillId="0" borderId="10" xfId="0" applyFont="1" applyBorder="1" applyAlignment="1">
      <alignment vertical="center"/>
    </xf>
    <xf numFmtId="0" fontId="35" fillId="0" borderId="10" xfId="0" applyFont="1" applyBorder="1" applyAlignment="1">
      <alignment horizontal="center" vertical="center"/>
    </xf>
    <xf numFmtId="0" fontId="35" fillId="0" borderId="46" xfId="0" applyFont="1" applyBorder="1" applyAlignment="1">
      <alignment horizontal="center" vertical="center"/>
    </xf>
    <xf numFmtId="0" fontId="50" fillId="24" borderId="47" xfId="45" applyFont="1" applyFill="1" applyBorder="1" applyAlignment="1" applyProtection="1">
      <alignment horizontal="center" vertical="center" wrapText="1"/>
      <protection locked="0"/>
    </xf>
    <xf numFmtId="0" fontId="50" fillId="24" borderId="30" xfId="0" applyFont="1" applyFill="1" applyBorder="1" applyAlignment="1" applyProtection="1">
      <alignment horizontal="left" vertical="center" wrapText="1"/>
      <protection locked="0"/>
    </xf>
    <xf numFmtId="0" fontId="50" fillId="24" borderId="30" xfId="0" applyFont="1" applyFill="1" applyBorder="1" applyAlignment="1" applyProtection="1">
      <alignment vertical="center" wrapText="1"/>
      <protection locked="0"/>
    </xf>
    <xf numFmtId="0" fontId="50" fillId="24" borderId="30" xfId="0" applyFont="1" applyFill="1" applyBorder="1" applyAlignment="1" applyProtection="1">
      <alignment horizontal="center" vertical="center" wrapText="1"/>
      <protection locked="0"/>
    </xf>
    <xf numFmtId="165" fontId="50" fillId="24" borderId="30" xfId="45" applyNumberFormat="1" applyFont="1" applyFill="1" applyBorder="1" applyAlignment="1" applyProtection="1">
      <alignment vertical="center" wrapText="1"/>
      <protection locked="0"/>
    </xf>
    <xf numFmtId="165" fontId="35" fillId="0" borderId="48" xfId="0" quotePrefix="1" applyNumberFormat="1" applyFont="1" applyBorder="1" applyAlignment="1">
      <alignment vertical="center"/>
    </xf>
    <xf numFmtId="2" fontId="51" fillId="30" borderId="50" xfId="0" applyNumberFormat="1" applyFont="1" applyFill="1" applyBorder="1" applyAlignment="1" applyProtection="1">
      <alignment horizontal="center" vertical="center" wrapText="1"/>
      <protection locked="0"/>
    </xf>
    <xf numFmtId="49" fontId="21" fillId="0" borderId="10" xfId="0" applyNumberFormat="1" applyFont="1" applyBorder="1" applyAlignment="1">
      <alignment horizontal="center" vertical="center"/>
    </xf>
    <xf numFmtId="4" fontId="21" fillId="0" borderId="10" xfId="0" applyNumberFormat="1" applyFont="1" applyBorder="1" applyAlignment="1">
      <alignment horizontal="left" vertical="center" wrapText="1"/>
    </xf>
    <xf numFmtId="0" fontId="50" fillId="0" borderId="45" xfId="0" applyFont="1" applyBorder="1" applyAlignment="1">
      <alignment horizontal="centerContinuous" vertical="center" wrapText="1"/>
    </xf>
    <xf numFmtId="0" fontId="50" fillId="0" borderId="10" xfId="0" applyFont="1" applyBorder="1" applyAlignment="1">
      <alignment horizontal="left" vertical="center"/>
    </xf>
    <xf numFmtId="0" fontId="49" fillId="24" borderId="15" xfId="0" applyFont="1" applyFill="1" applyBorder="1" applyAlignment="1" applyProtection="1">
      <alignment horizontal="center" vertical="center"/>
      <protection locked="0"/>
    </xf>
    <xf numFmtId="165" fontId="49" fillId="0" borderId="43" xfId="0" applyNumberFormat="1" applyFont="1" applyBorder="1" applyAlignment="1">
      <alignment vertical="center"/>
    </xf>
    <xf numFmtId="0" fontId="31" fillId="0" borderId="0" xfId="0" applyFont="1"/>
    <xf numFmtId="0" fontId="34" fillId="0" borderId="10" xfId="0" applyFont="1" applyBorder="1" applyAlignment="1">
      <alignment horizontal="left" vertical="top" wrapText="1"/>
    </xf>
    <xf numFmtId="165" fontId="20" fillId="27" borderId="18" xfId="0" applyNumberFormat="1" applyFont="1" applyFill="1" applyBorder="1" applyAlignment="1">
      <alignment horizontal="center" vertical="center"/>
    </xf>
    <xf numFmtId="0" fontId="23" fillId="31" borderId="10" xfId="0" applyFont="1" applyFill="1" applyBorder="1" applyAlignment="1">
      <alignment horizontal="center" vertical="center"/>
    </xf>
    <xf numFmtId="0" fontId="23" fillId="31" borderId="10" xfId="0" applyFont="1" applyFill="1" applyBorder="1" applyAlignment="1">
      <alignment horizontal="left" vertical="center" wrapText="1"/>
    </xf>
    <xf numFmtId="2" fontId="23" fillId="31" borderId="10" xfId="0" applyNumberFormat="1" applyFont="1" applyFill="1" applyBorder="1" applyAlignment="1">
      <alignment horizontal="center" vertical="center"/>
    </xf>
    <xf numFmtId="165" fontId="23" fillId="31" borderId="10" xfId="0" applyNumberFormat="1" applyFont="1" applyFill="1" applyBorder="1" applyAlignment="1">
      <alignment horizontal="center" vertical="center" wrapText="1"/>
    </xf>
    <xf numFmtId="0" fontId="23" fillId="31" borderId="0" xfId="0" applyFont="1" applyFill="1" applyAlignment="1">
      <alignment vertical="center"/>
    </xf>
    <xf numFmtId="165" fontId="24" fillId="31" borderId="0" xfId="0" applyNumberFormat="1" applyFont="1" applyFill="1" applyAlignment="1">
      <alignment vertical="center"/>
    </xf>
    <xf numFmtId="166" fontId="23" fillId="31" borderId="0" xfId="0" applyNumberFormat="1" applyFont="1" applyFill="1" applyAlignment="1">
      <alignment vertical="center"/>
    </xf>
    <xf numFmtId="0" fontId="21" fillId="0" borderId="18" xfId="0" applyFont="1" applyBorder="1" applyAlignment="1">
      <alignment horizontal="center" vertical="center" wrapText="1"/>
    </xf>
    <xf numFmtId="0" fontId="2" fillId="0" borderId="12" xfId="0" applyFont="1" applyBorder="1" applyAlignment="1">
      <alignment horizontal="center" vertical="center"/>
    </xf>
    <xf numFmtId="0" fontId="21" fillId="0" borderId="11" xfId="0" applyFont="1" applyBorder="1" applyAlignment="1">
      <alignment horizontal="center" vertical="center"/>
    </xf>
    <xf numFmtId="0" fontId="23" fillId="31" borderId="15" xfId="0" applyFont="1" applyFill="1" applyBorder="1" applyAlignment="1">
      <alignment horizontal="center" vertical="center"/>
    </xf>
    <xf numFmtId="4" fontId="21" fillId="0" borderId="11" xfId="0" applyNumberFormat="1" applyFont="1" applyBorder="1" applyAlignment="1">
      <alignment horizontal="left" vertical="center" wrapText="1"/>
    </xf>
    <xf numFmtId="2" fontId="21" fillId="0" borderId="11" xfId="0" applyNumberFormat="1" applyFont="1" applyBorder="1" applyAlignment="1">
      <alignment horizontal="center" vertical="center"/>
    </xf>
    <xf numFmtId="165" fontId="21" fillId="0" borderId="11" xfId="0" applyNumberFormat="1" applyFont="1" applyBorder="1" applyAlignment="1">
      <alignment horizontal="center" vertical="center" wrapText="1"/>
    </xf>
    <xf numFmtId="165" fontId="34" fillId="0" borderId="11" xfId="0" applyNumberFormat="1" applyFont="1" applyBorder="1" applyAlignment="1">
      <alignment horizontal="center" vertical="center" wrapText="1"/>
    </xf>
    <xf numFmtId="0" fontId="23" fillId="31" borderId="15" xfId="0" applyFont="1" applyFill="1" applyBorder="1" applyAlignment="1">
      <alignment horizontal="left" vertical="center" wrapText="1"/>
    </xf>
    <xf numFmtId="2" fontId="23" fillId="31" borderId="15" xfId="0" applyNumberFormat="1" applyFont="1" applyFill="1" applyBorder="1" applyAlignment="1">
      <alignment horizontal="center" vertical="center"/>
    </xf>
    <xf numFmtId="165" fontId="23" fillId="31" borderId="15" xfId="0" applyNumberFormat="1" applyFont="1" applyFill="1" applyBorder="1" applyAlignment="1">
      <alignment horizontal="center" vertical="center" wrapText="1"/>
    </xf>
    <xf numFmtId="0" fontId="20" fillId="27" borderId="12" xfId="0" applyFont="1" applyFill="1" applyBorder="1" applyAlignment="1">
      <alignment horizontal="center" vertical="center"/>
    </xf>
    <xf numFmtId="0" fontId="21" fillId="0" borderId="11" xfId="0" applyFont="1" applyBorder="1" applyAlignment="1">
      <alignment horizontal="left" vertical="center" wrapText="1"/>
    </xf>
    <xf numFmtId="49" fontId="34" fillId="0" borderId="10" xfId="0" applyNumberFormat="1" applyFont="1" applyBorder="1" applyAlignment="1">
      <alignment horizontal="center" vertical="center"/>
    </xf>
    <xf numFmtId="4" fontId="34" fillId="0" borderId="10" xfId="0" applyNumberFormat="1" applyFont="1" applyBorder="1" applyAlignment="1">
      <alignment horizontal="left" vertical="center" wrapText="1"/>
    </xf>
    <xf numFmtId="165" fontId="24" fillId="0" borderId="0" xfId="0" applyNumberFormat="1" applyFont="1" applyAlignment="1">
      <alignment vertical="center"/>
    </xf>
    <xf numFmtId="166" fontId="23" fillId="0" borderId="0" xfId="0" applyNumberFormat="1" applyFont="1" applyAlignment="1">
      <alignment vertical="center"/>
    </xf>
    <xf numFmtId="165" fontId="20" fillId="27" borderId="10" xfId="0" applyNumberFormat="1" applyFont="1" applyFill="1" applyBorder="1" applyAlignment="1">
      <alignment vertical="center"/>
    </xf>
    <xf numFmtId="2" fontId="34" fillId="0" borderId="10" xfId="0" applyNumberFormat="1" applyFont="1" applyBorder="1" applyAlignment="1">
      <alignment horizontal="center" vertical="center"/>
    </xf>
    <xf numFmtId="0" fontId="21" fillId="0" borderId="20" xfId="0" applyFont="1" applyBorder="1" applyAlignment="1">
      <alignment horizontal="center" vertical="center"/>
    </xf>
    <xf numFmtId="0" fontId="21" fillId="0" borderId="0" xfId="0" applyFont="1" applyAlignment="1">
      <alignment horizontal="left" vertical="center" wrapText="1"/>
    </xf>
    <xf numFmtId="165" fontId="21" fillId="0" borderId="0" xfId="0" applyNumberFormat="1" applyFont="1" applyAlignment="1">
      <alignment horizontal="center" vertical="center"/>
    </xf>
    <xf numFmtId="165" fontId="23" fillId="0" borderId="0" xfId="0" applyNumberFormat="1" applyFont="1" applyAlignment="1">
      <alignment horizontal="right" vertical="center" wrapText="1"/>
    </xf>
    <xf numFmtId="165" fontId="20" fillId="0" borderId="26" xfId="0" applyNumberFormat="1" applyFont="1" applyBorder="1" applyAlignment="1">
      <alignment vertical="center"/>
    </xf>
    <xf numFmtId="10" fontId="21" fillId="0" borderId="10" xfId="0" applyNumberFormat="1" applyFont="1" applyBorder="1" applyAlignment="1">
      <alignment horizontal="center" vertical="center"/>
    </xf>
    <xf numFmtId="165" fontId="21" fillId="0" borderId="18" xfId="0" applyNumberFormat="1" applyFont="1" applyBorder="1" applyAlignment="1">
      <alignment horizontal="center" vertical="center" wrapText="1"/>
    </xf>
    <xf numFmtId="10" fontId="20" fillId="0" borderId="10" xfId="33" applyNumberFormat="1" applyFont="1" applyFill="1" applyBorder="1" applyAlignment="1">
      <alignment horizontal="center" vertical="center"/>
    </xf>
    <xf numFmtId="0" fontId="27" fillId="0" borderId="13" xfId="0" applyFont="1" applyBorder="1" applyAlignment="1">
      <alignment vertical="center"/>
    </xf>
    <xf numFmtId="0" fontId="27" fillId="0" borderId="18" xfId="0" applyFont="1" applyBorder="1" applyAlignment="1">
      <alignment vertical="center"/>
    </xf>
    <xf numFmtId="10" fontId="24" fillId="27" borderId="0" xfId="0" applyNumberFormat="1" applyFont="1" applyFill="1" applyAlignment="1">
      <alignment vertical="center"/>
    </xf>
    <xf numFmtId="0" fontId="52" fillId="0" borderId="12" xfId="0" applyFont="1" applyBorder="1" applyAlignment="1">
      <alignment vertical="center"/>
    </xf>
    <xf numFmtId="0" fontId="21" fillId="0" borderId="14" xfId="0" applyFont="1" applyBorder="1" applyAlignment="1">
      <alignment horizontal="center" vertical="center"/>
    </xf>
    <xf numFmtId="0" fontId="21" fillId="0" borderId="27" xfId="0" applyFont="1" applyBorder="1" applyAlignment="1">
      <alignment horizontal="center" vertical="center"/>
    </xf>
    <xf numFmtId="0" fontId="21" fillId="0" borderId="27" xfId="0" applyFont="1" applyBorder="1" applyAlignment="1">
      <alignment horizontal="left" vertical="center" wrapText="1"/>
    </xf>
    <xf numFmtId="2" fontId="21" fillId="0" borderId="27" xfId="0" applyNumberFormat="1" applyFont="1" applyBorder="1" applyAlignment="1">
      <alignment horizontal="center" vertical="center"/>
    </xf>
    <xf numFmtId="165" fontId="21" fillId="0" borderId="27" xfId="0" applyNumberFormat="1" applyFont="1" applyBorder="1" applyAlignment="1">
      <alignment horizontal="center" vertical="center" wrapText="1"/>
    </xf>
    <xf numFmtId="165" fontId="21" fillId="0" borderId="22" xfId="0" applyNumberFormat="1" applyFont="1" applyBorder="1" applyAlignment="1">
      <alignment horizontal="center" vertical="center" wrapText="1"/>
    </xf>
    <xf numFmtId="0" fontId="21" fillId="0" borderId="13" xfId="0" applyFont="1" applyBorder="1" applyAlignment="1">
      <alignment horizontal="center" vertical="center" wrapText="1"/>
    </xf>
    <xf numFmtId="0" fontId="22" fillId="0" borderId="0" xfId="0" applyFont="1" applyAlignment="1">
      <alignment horizontal="center" vertical="center" wrapText="1"/>
    </xf>
    <xf numFmtId="0" fontId="22" fillId="0" borderId="0" xfId="0" applyFont="1" applyAlignment="1">
      <alignment horizontal="left" vertical="center" wrapText="1"/>
    </xf>
    <xf numFmtId="4" fontId="20" fillId="0" borderId="0" xfId="0" applyNumberFormat="1" applyFont="1" applyAlignment="1">
      <alignment vertical="center"/>
    </xf>
    <xf numFmtId="0" fontId="2" fillId="0" borderId="21" xfId="0" applyFont="1" applyBorder="1" applyAlignment="1">
      <alignment horizontal="center" vertical="center" wrapText="1"/>
    </xf>
    <xf numFmtId="0" fontId="2" fillId="0" borderId="23" xfId="0" applyFont="1" applyBorder="1" applyAlignment="1">
      <alignment horizontal="center" vertical="center"/>
    </xf>
    <xf numFmtId="0" fontId="27" fillId="28" borderId="0" xfId="0" applyFont="1" applyFill="1"/>
    <xf numFmtId="4" fontId="53" fillId="0" borderId="12" xfId="0" applyNumberFormat="1" applyFont="1" applyBorder="1" applyAlignment="1">
      <alignment vertical="center"/>
    </xf>
    <xf numFmtId="4" fontId="53" fillId="0" borderId="18" xfId="0" applyNumberFormat="1" applyFont="1" applyBorder="1" applyAlignment="1">
      <alignment vertical="center"/>
    </xf>
    <xf numFmtId="0" fontId="47" fillId="0" borderId="57" xfId="45" applyFont="1" applyBorder="1" applyAlignment="1">
      <alignment vertical="center"/>
    </xf>
    <xf numFmtId="0" fontId="47" fillId="0" borderId="58" xfId="45" applyFont="1" applyBorder="1" applyAlignment="1">
      <alignment horizontal="left" vertical="center"/>
    </xf>
    <xf numFmtId="0" fontId="47" fillId="0" borderId="58" xfId="45" applyFont="1" applyBorder="1" applyAlignment="1">
      <alignment vertical="center" wrapText="1"/>
    </xf>
    <xf numFmtId="0" fontId="47" fillId="0" borderId="58" xfId="45" applyFont="1" applyBorder="1" applyAlignment="1">
      <alignment horizontal="center" vertical="center"/>
    </xf>
    <xf numFmtId="0" fontId="47" fillId="0" borderId="59" xfId="45" applyFont="1" applyBorder="1" applyAlignment="1">
      <alignment horizontal="right" vertical="center"/>
    </xf>
    <xf numFmtId="4" fontId="49" fillId="24" borderId="0" xfId="0" applyNumberFormat="1" applyFont="1" applyFill="1" applyAlignment="1" applyProtection="1">
      <alignment horizontal="left" vertical="center" wrapText="1"/>
      <protection locked="0"/>
    </xf>
    <xf numFmtId="4" fontId="48" fillId="24" borderId="0" xfId="0" applyNumberFormat="1" applyFont="1" applyFill="1" applyAlignment="1" applyProtection="1">
      <alignment horizontal="left" vertical="center" wrapText="1"/>
      <protection locked="0"/>
    </xf>
    <xf numFmtId="0" fontId="47" fillId="29" borderId="60" xfId="0" applyFont="1" applyFill="1" applyBorder="1" applyAlignment="1">
      <alignment horizontal="center" vertical="center"/>
    </xf>
    <xf numFmtId="0" fontId="47" fillId="29" borderId="51" xfId="0" applyFont="1" applyFill="1" applyBorder="1" applyAlignment="1">
      <alignment horizontal="center" vertical="center"/>
    </xf>
    <xf numFmtId="0" fontId="47" fillId="29" borderId="61" xfId="0" applyFont="1" applyFill="1" applyBorder="1" applyAlignment="1">
      <alignment horizontal="center" vertical="center"/>
    </xf>
    <xf numFmtId="165" fontId="20" fillId="0" borderId="13" xfId="0" applyNumberFormat="1" applyFont="1" applyBorder="1" applyAlignment="1">
      <alignment vertical="center"/>
    </xf>
    <xf numFmtId="165" fontId="20" fillId="0" borderId="12" xfId="0" applyNumberFormat="1" applyFont="1" applyBorder="1" applyAlignment="1">
      <alignment vertical="center"/>
    </xf>
    <xf numFmtId="165" fontId="46" fillId="0" borderId="25" xfId="0" applyNumberFormat="1" applyFont="1" applyBorder="1" applyAlignment="1">
      <alignment horizontal="center" vertical="center" wrapText="1"/>
    </xf>
    <xf numFmtId="10" fontId="24" fillId="31" borderId="0" xfId="0" applyNumberFormat="1" applyFont="1" applyFill="1" applyAlignment="1">
      <alignment vertical="center"/>
    </xf>
    <xf numFmtId="10" fontId="22" fillId="0" borderId="0" xfId="0" applyNumberFormat="1" applyFont="1" applyAlignment="1">
      <alignment vertical="center"/>
    </xf>
    <xf numFmtId="0" fontId="20" fillId="0" borderId="0" xfId="0" applyFont="1" applyAlignment="1">
      <alignment horizontal="center" vertical="center"/>
    </xf>
    <xf numFmtId="0" fontId="2" fillId="0" borderId="0" xfId="0" applyFont="1" applyAlignment="1">
      <alignment horizontal="center" vertical="center"/>
    </xf>
    <xf numFmtId="0" fontId="46" fillId="0" borderId="10" xfId="0" applyFont="1" applyBorder="1" applyAlignment="1">
      <alignment horizontal="center" vertical="center"/>
    </xf>
    <xf numFmtId="0" fontId="53" fillId="0" borderId="12" xfId="0" applyFont="1" applyBorder="1" applyAlignment="1">
      <alignment horizontal="center" vertical="center" wrapText="1"/>
    </xf>
    <xf numFmtId="0" fontId="53" fillId="0" borderId="13" xfId="0" applyFont="1" applyBorder="1" applyAlignment="1">
      <alignment horizontal="center" vertical="center" wrapText="1"/>
    </xf>
    <xf numFmtId="2" fontId="39" fillId="0" borderId="14" xfId="0" applyNumberFormat="1" applyFont="1" applyBorder="1" applyAlignment="1">
      <alignment horizontal="center" vertical="center" wrapText="1"/>
    </xf>
    <xf numFmtId="2" fontId="39" fillId="0" borderId="22" xfId="0" applyNumberFormat="1" applyFont="1" applyBorder="1" applyAlignment="1">
      <alignment horizontal="center" vertical="center" wrapText="1"/>
    </xf>
    <xf numFmtId="2" fontId="39" fillId="0" borderId="17" xfId="0" applyNumberFormat="1" applyFont="1" applyBorder="1" applyAlignment="1">
      <alignment horizontal="center" vertical="center" wrapText="1"/>
    </xf>
    <xf numFmtId="2" fontId="39" fillId="0" borderId="23" xfId="0" applyNumberFormat="1" applyFont="1" applyBorder="1" applyAlignment="1">
      <alignment horizontal="center" vertical="center" wrapText="1"/>
    </xf>
    <xf numFmtId="4" fontId="46" fillId="0" borderId="22" xfId="0" applyNumberFormat="1" applyFont="1" applyBorder="1" applyAlignment="1">
      <alignment horizontal="center" vertical="center" wrapText="1"/>
    </xf>
    <xf numFmtId="4" fontId="46" fillId="0" borderId="26" xfId="0" applyNumberFormat="1" applyFont="1" applyBorder="1" applyAlignment="1">
      <alignment horizontal="center" vertical="center" wrapText="1"/>
    </xf>
    <xf numFmtId="0" fontId="20" fillId="0" borderId="14" xfId="0" applyFont="1" applyBorder="1" applyAlignment="1">
      <alignment horizontal="left" vertical="center" wrapText="1"/>
    </xf>
    <xf numFmtId="0" fontId="20" fillId="0" borderId="27" xfId="0" applyFont="1" applyBorder="1" applyAlignment="1">
      <alignment horizontal="left" vertical="center" wrapText="1"/>
    </xf>
    <xf numFmtId="0" fontId="20" fillId="0" borderId="20" xfId="0" applyFont="1" applyBorder="1" applyAlignment="1">
      <alignment horizontal="left" vertical="center" wrapText="1"/>
    </xf>
    <xf numFmtId="0" fontId="20" fillId="0" borderId="0" xfId="0" applyFont="1" applyAlignment="1">
      <alignment horizontal="left" vertical="center" wrapText="1"/>
    </xf>
    <xf numFmtId="0" fontId="20" fillId="27" borderId="13" xfId="0" applyFont="1" applyFill="1" applyBorder="1" applyAlignment="1">
      <alignment horizontal="left" vertical="center"/>
    </xf>
    <xf numFmtId="0" fontId="20" fillId="27" borderId="18" xfId="0" applyFont="1" applyFill="1" applyBorder="1" applyAlignment="1">
      <alignment horizontal="left" vertical="center"/>
    </xf>
    <xf numFmtId="165" fontId="21" fillId="0" borderId="12" xfId="0" applyNumberFormat="1" applyFont="1" applyBorder="1" applyAlignment="1">
      <alignment horizontal="center" vertical="center" wrapText="1"/>
    </xf>
    <xf numFmtId="165" fontId="21" fillId="0" borderId="18" xfId="0" applyNumberFormat="1" applyFont="1" applyBorder="1" applyAlignment="1">
      <alignment horizontal="center" vertical="center" wrapText="1"/>
    </xf>
    <xf numFmtId="0" fontId="46" fillId="0" borderId="10"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left" vertical="center" wrapText="1"/>
    </xf>
    <xf numFmtId="0" fontId="20" fillId="0" borderId="15" xfId="0" applyFont="1" applyBorder="1" applyAlignment="1">
      <alignment horizontal="left" vertical="center" wrapText="1"/>
    </xf>
    <xf numFmtId="44" fontId="20" fillId="0" borderId="14" xfId="47" applyFont="1" applyBorder="1" applyAlignment="1">
      <alignment vertical="center" wrapText="1"/>
    </xf>
    <xf numFmtId="44" fontId="20" fillId="0" borderId="27" xfId="47" applyFont="1" applyBorder="1" applyAlignment="1">
      <alignment vertical="center" wrapText="1"/>
    </xf>
    <xf numFmtId="44" fontId="20" fillId="0" borderId="22" xfId="47" applyFont="1" applyBorder="1" applyAlignment="1">
      <alignment vertical="center" wrapText="1"/>
    </xf>
    <xf numFmtId="44" fontId="20" fillId="0" borderId="17" xfId="47" applyFont="1" applyBorder="1" applyAlignment="1">
      <alignment vertical="center" wrapText="1"/>
    </xf>
    <xf numFmtId="44" fontId="20" fillId="0" borderId="21" xfId="47" applyFont="1" applyBorder="1" applyAlignment="1">
      <alignment vertical="center" wrapText="1"/>
    </xf>
    <xf numFmtId="44" fontId="20" fillId="0" borderId="23" xfId="47" applyFont="1" applyBorder="1" applyAlignment="1">
      <alignment vertical="center" wrapText="1"/>
    </xf>
    <xf numFmtId="0" fontId="20" fillId="0" borderId="22" xfId="0" applyFont="1" applyBorder="1" applyAlignment="1">
      <alignment horizontal="left" vertical="center" wrapText="1"/>
    </xf>
    <xf numFmtId="0" fontId="20" fillId="0" borderId="17" xfId="0" applyFont="1" applyBorder="1" applyAlignment="1">
      <alignment horizontal="left" vertical="center" wrapText="1"/>
    </xf>
    <xf numFmtId="0" fontId="20" fillId="0" borderId="21" xfId="0" applyFont="1" applyBorder="1" applyAlignment="1">
      <alignment horizontal="left" vertical="center" wrapText="1"/>
    </xf>
    <xf numFmtId="0" fontId="20" fillId="0" borderId="23" xfId="0" applyFont="1" applyBorder="1" applyAlignment="1">
      <alignment horizontal="left" vertical="center" wrapText="1"/>
    </xf>
    <xf numFmtId="0" fontId="20" fillId="0" borderId="11"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20" fillId="0" borderId="18" xfId="0" applyFont="1" applyBorder="1" applyAlignment="1">
      <alignment horizontal="center" vertical="center"/>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xf numFmtId="0" fontId="20" fillId="0" borderId="18" xfId="0" applyFont="1" applyBorder="1" applyAlignment="1">
      <alignment horizontal="left" vertical="center" wrapText="1"/>
    </xf>
    <xf numFmtId="165" fontId="20" fillId="0" borderId="13" xfId="0" applyNumberFormat="1" applyFont="1" applyBorder="1" applyAlignment="1">
      <alignment horizontal="center" vertical="center"/>
    </xf>
    <xf numFmtId="165" fontId="20" fillId="0" borderId="18" xfId="0" applyNumberFormat="1" applyFont="1" applyBorder="1" applyAlignment="1">
      <alignment horizontal="center" vertical="center"/>
    </xf>
    <xf numFmtId="0" fontId="20" fillId="0" borderId="24" xfId="0" applyFont="1" applyBorder="1" applyAlignment="1">
      <alignment horizontal="center" vertical="center"/>
    </xf>
    <xf numFmtId="0" fontId="20" fillId="0" borderId="25" xfId="0" applyFont="1" applyBorder="1" applyAlignment="1">
      <alignment horizontal="center" vertical="center"/>
    </xf>
    <xf numFmtId="0" fontId="29" fillId="0" borderId="12" xfId="0" applyFont="1" applyBorder="1" applyAlignment="1">
      <alignment horizontal="left" vertical="center" wrapText="1"/>
    </xf>
    <xf numFmtId="0" fontId="29" fillId="0" borderId="13" xfId="0" applyFont="1" applyBorder="1" applyAlignment="1">
      <alignment horizontal="left" vertical="center" wrapText="1"/>
    </xf>
    <xf numFmtId="0" fontId="29" fillId="0" borderId="18" xfId="0" applyFont="1" applyBorder="1" applyAlignment="1">
      <alignment horizontal="left" vertical="center" wrapText="1"/>
    </xf>
    <xf numFmtId="165" fontId="43" fillId="27" borderId="11" xfId="0" applyNumberFormat="1" applyFont="1" applyFill="1" applyBorder="1" applyAlignment="1">
      <alignment horizontal="center" vertical="center" wrapText="1"/>
    </xf>
    <xf numFmtId="165" fontId="43" fillId="27" borderId="15" xfId="0" applyNumberFormat="1" applyFont="1" applyFill="1" applyBorder="1" applyAlignment="1">
      <alignment horizontal="center" vertical="center" wrapText="1"/>
    </xf>
    <xf numFmtId="0" fontId="43" fillId="0" borderId="12" xfId="0" applyFont="1" applyBorder="1" applyAlignment="1">
      <alignment horizontal="center" vertical="center"/>
    </xf>
    <xf numFmtId="0" fontId="43" fillId="0" borderId="13" xfId="0" applyFont="1" applyBorder="1" applyAlignment="1">
      <alignment horizontal="center" vertical="center"/>
    </xf>
    <xf numFmtId="0" fontId="43" fillId="0" borderId="18" xfId="0" applyFont="1" applyBorder="1" applyAlignment="1">
      <alignment horizontal="center" vertical="center"/>
    </xf>
    <xf numFmtId="0" fontId="43" fillId="0" borderId="11" xfId="0" applyFont="1" applyBorder="1" applyAlignment="1">
      <alignment horizontal="center" vertical="center"/>
    </xf>
    <xf numFmtId="0" fontId="43" fillId="0" borderId="15" xfId="0" applyFont="1" applyBorder="1" applyAlignment="1">
      <alignment horizontal="center" vertical="center"/>
    </xf>
    <xf numFmtId="0" fontId="37" fillId="24" borderId="12" xfId="0" applyFont="1" applyFill="1" applyBorder="1" applyAlignment="1" applyProtection="1">
      <alignment horizontal="left" vertical="center" wrapText="1"/>
      <protection locked="0"/>
    </xf>
    <xf numFmtId="0" fontId="37" fillId="24" borderId="13" xfId="0" applyFont="1" applyFill="1" applyBorder="1" applyAlignment="1" applyProtection="1">
      <alignment horizontal="left" vertical="center" wrapText="1"/>
      <protection locked="0"/>
    </xf>
    <xf numFmtId="0" fontId="37" fillId="24" borderId="18" xfId="0" applyFont="1" applyFill="1" applyBorder="1" applyAlignment="1" applyProtection="1">
      <alignment horizontal="left" vertical="center" wrapText="1"/>
      <protection locked="0"/>
    </xf>
    <xf numFmtId="0" fontId="36" fillId="0" borderId="12" xfId="0" quotePrefix="1" applyFont="1" applyBorder="1" applyAlignment="1">
      <alignment horizontal="center" vertical="center"/>
    </xf>
    <xf numFmtId="0" fontId="36" fillId="0" borderId="18" xfId="0" quotePrefix="1" applyFont="1" applyBorder="1" applyAlignment="1">
      <alignment horizontal="center" vertical="center"/>
    </xf>
    <xf numFmtId="0" fontId="37" fillId="0" borderId="12" xfId="0" applyFont="1" applyBorder="1" applyAlignment="1">
      <alignment horizontal="center" vertical="center" wrapText="1"/>
    </xf>
    <xf numFmtId="0" fontId="37" fillId="0" borderId="18" xfId="0" applyFont="1" applyBorder="1" applyAlignment="1">
      <alignment horizontal="center" vertical="center" wrapText="1"/>
    </xf>
    <xf numFmtId="0" fontId="27" fillId="28" borderId="55" xfId="0" applyFont="1" applyFill="1" applyBorder="1" applyAlignment="1">
      <alignment horizontal="left" wrapText="1"/>
    </xf>
    <xf numFmtId="0" fontId="27" fillId="28" borderId="49" xfId="0" applyFont="1" applyFill="1" applyBorder="1" applyAlignment="1">
      <alignment horizontal="left" wrapText="1"/>
    </xf>
    <xf numFmtId="0" fontId="27" fillId="28" borderId="56" xfId="0" applyFont="1" applyFill="1" applyBorder="1" applyAlignment="1">
      <alignment horizontal="left" wrapText="1"/>
    </xf>
    <xf numFmtId="0" fontId="20" fillId="0" borderId="52" xfId="0" applyFont="1" applyBorder="1" applyAlignment="1">
      <alignment horizontal="center" vertical="center"/>
    </xf>
    <xf numFmtId="0" fontId="20" fillId="0" borderId="53" xfId="0" applyFont="1" applyBorder="1" applyAlignment="1">
      <alignment horizontal="center" vertical="center"/>
    </xf>
    <xf numFmtId="0" fontId="20" fillId="0" borderId="54" xfId="0" applyFont="1" applyBorder="1" applyAlignment="1">
      <alignment horizontal="center" vertical="center"/>
    </xf>
    <xf numFmtId="0" fontId="27" fillId="28" borderId="41" xfId="0" applyFont="1" applyFill="1" applyBorder="1" applyAlignment="1">
      <alignment horizontal="left" vertical="center" wrapText="1"/>
    </xf>
    <xf numFmtId="0" fontId="27" fillId="28" borderId="0" xfId="0" applyFont="1" applyFill="1" applyAlignment="1">
      <alignment horizontal="left" vertical="center" wrapText="1"/>
    </xf>
    <xf numFmtId="0" fontId="27" fillId="28" borderId="42" xfId="0" applyFont="1" applyFill="1" applyBorder="1" applyAlignment="1">
      <alignment horizontal="left" vertical="center" wrapText="1"/>
    </xf>
    <xf numFmtId="0" fontId="27" fillId="28" borderId="38" xfId="0" applyFont="1" applyFill="1" applyBorder="1" applyAlignment="1">
      <alignment horizontal="left" vertical="center" wrapText="1"/>
    </xf>
    <xf numFmtId="0" fontId="27" fillId="28" borderId="39" xfId="0" applyFont="1" applyFill="1" applyBorder="1" applyAlignment="1">
      <alignment horizontal="left" vertical="center" wrapText="1"/>
    </xf>
    <xf numFmtId="0" fontId="27" fillId="28" borderId="40" xfId="0" applyFont="1" applyFill="1" applyBorder="1" applyAlignment="1">
      <alignment horizontal="left" vertical="center" wrapText="1"/>
    </xf>
  </cellXfs>
  <cellStyles count="48">
    <cellStyle name="20% - Ênfase1" xfId="1" builtinId="30" customBuiltin="1"/>
    <cellStyle name="20% - Ênfase2" xfId="2" builtinId="34" customBuiltin="1"/>
    <cellStyle name="20% - Ênfase3" xfId="3" builtinId="38" customBuiltin="1"/>
    <cellStyle name="20% - Ênfase4" xfId="4" builtinId="42" customBuiltin="1"/>
    <cellStyle name="20% - Ênfase5" xfId="5" builtinId="46" customBuiltin="1"/>
    <cellStyle name="20% - Ênfase6" xfId="6" builtinId="50" customBuiltin="1"/>
    <cellStyle name="40% - Ênfase1" xfId="7" builtinId="31" customBuiltin="1"/>
    <cellStyle name="40% - Ênfase2" xfId="8" builtinId="35" customBuiltin="1"/>
    <cellStyle name="40% - Ênfase3" xfId="9" builtinId="39" customBuiltin="1"/>
    <cellStyle name="40% - Ênfase4" xfId="10" builtinId="43" customBuiltin="1"/>
    <cellStyle name="40% - Ênfase5" xfId="11" builtinId="47" customBuiltin="1"/>
    <cellStyle name="40% - Ênfase6" xfId="12" builtinId="51" customBuiltin="1"/>
    <cellStyle name="60% - Ênfase1" xfId="13" builtinId="32" customBuiltin="1"/>
    <cellStyle name="60% - Ênfase2" xfId="14" builtinId="36" customBuiltin="1"/>
    <cellStyle name="60% - Ênfase3" xfId="15" builtinId="40" customBuiltin="1"/>
    <cellStyle name="60% - Ênfase4" xfId="16" builtinId="44" customBuiltin="1"/>
    <cellStyle name="60% - Ênfase5" xfId="17" builtinId="48" customBuiltin="1"/>
    <cellStyle name="60% - Ênfase6" xfId="18" builtinId="52" customBuiltin="1"/>
    <cellStyle name="Bom" xfId="19" builtinId="26" customBuiltin="1"/>
    <cellStyle name="Cálculo" xfId="20" builtinId="22" customBuiltin="1"/>
    <cellStyle name="Célula de Verificação" xfId="21" builtinId="23" customBuiltin="1"/>
    <cellStyle name="Célula Vinculada" xfId="22" builtinId="24" customBuiltin="1"/>
    <cellStyle name="Ênfase1" xfId="23" builtinId="29" customBuiltin="1"/>
    <cellStyle name="Ênfase2" xfId="24" builtinId="33" customBuiltin="1"/>
    <cellStyle name="Ênfase3" xfId="25" builtinId="37" customBuiltin="1"/>
    <cellStyle name="Ênfase4" xfId="26" builtinId="41" customBuiltin="1"/>
    <cellStyle name="Ênfase5" xfId="27" builtinId="45" customBuiltin="1"/>
    <cellStyle name="Ênfase6" xfId="28" builtinId="49" customBuiltin="1"/>
    <cellStyle name="Entrada" xfId="29" builtinId="20" customBuiltin="1"/>
    <cellStyle name="Moeda" xfId="47" builtinId="4"/>
    <cellStyle name="Neutro" xfId="31" builtinId="28" customBuiltin="1"/>
    <cellStyle name="Normal" xfId="0" builtinId="0"/>
    <cellStyle name="Normal 2 2" xfId="45" xr:uid="{00000000-0005-0000-0000-000020000000}"/>
    <cellStyle name="Nota" xfId="32" builtinId="10" customBuiltin="1"/>
    <cellStyle name="Porcentagem" xfId="33" builtinId="5"/>
    <cellStyle name="Porcentagem 2" xfId="46" xr:uid="{00000000-0005-0000-0000-000023000000}"/>
    <cellStyle name="Ruim" xfId="30" builtinId="27" customBuiltin="1"/>
    <cellStyle name="Saída" xfId="34" builtinId="21" customBuiltin="1"/>
    <cellStyle name="Separador de milhares 2" xfId="44" xr:uid="{00000000-0005-0000-0000-000025000000}"/>
    <cellStyle name="Texto de Aviso" xfId="35" builtinId="11" customBuiltin="1"/>
    <cellStyle name="Texto Explicativo" xfId="36" builtinId="53" customBuiltin="1"/>
    <cellStyle name="Título" xfId="37" builtinId="15" customBuiltin="1"/>
    <cellStyle name="Título 1" xfId="38" builtinId="16" customBuiltin="1"/>
    <cellStyle name="Título 2" xfId="39" builtinId="17" customBuiltin="1"/>
    <cellStyle name="Título 3" xfId="40" builtinId="18" customBuiltin="1"/>
    <cellStyle name="Título 4" xfId="41" builtinId="19" customBuiltin="1"/>
    <cellStyle name="Total" xfId="42" builtinId="25" customBuiltin="1"/>
    <cellStyle name="Vírgula 4" xfId="43" xr:uid="{00000000-0005-0000-0000-00002E000000}"/>
  </cellStyles>
  <dxfs count="0"/>
  <tableStyles count="0" defaultTableStyle="TableStyleMedium9"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105</xdr:row>
      <xdr:rowOff>0</xdr:rowOff>
    </xdr:from>
    <xdr:to>
      <xdr:col>6</xdr:col>
      <xdr:colOff>243675</xdr:colOff>
      <xdr:row>114</xdr:row>
      <xdr:rowOff>64246</xdr:rowOff>
    </xdr:to>
    <xdr:pic>
      <xdr:nvPicPr>
        <xdr:cNvPr id="2" name="image4.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a:stretch>
      </xdr:blipFill>
      <xdr:spPr>
        <a:xfrm>
          <a:off x="1510748" y="33110557"/>
          <a:ext cx="6617970" cy="1555115"/>
        </a:xfrm>
        <a:prstGeom prst="rect">
          <a:avLst/>
        </a:prstGeom>
        <a:ln/>
      </xdr:spPr>
    </xdr:pic>
    <xdr:clientData/>
  </xdr:twoCellAnchor>
  <xdr:twoCellAnchor editAs="oneCell">
    <xdr:from>
      <xdr:col>0</xdr:col>
      <xdr:colOff>111369</xdr:colOff>
      <xdr:row>0</xdr:row>
      <xdr:rowOff>23446</xdr:rowOff>
    </xdr:from>
    <xdr:to>
      <xdr:col>3</xdr:col>
      <xdr:colOff>1672832</xdr:colOff>
      <xdr:row>0</xdr:row>
      <xdr:rowOff>745636</xdr:rowOff>
    </xdr:to>
    <xdr:pic>
      <xdr:nvPicPr>
        <xdr:cNvPr id="5" name="Imagem 4" descr="Diagrama, Logotipo, nome da empresa&#10;&#10;Descrição gerada automaticamente">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6355" b="13841"/>
        <a:stretch>
          <a:fillRect/>
        </a:stretch>
      </xdr:blipFill>
      <xdr:spPr bwMode="auto">
        <a:xfrm>
          <a:off x="111369" y="23446"/>
          <a:ext cx="3247293" cy="72219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3245483</xdr:colOff>
      <xdr:row>0</xdr:row>
      <xdr:rowOff>722190</xdr:rowOff>
    </xdr:to>
    <xdr:pic>
      <xdr:nvPicPr>
        <xdr:cNvPr id="4" name="Imagem 3" descr="Diagrama, Logotipo, nome da empresa&#10;&#10;Descrição gerada automaticamente">
          <a:extLst>
            <a:ext uri="{FF2B5EF4-FFF2-40B4-BE49-F238E27FC236}">
              <a16:creationId xmlns:a16="http://schemas.microsoft.com/office/drawing/2014/main" id="{1E243099-E8AB-413E-A339-61E766CD01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6355" b="13841"/>
        <a:stretch>
          <a:fillRect/>
        </a:stretch>
      </xdr:blipFill>
      <xdr:spPr bwMode="auto">
        <a:xfrm>
          <a:off x="419100" y="0"/>
          <a:ext cx="3245483" cy="72219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93</xdr:row>
      <xdr:rowOff>0</xdr:rowOff>
    </xdr:from>
    <xdr:to>
      <xdr:col>6</xdr:col>
      <xdr:colOff>243675</xdr:colOff>
      <xdr:row>102</xdr:row>
      <xdr:rowOff>64246</xdr:rowOff>
    </xdr:to>
    <xdr:pic>
      <xdr:nvPicPr>
        <xdr:cNvPr id="2" name="image4.png">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a:srcRect/>
        <a:stretch>
          <a:fillRect/>
        </a:stretch>
      </xdr:blipFill>
      <xdr:spPr>
        <a:xfrm>
          <a:off x="1684020" y="29451300"/>
          <a:ext cx="6613995" cy="1573006"/>
        </a:xfrm>
        <a:prstGeom prst="rect">
          <a:avLst/>
        </a:prstGeom>
        <a:ln/>
      </xdr:spPr>
    </xdr:pic>
    <xdr:clientData/>
  </xdr:twoCellAnchor>
  <xdr:twoCellAnchor editAs="oneCell">
    <xdr:from>
      <xdr:col>0</xdr:col>
      <xdr:colOff>111369</xdr:colOff>
      <xdr:row>0</xdr:row>
      <xdr:rowOff>23446</xdr:rowOff>
    </xdr:from>
    <xdr:to>
      <xdr:col>3</xdr:col>
      <xdr:colOff>1672832</xdr:colOff>
      <xdr:row>0</xdr:row>
      <xdr:rowOff>745636</xdr:rowOff>
    </xdr:to>
    <xdr:pic>
      <xdr:nvPicPr>
        <xdr:cNvPr id="3" name="Imagem 2" descr="Diagrama, Logotipo, nome da empresa&#10;&#10;Descrição gerada automaticamente">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6355" b="13841"/>
        <a:stretch>
          <a:fillRect/>
        </a:stretch>
      </xdr:blipFill>
      <xdr:spPr bwMode="auto">
        <a:xfrm>
          <a:off x="111369" y="23446"/>
          <a:ext cx="3245483" cy="72219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Usuario\Google%20Drive\DFT%20Projetos\PROJETOS\SERRANIA\PROJETOS\PRA&#199;A\PROJETO%20PRACA%20SETE%20ORELHAS\PLANILHA%20M+&#220;LTIPLA%202.3%20-%20RAND%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al"/>
      <sheetName val="Novo!"/>
      <sheetName val="Dados"/>
      <sheetName val="BDI"/>
      <sheetName val="Orçamento"/>
      <sheetName val="Memória"/>
      <sheetName val="Comp"/>
      <sheetName val="Cot"/>
      <sheetName val="CronoFF"/>
      <sheetName val="QCI"/>
      <sheetName val="Memorial Descritivo"/>
      <sheetName val="Licitação"/>
      <sheetName val="CronoFF-L"/>
      <sheetName val="QCI-L"/>
      <sheetName val="BM"/>
      <sheetName val="RRE"/>
      <sheetName val="OFÍCIO"/>
      <sheetName val="CC"/>
    </sheetNames>
    <sheetDataSet>
      <sheetData sheetId="0" refreshError="1"/>
      <sheetData sheetId="1" refreshError="1"/>
      <sheetData sheetId="2" refreshError="1">
        <row r="29">
          <cell r="G29">
            <v>43009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3"/>
  <sheetViews>
    <sheetView showGridLines="0" tabSelected="1" view="pageBreakPreview" zoomScaleNormal="75" zoomScaleSheetLayoutView="100" zoomScalePageLayoutView="75" workbookViewId="0">
      <pane ySplit="10" topLeftCell="A95" activePane="bottomLeft" state="frozen"/>
      <selection pane="bottomLeft" activeCell="A7" sqref="A7"/>
    </sheetView>
  </sheetViews>
  <sheetFormatPr defaultColWidth="9.109375" defaultRowHeight="13.2" x14ac:dyDescent="0.25"/>
  <cols>
    <col min="1" max="1" width="5.5546875" style="2" customWidth="1"/>
    <col min="2" max="2" width="10.88671875" style="3" customWidth="1"/>
    <col min="3" max="3" width="8.109375" style="3" customWidth="1"/>
    <col min="4" max="4" width="77" style="11" customWidth="1"/>
    <col min="5" max="5" width="6.44140625" style="3" customWidth="1"/>
    <col min="6" max="6" width="9.44140625" style="69" customWidth="1"/>
    <col min="7" max="7" width="13.109375" style="4" customWidth="1"/>
    <col min="8" max="8" width="11.33203125" style="4" customWidth="1"/>
    <col min="9" max="9" width="16" style="4" customWidth="1"/>
    <col min="10" max="10" width="10.5546875" style="10" bestFit="1" customWidth="1"/>
    <col min="11" max="11" width="14.5546875" style="71" bestFit="1" customWidth="1"/>
    <col min="12" max="12" width="10.5546875" style="10" bestFit="1" customWidth="1"/>
    <col min="13" max="14" width="9.109375" style="10"/>
    <col min="15" max="15" width="9.109375" style="73"/>
    <col min="16" max="16384" width="9.109375" style="10"/>
  </cols>
  <sheetData>
    <row r="1" spans="1:15" ht="63" customHeight="1" x14ac:dyDescent="0.25">
      <c r="A1" s="6"/>
      <c r="B1" s="7"/>
      <c r="C1" s="7"/>
      <c r="D1" s="60"/>
      <c r="E1" s="7"/>
      <c r="F1" s="64"/>
      <c r="G1" s="102"/>
      <c r="H1" s="102"/>
      <c r="I1" s="57"/>
    </row>
    <row r="2" spans="1:15" s="54" customFormat="1" ht="5.0999999999999996" customHeight="1" x14ac:dyDescent="0.25">
      <c r="A2" s="52"/>
      <c r="B2" s="53"/>
      <c r="C2" s="53"/>
      <c r="D2" s="61"/>
      <c r="E2" s="53"/>
      <c r="F2" s="65"/>
      <c r="G2" s="118"/>
      <c r="H2" s="118"/>
      <c r="I2" s="58"/>
      <c r="K2" s="71"/>
      <c r="O2" s="74"/>
    </row>
    <row r="3" spans="1:15" s="54" customFormat="1" ht="19.95" customHeight="1" x14ac:dyDescent="0.25">
      <c r="A3" s="420" t="s">
        <v>25</v>
      </c>
      <c r="B3" s="420"/>
      <c r="C3" s="420"/>
      <c r="D3" s="420"/>
      <c r="E3" s="420"/>
      <c r="F3" s="420"/>
      <c r="G3" s="420"/>
      <c r="H3" s="420"/>
      <c r="I3" s="420"/>
      <c r="K3" s="71"/>
      <c r="O3" s="74"/>
    </row>
    <row r="4" spans="1:15" s="54" customFormat="1" ht="5.0999999999999996" customHeight="1" x14ac:dyDescent="0.25">
      <c r="A4" s="124"/>
      <c r="B4" s="55"/>
      <c r="C4" s="55"/>
      <c r="D4" s="62"/>
      <c r="E4" s="55"/>
      <c r="F4" s="66"/>
      <c r="G4" s="55"/>
      <c r="H4" s="55"/>
      <c r="I4" s="127"/>
      <c r="K4" s="71"/>
      <c r="O4" s="74"/>
    </row>
    <row r="5" spans="1:15" s="54" customFormat="1" ht="20.399999999999999" customHeight="1" x14ac:dyDescent="0.25">
      <c r="A5" s="12" t="str">
        <f>'MM CALC'!A3</f>
        <v>PREFEITURA MUNICIPAL DE BOM JARDIM DE MINAS</v>
      </c>
      <c r="B5" s="56"/>
      <c r="C5" s="56"/>
      <c r="D5" s="63"/>
      <c r="E5" s="23" t="str">
        <f>'MM CALC'!E3</f>
        <v>DATA: 11/06/2025</v>
      </c>
      <c r="F5" s="66"/>
      <c r="G5" s="119"/>
      <c r="H5" s="401" t="str">
        <f>COMPOSIÇÕES!A6</f>
        <v>PRAZO DE EXECUÇÃO 9 MESES</v>
      </c>
      <c r="I5" s="402"/>
      <c r="K5" s="71"/>
      <c r="O5" s="74"/>
    </row>
    <row r="6" spans="1:15" s="54" customFormat="1" ht="30" customHeight="1" x14ac:dyDescent="0.25">
      <c r="A6" s="387" t="str">
        <f>'MM CALC'!A4</f>
        <v xml:space="preserve">OBRA: REFORMA, AMPLIAÇÃO E REVITALIZAÇÃO DA PONTE NITEROI - (PONTE GENI GONÇALVES DE REZENDE RODRIGUES) E PONTE DA RUA MIZAEL MARCELINO DE ALMEIDA </v>
      </c>
      <c r="B6" s="384"/>
      <c r="C6" s="384"/>
      <c r="D6" s="384"/>
      <c r="E6" s="384"/>
      <c r="F6" s="384"/>
      <c r="G6" s="384"/>
      <c r="H6" s="384"/>
      <c r="I6" s="385"/>
      <c r="K6" s="71"/>
      <c r="O6" s="74"/>
    </row>
    <row r="7" spans="1:15" s="54" customFormat="1" ht="27" customHeight="1" x14ac:dyDescent="0.25">
      <c r="A7" s="23" t="str">
        <f>'MM CALC'!A5</f>
        <v>LOCAL: BAIRRO NITEROI E CANDEIAS - BOM JARDIM DE MINAS /MG</v>
      </c>
      <c r="B7" s="1"/>
      <c r="C7" s="1"/>
      <c r="D7" s="196"/>
      <c r="E7" s="421" t="s">
        <v>51</v>
      </c>
      <c r="F7" s="422"/>
      <c r="G7" s="423" t="s">
        <v>152</v>
      </c>
      <c r="H7" s="424"/>
      <c r="I7" s="427" t="s">
        <v>134</v>
      </c>
      <c r="K7" s="71">
        <f>K8-I96</f>
        <v>-224.17032999987714</v>
      </c>
      <c r="O7" s="74"/>
    </row>
    <row r="8" spans="1:15" s="54" customFormat="1" ht="27" customHeight="1" x14ac:dyDescent="0.25">
      <c r="A8" s="429" t="s">
        <v>257</v>
      </c>
      <c r="B8" s="430"/>
      <c r="C8" s="430"/>
      <c r="D8" s="430"/>
      <c r="E8" s="70" t="s">
        <v>5</v>
      </c>
      <c r="F8" s="258" t="s">
        <v>3</v>
      </c>
      <c r="G8" s="425"/>
      <c r="H8" s="426"/>
      <c r="I8" s="428"/>
      <c r="K8" s="71">
        <f>(1336901.25*0.9)*1.25</f>
        <v>1504013.90625</v>
      </c>
      <c r="O8" s="74"/>
    </row>
    <row r="9" spans="1:15" s="54" customFormat="1" ht="14.4" customHeight="1" x14ac:dyDescent="0.25">
      <c r="A9" s="431"/>
      <c r="B9" s="432"/>
      <c r="C9" s="432"/>
      <c r="D9" s="432"/>
      <c r="E9" s="296" t="s">
        <v>12</v>
      </c>
      <c r="F9" s="295" t="s">
        <v>4</v>
      </c>
      <c r="G9" s="45" t="s">
        <v>150</v>
      </c>
      <c r="H9" s="383">
        <v>0.29480000000000001</v>
      </c>
      <c r="I9" s="428"/>
      <c r="K9" s="71"/>
      <c r="O9" s="74"/>
    </row>
    <row r="10" spans="1:15" ht="5.0999999999999996" customHeight="1" x14ac:dyDescent="0.25">
      <c r="A10" s="8" t="s">
        <v>20</v>
      </c>
      <c r="B10" s="1"/>
      <c r="C10" s="1"/>
      <c r="D10" s="195"/>
      <c r="E10" s="1"/>
      <c r="F10" s="67"/>
      <c r="G10" s="9"/>
      <c r="H10" s="9"/>
      <c r="I10" s="15"/>
    </row>
    <row r="11" spans="1:15" s="3" customFormat="1" ht="26.4" x14ac:dyDescent="0.25">
      <c r="A11" s="77" t="s">
        <v>0</v>
      </c>
      <c r="B11" s="78" t="s">
        <v>9</v>
      </c>
      <c r="C11" s="78" t="s">
        <v>2</v>
      </c>
      <c r="D11" s="121" t="s">
        <v>1</v>
      </c>
      <c r="E11" s="78" t="s">
        <v>6</v>
      </c>
      <c r="F11" s="76" t="s">
        <v>7</v>
      </c>
      <c r="G11" s="5" t="s">
        <v>13</v>
      </c>
      <c r="H11" s="5" t="s">
        <v>14</v>
      </c>
      <c r="I11" s="5" t="s">
        <v>8</v>
      </c>
      <c r="K11" s="79"/>
      <c r="O11" s="80"/>
    </row>
    <row r="12" spans="1:15" s="304" customFormat="1" ht="19.95" customHeight="1" x14ac:dyDescent="0.25">
      <c r="A12" s="368">
        <v>1</v>
      </c>
      <c r="B12" s="433" t="s">
        <v>336</v>
      </c>
      <c r="C12" s="433"/>
      <c r="D12" s="433"/>
      <c r="E12" s="433"/>
      <c r="F12" s="433"/>
      <c r="G12" s="433"/>
      <c r="H12" s="434"/>
      <c r="I12" s="349">
        <f>SUM(I13:I15)</f>
        <v>72721.376580000011</v>
      </c>
      <c r="K12" s="386">
        <f>1*(I96/K14)</f>
        <v>1.1251676790488452</v>
      </c>
      <c r="O12" s="306"/>
    </row>
    <row r="13" spans="1:15" s="31" customFormat="1" ht="19.95" customHeight="1" x14ac:dyDescent="0.25">
      <c r="A13" s="29" t="str">
        <f>'MM CALC'!A9</f>
        <v>1.1.1</v>
      </c>
      <c r="B13" s="29" t="str">
        <f>'MM CALC'!B9</f>
        <v>SINAPI</v>
      </c>
      <c r="C13" s="29" t="str">
        <f>'MM CALC'!C9</f>
        <v xml:space="preserve">90779 </v>
      </c>
      <c r="D13" s="44" t="str">
        <f>'MM CALC'!D9</f>
        <v xml:space="preserve">ENGENHEIRO CIVIL DE OBRA SENIOR COM ENCARGOS COMPLEMENTARES </v>
      </c>
      <c r="E13" s="29" t="str">
        <f>'MM CALC'!E9</f>
        <v>H</v>
      </c>
      <c r="F13" s="68">
        <f>'MM CALC'!F9</f>
        <v>72</v>
      </c>
      <c r="G13" s="30">
        <v>132.63</v>
      </c>
      <c r="H13" s="291">
        <f t="shared" ref="H13:H14" si="0">ROUND((G13*(1+$H$9)),2)</f>
        <v>171.73</v>
      </c>
      <c r="I13" s="30">
        <f t="shared" ref="I13:I14" si="1">ROUND((F13*H13),2)</f>
        <v>12364.56</v>
      </c>
      <c r="K13" s="72"/>
      <c r="O13" s="75"/>
    </row>
    <row r="14" spans="1:15" s="31" customFormat="1" ht="19.95" customHeight="1" x14ac:dyDescent="0.25">
      <c r="A14" s="29" t="str">
        <f>'MM CALC'!A10</f>
        <v>1.1.2</v>
      </c>
      <c r="B14" s="29" t="str">
        <f>'MM CALC'!B10</f>
        <v>SINAPI</v>
      </c>
      <c r="C14" s="29">
        <f>'MM CALC'!C10</f>
        <v>90776</v>
      </c>
      <c r="D14" s="44" t="str">
        <f>'MM CALC'!D10</f>
        <v>ENCARREGADO GERAL COM ENCARGOS COMPLEMENTARES</v>
      </c>
      <c r="E14" s="29" t="str">
        <f>'MM CALC'!E10</f>
        <v>H</v>
      </c>
      <c r="F14" s="68">
        <f>'MM CALC'!F10</f>
        <v>864</v>
      </c>
      <c r="G14" s="30">
        <v>49.93</v>
      </c>
      <c r="H14" s="291">
        <f t="shared" si="0"/>
        <v>64.650000000000006</v>
      </c>
      <c r="I14" s="30">
        <f t="shared" si="1"/>
        <v>55857.599999999999</v>
      </c>
      <c r="K14" s="72">
        <f>1336901.25-I98</f>
        <v>1336901.25</v>
      </c>
      <c r="O14" s="75"/>
    </row>
    <row r="15" spans="1:15" s="31" customFormat="1" ht="30" customHeight="1" x14ac:dyDescent="0.25">
      <c r="A15" s="29" t="str">
        <f>'MM CALC'!A11</f>
        <v>1.1.3</v>
      </c>
      <c r="B15" s="29" t="str">
        <f>'MM CALC'!B11</f>
        <v>SEINFRA</v>
      </c>
      <c r="C15" s="29" t="str">
        <f>'MM CALC'!C11</f>
        <v xml:space="preserve">ED-50393 </v>
      </c>
      <c r="D15" s="342" t="str">
        <f>'MM CALC'!D11</f>
        <v>MOBILIZAÇÃO E DESMOBILIZAÇÃO DE OBRA EM CENTRO URBANO OU REGIÃO LIMÍTROFE COM VALOR ENTRE 1.000.000,01 E 3.000.000,00</v>
      </c>
      <c r="E15" s="29" t="str">
        <f>'MM CALC'!E11</f>
        <v>%</v>
      </c>
      <c r="F15" s="381">
        <v>3.0000000000000001E-3</v>
      </c>
      <c r="G15" s="435">
        <f>K15</f>
        <v>1499738.86</v>
      </c>
      <c r="H15" s="436"/>
      <c r="I15" s="30">
        <f>F15*G15</f>
        <v>4499.2165800000002</v>
      </c>
      <c r="K15" s="310">
        <v>1499738.86</v>
      </c>
      <c r="O15" s="75"/>
    </row>
    <row r="16" spans="1:15" s="31" customFormat="1" ht="5.0999999999999996" customHeight="1" x14ac:dyDescent="0.25">
      <c r="A16" s="388"/>
      <c r="B16" s="389"/>
      <c r="C16" s="389"/>
      <c r="D16" s="390"/>
      <c r="E16" s="389"/>
      <c r="F16" s="391"/>
      <c r="G16" s="392"/>
      <c r="H16" s="393"/>
      <c r="I16" s="382"/>
      <c r="K16" s="72"/>
      <c r="O16" s="75"/>
    </row>
    <row r="17" spans="1:15" s="304" customFormat="1" ht="19.95" customHeight="1" x14ac:dyDescent="0.25">
      <c r="A17" s="368">
        <v>2</v>
      </c>
      <c r="B17" s="433" t="str">
        <f>'MM CALC'!B13</f>
        <v xml:space="preserve"> PONTE NITEROI - (PONTE GENI GONÇALVES DE REZENDE RODRIGUES)</v>
      </c>
      <c r="C17" s="433"/>
      <c r="D17" s="433"/>
      <c r="E17" s="433"/>
      <c r="F17" s="433"/>
      <c r="G17" s="433"/>
      <c r="H17" s="434"/>
      <c r="I17" s="349">
        <f>I18+I26+I33+I48+I55</f>
        <v>1246659.93</v>
      </c>
      <c r="K17" s="305">
        <v>1132456.3600000001</v>
      </c>
      <c r="O17" s="306"/>
    </row>
    <row r="18" spans="1:15" s="354" customFormat="1" ht="19.95" customHeight="1" x14ac:dyDescent="0.25">
      <c r="A18" s="360" t="str">
        <f>'MM CALC'!A14</f>
        <v>2.1</v>
      </c>
      <c r="B18" s="360"/>
      <c r="C18" s="360"/>
      <c r="D18" s="365" t="str">
        <f>'MM CALC'!D14</f>
        <v xml:space="preserve">SERVIÇOS PRELIMINARES </v>
      </c>
      <c r="E18" s="360"/>
      <c r="F18" s="366"/>
      <c r="G18" s="367"/>
      <c r="H18" s="367"/>
      <c r="I18" s="353">
        <f>SUM(I19:I25)</f>
        <v>32268.61</v>
      </c>
      <c r="K18" s="355"/>
      <c r="O18" s="356"/>
    </row>
    <row r="19" spans="1:15" s="31" customFormat="1" ht="49.95" customHeight="1" x14ac:dyDescent="0.25">
      <c r="A19" s="29" t="str">
        <f>'MM CALC'!A15</f>
        <v>2.1.1</v>
      </c>
      <c r="B19" s="29" t="str">
        <f>'MM CALC'!B15</f>
        <v>SEINFRA</v>
      </c>
      <c r="C19" s="29" t="str">
        <f>'MM CALC'!C15</f>
        <v>ED-16660</v>
      </c>
      <c r="D19" s="44" t="str">
        <f>'MM CALC'!D15</f>
        <v>FORNECIMENTO E COLOCAÇÃO DE PLACA DE OBRA EM CHAPA GALVANIZADA #26, ESP. 0,45 MM, PLOTADA COM ADESIVO VINÍLICO, AFIXADA COM REBITES 4,8X40 MM, EM ESTRUTURA METÁLICA DE METALON 20X20 MM, ESP. 1,25 MM, INCLUSIVE SUPORTE EM EUCALIPTO AUTOCLAVADO PINTADO COM TINTA PVA DUAS (2) DEMÃOS</v>
      </c>
      <c r="E19" s="29" t="str">
        <f>'MM CALC'!E15</f>
        <v>M2</v>
      </c>
      <c r="F19" s="68">
        <f>'MM CALC'!F15</f>
        <v>1</v>
      </c>
      <c r="G19" s="30">
        <v>262.12</v>
      </c>
      <c r="H19" s="30">
        <f t="shared" ref="H19:H25" si="2">ROUND((G19*(1+$H$9)),2)</f>
        <v>339.39</v>
      </c>
      <c r="I19" s="30">
        <f>ROUND((F19*H19),2)</f>
        <v>339.39</v>
      </c>
      <c r="K19" s="72"/>
      <c r="O19" s="75"/>
    </row>
    <row r="20" spans="1:15" s="31" customFormat="1" ht="30" customHeight="1" x14ac:dyDescent="0.25">
      <c r="A20" s="29" t="str">
        <f>'MM CALC'!A16</f>
        <v>2.1.2</v>
      </c>
      <c r="B20" s="29" t="str">
        <f>'MM CALC'!B16</f>
        <v>SEINFRA</v>
      </c>
      <c r="C20" s="29" t="str">
        <f>'MM CALC'!C16</f>
        <v>ED-50150</v>
      </c>
      <c r="D20" s="342" t="str">
        <f>'MM CALC'!D16</f>
        <v>LIGAÇÃO DE ÁGUA PROVISÓRIA PARA CANTEIRO, INCLUSIVE HIDRÔMETRO E CAVALETE PARA MEDIÇÃO DE ÁGUA - ENTRADA PRINCIPAL, EM AÇO GALVANIZADO DN 20MM (1/2") - PADRÃO CONCESSIONÁRIA</v>
      </c>
      <c r="E20" s="29" t="str">
        <f>'MM CALC'!E16</f>
        <v>UNID.</v>
      </c>
      <c r="F20" s="68">
        <f>'MM CALC'!F16</f>
        <v>1</v>
      </c>
      <c r="G20" s="30">
        <v>553.36</v>
      </c>
      <c r="H20" s="291">
        <f t="shared" si="2"/>
        <v>716.49</v>
      </c>
      <c r="I20" s="30">
        <f>ROUND((F20*H20),2)</f>
        <v>716.49</v>
      </c>
      <c r="K20" s="72"/>
      <c r="O20" s="75"/>
    </row>
    <row r="21" spans="1:15" s="31" customFormat="1" ht="19.95" customHeight="1" x14ac:dyDescent="0.25">
      <c r="A21" s="29" t="str">
        <f>'MM CALC'!A17</f>
        <v>2.1.3</v>
      </c>
      <c r="B21" s="29" t="str">
        <f>'MM CALC'!B17</f>
        <v>COMP.</v>
      </c>
      <c r="C21" s="29" t="str">
        <f>'MM CALC'!C17</f>
        <v>001</v>
      </c>
      <c r="D21" s="44" t="str">
        <f>'MM CALC'!D17</f>
        <v>ENTRADA DE ENERGIA PARA PONTE</v>
      </c>
      <c r="E21" s="29" t="str">
        <f>'MM CALC'!E17</f>
        <v>UNID.</v>
      </c>
      <c r="F21" s="68">
        <f>'MM CALC'!F17</f>
        <v>1</v>
      </c>
      <c r="G21" s="30">
        <f>COMPOSIÇÕES!G8</f>
        <v>11311.460000000001</v>
      </c>
      <c r="H21" s="30">
        <f t="shared" si="2"/>
        <v>14646.08</v>
      </c>
      <c r="I21" s="30">
        <f>ROUND((F21*H21),2)</f>
        <v>14646.08</v>
      </c>
      <c r="K21" s="72"/>
      <c r="O21" s="75"/>
    </row>
    <row r="22" spans="1:15" s="31" customFormat="1" ht="40.049999999999997" customHeight="1" x14ac:dyDescent="0.25">
      <c r="A22" s="29" t="str">
        <f>'MM CALC'!A18</f>
        <v>2.1.4</v>
      </c>
      <c r="B22" s="29" t="str">
        <f>'MM CALC'!B18</f>
        <v>SEINFRA</v>
      </c>
      <c r="C22" s="29" t="str">
        <f>'MM CALC'!C18</f>
        <v xml:space="preserve">ED-50128 </v>
      </c>
      <c r="D22" s="44" t="str">
        <f>'MM CALC'!D18</f>
        <v>BARRACÃO DE OBRA PARA DEPÓSITO E FERRAMENTARIA TIPO-I, ÁREA INTERNA 14,52M2, EM CHAPA DE COMPENSADO RESINADO, INCLUSIVE MOBILIÁRIO (OBRA DE PEQUENO PORTE, EFETIVO ATÉ 30 HOMENS), PADRÃO DER-MG</v>
      </c>
      <c r="E22" s="29" t="str">
        <f>'MM CALC'!E18</f>
        <v>UNID.</v>
      </c>
      <c r="F22" s="68">
        <f>'MM CALC'!F18</f>
        <v>1</v>
      </c>
      <c r="G22" s="30">
        <v>8425.52</v>
      </c>
      <c r="H22" s="30">
        <f t="shared" si="2"/>
        <v>10909.36</v>
      </c>
      <c r="I22" s="30">
        <f>ROUND((F22*H22),2)</f>
        <v>10909.36</v>
      </c>
      <c r="K22" s="72"/>
      <c r="O22" s="75"/>
    </row>
    <row r="23" spans="1:15" s="31" customFormat="1" ht="30" customHeight="1" x14ac:dyDescent="0.25">
      <c r="A23" s="29" t="str">
        <f>'MM CALC'!A19</f>
        <v>2.1.5</v>
      </c>
      <c r="B23" s="29" t="str">
        <f>'MM CALC'!B19</f>
        <v>SEINFRA</v>
      </c>
      <c r="C23" s="29" t="str">
        <f>'MM CALC'!C19</f>
        <v xml:space="preserve">ED-50703  </v>
      </c>
      <c r="D23" s="342" t="str">
        <f>'MM CALC'!D19</f>
        <v>LIMPEZA DE TERRENO, INCLUSIVE CAPINA, RASTELAMENTO COM AFASTAMENTO ATÉ VINTE (20) METROS E QUEIMA CONTROLADA</v>
      </c>
      <c r="E23" s="29" t="str">
        <f>'MM CALC'!E19</f>
        <v>M2</v>
      </c>
      <c r="F23" s="68">
        <f>'MM CALC'!F19</f>
        <v>249.5</v>
      </c>
      <c r="G23" s="30">
        <v>2.48</v>
      </c>
      <c r="H23" s="291">
        <f t="shared" si="2"/>
        <v>3.21</v>
      </c>
      <c r="I23" s="30">
        <f t="shared" ref="I23:I25" si="3">ROUND((F23*H23),2)</f>
        <v>800.9</v>
      </c>
      <c r="K23" s="72"/>
      <c r="O23" s="75"/>
    </row>
    <row r="24" spans="1:15" s="31" customFormat="1" ht="40.049999999999997" customHeight="1" x14ac:dyDescent="0.25">
      <c r="A24" s="29" t="str">
        <f>'MM CALC'!A20</f>
        <v>2.1.6</v>
      </c>
      <c r="B24" s="29" t="str">
        <f>'MM CALC'!B20</f>
        <v>SEINFRA</v>
      </c>
      <c r="C24" s="29" t="str">
        <f>'MM CALC'!C20</f>
        <v xml:space="preserve">ED-29823 </v>
      </c>
      <c r="D24" s="44" t="str">
        <f>'MM CALC'!D20</f>
        <v>TAPUME FIXO DE PROTEÇÃO PARA FECHAMENTO DE OBRA EM TELHA METÁLICA GALVANIZADA, TIPO TRAPEZOIDAL, ESP. 0,5MM, COM MÓDULO NA DIMENSÃO DE (300X220)CM, COM REAPROVEITAMENTO, EXCLUSIVE PINTURA ESMALTE, INCLUSIVE PONTALETE E FIXAÇÃO</v>
      </c>
      <c r="E24" s="29" t="str">
        <f>'MM CALC'!E20</f>
        <v>M2</v>
      </c>
      <c r="F24" s="68">
        <f>'MM CALC'!F20</f>
        <v>53.35</v>
      </c>
      <c r="G24" s="30">
        <v>61.38</v>
      </c>
      <c r="H24" s="30">
        <f t="shared" si="2"/>
        <v>79.47</v>
      </c>
      <c r="I24" s="30">
        <f t="shared" si="3"/>
        <v>4239.72</v>
      </c>
      <c r="K24" s="72">
        <f>K8*0.75</f>
        <v>1128010.4296875</v>
      </c>
      <c r="O24" s="75"/>
    </row>
    <row r="25" spans="1:15" s="31" customFormat="1" ht="40.049999999999997" customHeight="1" x14ac:dyDescent="0.25">
      <c r="A25" s="29" t="str">
        <f>'MM CALC'!A21</f>
        <v>2.1.7</v>
      </c>
      <c r="B25" s="29" t="str">
        <f>'MM CALC'!B21</f>
        <v>SEINFRA</v>
      </c>
      <c r="C25" s="29" t="str">
        <f>'MM CALC'!C21</f>
        <v xml:space="preserve">ED-14457 </v>
      </c>
      <c r="D25" s="44" t="str">
        <f>'MM CALC'!D21</f>
        <v>PORTÃO PARA TAPUME FIXO DE PROTEÇÃO COM FECHAMENTO DE OBRA EM TELHA METÁLICA GALVANIZADA, TIPO TRAPEZOIDAL ESP. 0,5MM, COM MÓDULO NA DIMENSÃO DE (300X220)CM, EXCLUSIVE PINTURA ESMALTE</v>
      </c>
      <c r="E25" s="29" t="str">
        <f>'MM CALC'!E21</f>
        <v>M2</v>
      </c>
      <c r="F25" s="68">
        <f>'MM CALC'!F21</f>
        <v>3.3000000000000003</v>
      </c>
      <c r="G25" s="30">
        <v>144.32</v>
      </c>
      <c r="H25" s="30">
        <f t="shared" si="2"/>
        <v>186.87</v>
      </c>
      <c r="I25" s="30">
        <f t="shared" si="3"/>
        <v>616.66999999999996</v>
      </c>
      <c r="K25" s="72"/>
      <c r="O25" s="75"/>
    </row>
    <row r="26" spans="1:15" s="354" customFormat="1" ht="19.95" customHeight="1" x14ac:dyDescent="0.25">
      <c r="A26" s="350" t="str">
        <f>'MM CALC'!A23</f>
        <v>2.2</v>
      </c>
      <c r="B26" s="350"/>
      <c r="C26" s="350"/>
      <c r="D26" s="351" t="str">
        <f>'MM CALC'!D23</f>
        <v>REMOÇÕES E DEMOLIÇÕES</v>
      </c>
      <c r="E26" s="350"/>
      <c r="F26" s="352"/>
      <c r="G26" s="353"/>
      <c r="H26" s="353"/>
      <c r="I26" s="353">
        <f>SUM(I27:I32)</f>
        <v>16862.650000000001</v>
      </c>
      <c r="K26" s="355"/>
      <c r="O26" s="356"/>
    </row>
    <row r="27" spans="1:15" s="31" customFormat="1" ht="30" customHeight="1" x14ac:dyDescent="0.25">
      <c r="A27" s="29" t="str">
        <f>'MM CALC'!A24</f>
        <v>2.2.1</v>
      </c>
      <c r="B27" s="29" t="str">
        <f>'MM CALC'!B24</f>
        <v>SEINFRA</v>
      </c>
      <c r="C27" s="29" t="str">
        <f>'MM CALC'!C24</f>
        <v xml:space="preserve">ED-48443 </v>
      </c>
      <c r="D27" s="342" t="str">
        <f>'MM CALC'!D24</f>
        <v>DEMOLIÇÃO MECANIZADA DE CONCRETO ARMADO, COM EQUIPAMENTO ELÉTRICO, INCLUSIVE AFASTAMENTO E EMPILHAMENTO, EXCLUSIVE TRANSPORTE E RETIRADA DO MATERIAL DEMOLIDO</v>
      </c>
      <c r="E27" s="29" t="str">
        <f>'MM CALC'!E24</f>
        <v>M3</v>
      </c>
      <c r="F27" s="68">
        <f>'MM CALC'!F24</f>
        <v>16.918500000000002</v>
      </c>
      <c r="G27" s="30">
        <v>255.93</v>
      </c>
      <c r="H27" s="291">
        <f t="shared" ref="H27:H32" si="4">ROUND((G27*(1+$H$9)),2)</f>
        <v>331.38</v>
      </c>
      <c r="I27" s="30">
        <f t="shared" ref="I27:I32" si="5">ROUND((F27*H27),2)</f>
        <v>5606.45</v>
      </c>
      <c r="K27" s="72"/>
      <c r="O27" s="75"/>
    </row>
    <row r="28" spans="1:15" s="31" customFormat="1" ht="19.95" customHeight="1" x14ac:dyDescent="0.25">
      <c r="A28" s="29" t="str">
        <f>'MM CALC'!A25</f>
        <v>2.2.2</v>
      </c>
      <c r="B28" s="29" t="str">
        <f>'MM CALC'!B25</f>
        <v>SINAPI</v>
      </c>
      <c r="C28" s="29">
        <f>'MM CALC'!C25</f>
        <v>104789</v>
      </c>
      <c r="D28" s="44" t="str">
        <f>'MM CALC'!D25</f>
        <v>DEMOLIÇÃO DE PISO DE CONCRETO SIMPLES, DE FORMA MANUAL, SEM REAPROVEITAMENTO. AF_09/2023</v>
      </c>
      <c r="E28" s="29" t="str">
        <f>'MM CALC'!E25</f>
        <v>M3</v>
      </c>
      <c r="F28" s="68">
        <f>'MM CALC'!F25</f>
        <v>1.4105000000000001</v>
      </c>
      <c r="G28" s="30">
        <v>176.36</v>
      </c>
      <c r="H28" s="30">
        <f t="shared" si="4"/>
        <v>228.35</v>
      </c>
      <c r="I28" s="30">
        <f t="shared" si="5"/>
        <v>322.08999999999997</v>
      </c>
      <c r="K28" s="72"/>
      <c r="O28" s="75"/>
    </row>
    <row r="29" spans="1:15" s="31" customFormat="1" ht="19.95" customHeight="1" x14ac:dyDescent="0.25">
      <c r="A29" s="29" t="str">
        <f>'MM CALC'!A26</f>
        <v>2.2.3</v>
      </c>
      <c r="B29" s="29" t="str">
        <f>'MM CALC'!B26</f>
        <v>SEINFRA</v>
      </c>
      <c r="C29" s="29" t="str">
        <f>'MM CALC'!C26</f>
        <v xml:space="preserve">ED-51125 </v>
      </c>
      <c r="D29" s="44" t="str">
        <f>'MM CALC'!D26</f>
        <v>TRANSPORTE DE MATERIAL DEMOLIDO EM CAÇAMBA, EXCLUSIVE CARGA MANUAL OU MECÂNICA</v>
      </c>
      <c r="E29" s="29" t="str">
        <f>'MM CALC'!E26</f>
        <v>M3</v>
      </c>
      <c r="F29" s="68">
        <f>'MM CALC'!F26</f>
        <v>23.8277</v>
      </c>
      <c r="G29" s="30">
        <v>85</v>
      </c>
      <c r="H29" s="30">
        <f t="shared" ref="H29:H30" si="6">ROUND((G29*(1+$H$9)),2)</f>
        <v>110.06</v>
      </c>
      <c r="I29" s="30">
        <f t="shared" si="5"/>
        <v>2622.48</v>
      </c>
      <c r="K29" s="72"/>
      <c r="O29" s="75"/>
    </row>
    <row r="30" spans="1:15" s="31" customFormat="1" ht="19.95" customHeight="1" x14ac:dyDescent="0.25">
      <c r="A30" s="29" t="str">
        <f>'MM CALC'!A27</f>
        <v>2.2.4</v>
      </c>
      <c r="B30" s="29" t="str">
        <f>'MM CALC'!B27</f>
        <v>SEINFRA</v>
      </c>
      <c r="C30" s="29" t="str">
        <f>'MM CALC'!C27</f>
        <v xml:space="preserve">ED-51131 </v>
      </c>
      <c r="D30" s="44" t="str">
        <f>'MM CALC'!D27</f>
        <v>CARGA MANUAL DE MATERIAL DE QUALQUER NATUREZA SOBRE CAMINHÃO, EXCLUSIVE TRANSPORTE</v>
      </c>
      <c r="E30" s="29" t="str">
        <f>'MM CALC'!E27</f>
        <v>M3</v>
      </c>
      <c r="F30" s="68">
        <f>F29</f>
        <v>23.8277</v>
      </c>
      <c r="G30" s="30">
        <v>41.88</v>
      </c>
      <c r="H30" s="30">
        <f t="shared" si="6"/>
        <v>54.23</v>
      </c>
      <c r="I30" s="30">
        <f t="shared" si="5"/>
        <v>1292.18</v>
      </c>
      <c r="K30" s="72"/>
      <c r="O30" s="75"/>
    </row>
    <row r="31" spans="1:15" s="31" customFormat="1" ht="19.95" customHeight="1" x14ac:dyDescent="0.25">
      <c r="A31" s="29" t="str">
        <f>'MM CALC'!A28</f>
        <v>2.2.5</v>
      </c>
      <c r="B31" s="29" t="str">
        <f>'MM CALC'!B28</f>
        <v>COMP.</v>
      </c>
      <c r="C31" s="29" t="str">
        <f>'MM CALC'!C28</f>
        <v>002</v>
      </c>
      <c r="D31" s="309" t="str">
        <f>'MM CALC'!D28</f>
        <v>REMOÇÃO DE PISO DE BLOCO INTERTRAVADO  DE FORMA MANUAL, SEM REAPROVEITAMENTO.</v>
      </c>
      <c r="E31" s="29" t="str">
        <f>'MM CALC'!E28</f>
        <v>M2</v>
      </c>
      <c r="F31" s="68">
        <f>'MM CALC'!F28</f>
        <v>79.539999999999992</v>
      </c>
      <c r="G31" s="30">
        <f>COMPOSIÇÕES!G16</f>
        <v>13.284791638</v>
      </c>
      <c r="H31" s="30">
        <f t="shared" si="4"/>
        <v>17.2</v>
      </c>
      <c r="I31" s="30">
        <f t="shared" si="5"/>
        <v>1368.09</v>
      </c>
      <c r="K31" s="72"/>
      <c r="O31" s="75"/>
    </row>
    <row r="32" spans="1:15" s="31" customFormat="1" ht="40.049999999999997" customHeight="1" x14ac:dyDescent="0.25">
      <c r="A32" s="29" t="str">
        <f>'MM CALC'!A29</f>
        <v>2.2.6</v>
      </c>
      <c r="B32" s="29" t="str">
        <f>'MM CALC'!B29</f>
        <v>SINAPI</v>
      </c>
      <c r="C32" s="29">
        <f>'MM CALC'!C29</f>
        <v>5928</v>
      </c>
      <c r="D32" s="44" t="str">
        <f>'MM CALC'!D29</f>
        <v>GUINDAUTO HIDRÁULICO, CAPACIDADE MÁXIMA DE CARGA 6200 KG, MOMENTO MÁXIMO DE CARGA 11,7 TM, ALCANCE MÁXIMO HORIZONTAL 9,70 M, INCLUSIVE CAMINHÃO TOCO PBT 16.000 KG, POTÊNCIA DE 189 CV - CHP DIURNO. AF_06/2014</v>
      </c>
      <c r="E32" s="29" t="str">
        <f>'MM CALC'!E29</f>
        <v>CHP</v>
      </c>
      <c r="F32" s="68">
        <f>'MM CALC'!F29</f>
        <v>16</v>
      </c>
      <c r="G32" s="30">
        <v>272.79000000000002</v>
      </c>
      <c r="H32" s="30">
        <f t="shared" si="4"/>
        <v>353.21</v>
      </c>
      <c r="I32" s="30">
        <f t="shared" si="5"/>
        <v>5651.36</v>
      </c>
      <c r="K32" s="72"/>
      <c r="O32" s="75"/>
    </row>
    <row r="33" spans="1:15" s="354" customFormat="1" ht="19.95" customHeight="1" x14ac:dyDescent="0.25">
      <c r="A33" s="350" t="str">
        <f>'MM CALC'!A30</f>
        <v>2.3</v>
      </c>
      <c r="B33" s="350"/>
      <c r="C33" s="350"/>
      <c r="D33" s="351" t="str">
        <f>'MM CALC'!D30</f>
        <v>INFRAESTRUTURA E MESOESTRUTURA</v>
      </c>
      <c r="E33" s="350"/>
      <c r="F33" s="352"/>
      <c r="G33" s="353"/>
      <c r="H33" s="353"/>
      <c r="I33" s="353">
        <f>SUM(I34:I47)</f>
        <v>266020.2</v>
      </c>
      <c r="K33" s="416">
        <f>(SUM(I38:I44)/I33)</f>
        <v>0.53792024064337962</v>
      </c>
      <c r="O33" s="356"/>
    </row>
    <row r="34" spans="1:15" s="31" customFormat="1" ht="19.95" customHeight="1" x14ac:dyDescent="0.25">
      <c r="A34" s="29" t="str">
        <f>'MM CALC'!A31</f>
        <v>2.3.1</v>
      </c>
      <c r="B34" s="29" t="str">
        <f>'MM CALC'!B31</f>
        <v>SEINFRA</v>
      </c>
      <c r="C34" s="29" t="str">
        <f>'MM CALC'!C31</f>
        <v xml:space="preserve">ED-50422 </v>
      </c>
      <c r="D34" s="44" t="str">
        <f>'MM CALC'!D31</f>
        <v>ENSECADEIRA INCLUSIVE RETIRADA DO MADEIRAMENTO , PAREDE SIMPLES</v>
      </c>
      <c r="E34" s="29" t="str">
        <f>'MM CALC'!E31</f>
        <v>M2</v>
      </c>
      <c r="F34" s="68">
        <f>'MM CALC'!F31</f>
        <v>12</v>
      </c>
      <c r="G34" s="30">
        <v>204.75</v>
      </c>
      <c r="H34" s="291">
        <f t="shared" ref="H34:H38" si="7">ROUND((G34*(1+$H$9)),2)</f>
        <v>265.11</v>
      </c>
      <c r="I34" s="30">
        <f t="shared" ref="I34:I38" si="8">ROUND((F34*H34),2)</f>
        <v>3181.32</v>
      </c>
      <c r="K34" s="310"/>
      <c r="O34" s="75"/>
    </row>
    <row r="35" spans="1:15" s="292" customFormat="1" ht="19.95" customHeight="1" x14ac:dyDescent="0.25">
      <c r="A35" s="29" t="str">
        <f>'MM CALC'!A32</f>
        <v>2.3.2</v>
      </c>
      <c r="B35" s="29" t="str">
        <f>'MM CALC'!B32</f>
        <v>SICRO</v>
      </c>
      <c r="C35" s="29">
        <f>'MM CALC'!C32</f>
        <v>2003864</v>
      </c>
      <c r="D35" s="44" t="str">
        <f>'MM CALC'!D32</f>
        <v>ESGOTAMENTO DE ÁGUA COM BOMBA SUBMERSA</v>
      </c>
      <c r="E35" s="29" t="str">
        <f>'MM CALC'!E32</f>
        <v>H</v>
      </c>
      <c r="F35" s="68">
        <f>'MM CALC'!F32</f>
        <v>120</v>
      </c>
      <c r="G35" s="291">
        <v>13.56</v>
      </c>
      <c r="H35" s="291">
        <f t="shared" si="7"/>
        <v>17.559999999999999</v>
      </c>
      <c r="I35" s="30">
        <f t="shared" si="8"/>
        <v>2107.1999999999998</v>
      </c>
      <c r="K35" s="293"/>
      <c r="O35" s="294"/>
    </row>
    <row r="36" spans="1:15" s="31" customFormat="1" ht="30" customHeight="1" x14ac:dyDescent="0.25">
      <c r="A36" s="29" t="str">
        <f>'MM CALC'!A33</f>
        <v>2.3.3</v>
      </c>
      <c r="B36" s="29" t="str">
        <f>'MM CALC'!B33</f>
        <v>SINAPI</v>
      </c>
      <c r="C36" s="29">
        <f>'MM CALC'!C33</f>
        <v>96523</v>
      </c>
      <c r="D36" s="342" t="str">
        <f>'MM CALC'!D33</f>
        <v>ESCAVAÇÃO MANUAL PARA BLOCO DE COROAMENTO OU SAPATA (INCLUINDO ESCAVAÇÃO PARA COLOCAÇÃO DE FÔRMAS). AF_01/2024</v>
      </c>
      <c r="E36" s="29" t="str">
        <f>'MM CALC'!E33</f>
        <v>M3</v>
      </c>
      <c r="F36" s="68">
        <f>'MM CALC'!F33</f>
        <v>162.57999999999998</v>
      </c>
      <c r="G36" s="30">
        <v>83.02</v>
      </c>
      <c r="H36" s="291">
        <f t="shared" si="7"/>
        <v>107.49</v>
      </c>
      <c r="I36" s="30">
        <f t="shared" si="8"/>
        <v>17475.72</v>
      </c>
      <c r="K36" s="72"/>
      <c r="O36" s="75"/>
    </row>
    <row r="37" spans="1:15" s="31" customFormat="1" ht="30" customHeight="1" x14ac:dyDescent="0.25">
      <c r="A37" s="29" t="str">
        <f>'MM CALC'!A34</f>
        <v>2.3.4</v>
      </c>
      <c r="B37" s="29" t="str">
        <f>'MM CALC'!B34</f>
        <v>SINAPI</v>
      </c>
      <c r="C37" s="29">
        <f>'MM CALC'!C34</f>
        <v>101175</v>
      </c>
      <c r="D37" s="342" t="str">
        <f>'MM CALC'!D34</f>
        <v>ESTACA BROCA DE CONCRETO, DIÂMETRO DE 30CM, ESCAVAÇÃO MANUAL COM TRADO CONCHA, COM ARMADURA DE ARRANQUE. AF_05/2020</v>
      </c>
      <c r="E37" s="29" t="str">
        <f>'MM CALC'!E34</f>
        <v>M</v>
      </c>
      <c r="F37" s="68">
        <f>'MM CALC'!F34</f>
        <v>60</v>
      </c>
      <c r="G37" s="30">
        <v>111.55</v>
      </c>
      <c r="H37" s="291">
        <f t="shared" si="7"/>
        <v>144.43</v>
      </c>
      <c r="I37" s="30">
        <f t="shared" si="8"/>
        <v>8665.7999999999993</v>
      </c>
      <c r="K37" s="72"/>
      <c r="O37" s="75"/>
    </row>
    <row r="38" spans="1:15" s="292" customFormat="1" ht="19.95" customHeight="1" x14ac:dyDescent="0.25">
      <c r="A38" s="29" t="str">
        <f>'MM CALC'!A35</f>
        <v>2.3.5</v>
      </c>
      <c r="B38" s="29" t="str">
        <f>'MM CALC'!B35</f>
        <v>SEINFRA</v>
      </c>
      <c r="C38" s="29" t="str">
        <f>'MM CALC'!C35</f>
        <v xml:space="preserve">ED-49812 </v>
      </c>
      <c r="D38" s="44" t="str">
        <f>'MM CALC'!D35</f>
        <v>LASTRO DE CONCRETO MAGRO, INCLUSIVE TRANSPORTE, LANÇAMENTO E ADENSAMENTO</v>
      </c>
      <c r="E38" s="29" t="str">
        <f>'MM CALC'!E35</f>
        <v>M3</v>
      </c>
      <c r="F38" s="68">
        <f>'MM CALC'!F35</f>
        <v>3.8245000000000005</v>
      </c>
      <c r="G38" s="291">
        <v>567.89</v>
      </c>
      <c r="H38" s="291">
        <f t="shared" si="7"/>
        <v>735.3</v>
      </c>
      <c r="I38" s="30">
        <f t="shared" si="8"/>
        <v>2812.15</v>
      </c>
      <c r="K38" s="293"/>
      <c r="O38" s="294"/>
    </row>
    <row r="39" spans="1:15" s="31" customFormat="1" ht="30" customHeight="1" x14ac:dyDescent="0.25">
      <c r="A39" s="29" t="str">
        <f>'MM CALC'!A36</f>
        <v>2.3.6</v>
      </c>
      <c r="B39" s="29" t="str">
        <f>'MM CALC'!B36</f>
        <v>SEINFRA</v>
      </c>
      <c r="C39" s="29" t="str">
        <f>'MM CALC'!C36</f>
        <v xml:space="preserve">ED-49810 </v>
      </c>
      <c r="D39" s="342" t="str">
        <f>'MM CALC'!D36</f>
        <v>FÔRMA E DESFORMA PARA VIGA-CINTA/BLOCO COM TÁBUA E SARRAFO, REAPROVEITAMENTO (3X) (FUNDAÇÃO)</v>
      </c>
      <c r="E39" s="29" t="str">
        <f>'MM CALC'!E36</f>
        <v>M2</v>
      </c>
      <c r="F39" s="68">
        <f>'MM CALC'!F36</f>
        <v>28</v>
      </c>
      <c r="G39" s="30">
        <v>70.069999999999993</v>
      </c>
      <c r="H39" s="291">
        <f t="shared" ref="H39:H41" si="9">ROUND((G39*(1+$H$9)),2)</f>
        <v>90.73</v>
      </c>
      <c r="I39" s="30">
        <f t="shared" ref="I39:I41" si="10">ROUND((F39*H39),2)</f>
        <v>2540.44</v>
      </c>
      <c r="K39" s="72"/>
      <c r="O39" s="75"/>
    </row>
    <row r="40" spans="1:15" s="31" customFormat="1" ht="30" customHeight="1" x14ac:dyDescent="0.25">
      <c r="A40" s="29" t="str">
        <f>'MM CALC'!A37</f>
        <v>2.3.7</v>
      </c>
      <c r="B40" s="29" t="str">
        <f>'MM CALC'!B37</f>
        <v>SINAPI</v>
      </c>
      <c r="C40" s="29">
        <f>'MM CALC'!C37</f>
        <v>96557</v>
      </c>
      <c r="D40" s="342" t="str">
        <f>'MM CALC'!D37</f>
        <v>CONCRETAGEM DE BLOCO DE COROAMENTO OU VIGA BALDRAME, FCK 30 MPA, COM USO DE BOMBA - LANÇAMENTO, ADENSAMENTO E ACABAMENTO. AF_01/2024</v>
      </c>
      <c r="E40" s="29" t="str">
        <f>'MM CALC'!E37</f>
        <v>M3</v>
      </c>
      <c r="F40" s="68">
        <f>'MM CALC'!F37</f>
        <v>17.36</v>
      </c>
      <c r="G40" s="30">
        <v>822.94</v>
      </c>
      <c r="H40" s="291">
        <f t="shared" si="9"/>
        <v>1065.54</v>
      </c>
      <c r="I40" s="30">
        <f t="shared" si="10"/>
        <v>18497.77</v>
      </c>
      <c r="K40" s="72"/>
      <c r="O40" s="75"/>
    </row>
    <row r="41" spans="1:15" s="31" customFormat="1" ht="43.8" customHeight="1" x14ac:dyDescent="0.25">
      <c r="A41" s="29" t="str">
        <f>'MM CALC'!A38</f>
        <v>2.3.8</v>
      </c>
      <c r="B41" s="29" t="str">
        <f>'MM CALC'!B38</f>
        <v>SEINFRA</v>
      </c>
      <c r="C41" s="29" t="str">
        <f>'MM CALC'!C38</f>
        <v xml:space="preserve">ED-15690 </v>
      </c>
      <c r="D41" s="44" t="str">
        <f>'MM CALC'!D38</f>
        <v>FÔRMA E DESFORMA PARA CORTINA DE CONCRETO OU PAREDE ESTRUTURAL (VIGA-PAREDE), ALTURA MÁXIMA DE 360CM, COM CHAPA DE COMPENSADO PLASTIFICADO, ESP. 18MM, REAPROVEITAMENTO (3X), INCLUSIVE TRAVAMENTO COM TIRANTES EM ARAME E ESCORA PARA PRUMO EM MADEIRA</v>
      </c>
      <c r="E41" s="29" t="str">
        <f>'MM CALC'!E38</f>
        <v>M2</v>
      </c>
      <c r="F41" s="68">
        <f>'MM CALC'!F38</f>
        <v>202.99</v>
      </c>
      <c r="G41" s="30">
        <v>125.13</v>
      </c>
      <c r="H41" s="30">
        <f t="shared" si="9"/>
        <v>162.02000000000001</v>
      </c>
      <c r="I41" s="30">
        <f t="shared" si="10"/>
        <v>32888.44</v>
      </c>
      <c r="K41" s="72"/>
      <c r="O41" s="75"/>
    </row>
    <row r="42" spans="1:15" s="31" customFormat="1" ht="30" customHeight="1" x14ac:dyDescent="0.25">
      <c r="A42" s="29" t="str">
        <f>'MM CALC'!A39</f>
        <v>2.3.9</v>
      </c>
      <c r="B42" s="29" t="str">
        <f>'MM CALC'!B39</f>
        <v>SINAPI</v>
      </c>
      <c r="C42" s="29">
        <f>'MM CALC'!C39</f>
        <v>100349</v>
      </c>
      <c r="D42" s="342" t="str">
        <f>'MM CALC'!D39</f>
        <v>CONCRETAGEM DE CORTINA DE CONTENÇÃO, ATRAVÉS DE BOMBA - LANÇAMENTO, ADENSAMENTO E ACABAMENTO. AF_11/2024</v>
      </c>
      <c r="E42" s="29" t="str">
        <f>'MM CALC'!E39</f>
        <v>M3</v>
      </c>
      <c r="F42" s="68">
        <f>'MM CALC'!F39</f>
        <v>53.49</v>
      </c>
      <c r="G42" s="30">
        <v>748.91</v>
      </c>
      <c r="H42" s="291">
        <f t="shared" ref="H42:H47" si="11">ROUND((G42*(1+$H$9)),2)</f>
        <v>969.69</v>
      </c>
      <c r="I42" s="30">
        <f t="shared" ref="I42:I47" si="12">ROUND((F42*H42),2)</f>
        <v>51868.72</v>
      </c>
      <c r="K42" s="72"/>
      <c r="O42" s="75"/>
    </row>
    <row r="43" spans="1:15" s="31" customFormat="1" ht="30" customHeight="1" x14ac:dyDescent="0.25">
      <c r="A43" s="29" t="str">
        <f>'MM CALC'!A40</f>
        <v>2.3.10</v>
      </c>
      <c r="B43" s="29" t="str">
        <f>'MM CALC'!B40</f>
        <v>SINAPI</v>
      </c>
      <c r="C43" s="29">
        <f>'MM CALC'!C40</f>
        <v>92417</v>
      </c>
      <c r="D43" s="342" t="str">
        <f>'MM CALC'!D40</f>
        <v>MONTAGEM E DESMONTAGEM DE FÔRMA DE PILARES RETANGULARES E ESTRUTURAS SIMILARES, PÉ-DIREITO DUPLO, EM CHAPA DE MADEIRA COMPENSADA RESINADA, 2 UTILIZAÇÕES. AF_09/2020</v>
      </c>
      <c r="E43" s="29" t="str">
        <f>'MM CALC'!E40</f>
        <v>M2</v>
      </c>
      <c r="F43" s="68">
        <f>'MM CALC'!F40</f>
        <v>100.80000000000001</v>
      </c>
      <c r="G43" s="30">
        <v>153.72</v>
      </c>
      <c r="H43" s="291">
        <f t="shared" si="11"/>
        <v>199.04</v>
      </c>
      <c r="I43" s="30">
        <f t="shared" si="12"/>
        <v>20063.23</v>
      </c>
      <c r="K43" s="72"/>
      <c r="O43" s="75"/>
    </row>
    <row r="44" spans="1:15" s="31" customFormat="1" ht="30" customHeight="1" x14ac:dyDescent="0.25">
      <c r="A44" s="29" t="str">
        <f>'MM CALC'!A41</f>
        <v>2.3.11</v>
      </c>
      <c r="B44" s="29" t="str">
        <f>'MM CALC'!B41</f>
        <v>SINAPI</v>
      </c>
      <c r="C44" s="29">
        <f>'MM CALC'!C41</f>
        <v>103672</v>
      </c>
      <c r="D44" s="342" t="str">
        <f>'MM CALC'!D41</f>
        <v>CONCRETAGEM DE PILARES, FCK = 25 MPA, COM USO DE BOMBA -LANÇAMENTO, ADENSAMENTO E ACABAMENTO. AF_02/2022_PS</v>
      </c>
      <c r="E44" s="29" t="str">
        <f>'MM CALC'!E41</f>
        <v>M3</v>
      </c>
      <c r="F44" s="68">
        <f>'MM CALC'!F41</f>
        <v>15.120000000000001</v>
      </c>
      <c r="G44" s="30">
        <v>736.92</v>
      </c>
      <c r="H44" s="291">
        <f t="shared" si="11"/>
        <v>954.16</v>
      </c>
      <c r="I44" s="30">
        <f t="shared" si="12"/>
        <v>14426.9</v>
      </c>
      <c r="K44" s="72"/>
      <c r="O44" s="75"/>
    </row>
    <row r="45" spans="1:15" s="31" customFormat="1" ht="19.95" customHeight="1" x14ac:dyDescent="0.25">
      <c r="A45" s="29" t="str">
        <f>'MM CALC'!A42</f>
        <v>2.3.12</v>
      </c>
      <c r="B45" s="29" t="str">
        <f>'MM CALC'!B42</f>
        <v>SEINFRA</v>
      </c>
      <c r="C45" s="29" t="str">
        <f>'MM CALC'!C42</f>
        <v xml:space="preserve">ED-29553 </v>
      </c>
      <c r="D45" s="44" t="str">
        <f>'MM CALC'!D42</f>
        <v>CORTE, DOBRA E MONTAGEM DE AÇO CA-50, DIÂMETRO 16MM, INCLUSIVE ESPAÇADOR</v>
      </c>
      <c r="E45" s="29" t="str">
        <f>'MM CALC'!E42</f>
        <v>KG</v>
      </c>
      <c r="F45" s="68">
        <f>'MM CALC'!F42</f>
        <v>1905.9</v>
      </c>
      <c r="G45" s="30">
        <v>13.86</v>
      </c>
      <c r="H45" s="291">
        <f t="shared" si="11"/>
        <v>17.95</v>
      </c>
      <c r="I45" s="30">
        <f t="shared" si="12"/>
        <v>34210.910000000003</v>
      </c>
      <c r="K45" s="72"/>
      <c r="O45" s="75"/>
    </row>
    <row r="46" spans="1:15" s="31" customFormat="1" ht="19.95" customHeight="1" x14ac:dyDescent="0.25">
      <c r="A46" s="29" t="str">
        <f>'MM CALC'!A43</f>
        <v>2.3.13</v>
      </c>
      <c r="B46" s="29" t="str">
        <f>'MM CALC'!B43</f>
        <v>SEINFRA</v>
      </c>
      <c r="C46" s="29" t="str">
        <f>'MM CALC'!C43</f>
        <v xml:space="preserve">ED-48295 </v>
      </c>
      <c r="D46" s="44" t="str">
        <f>'MM CALC'!D43</f>
        <v>CORTE, DOBRA E MONTAGEM DE AÇO CA-50, DIÂMETRO (6,3MM A 12,5MM), INCLUSIVE ESPAÇADOR</v>
      </c>
      <c r="E46" s="29" t="str">
        <f>'MM CALC'!E43</f>
        <v>KG</v>
      </c>
      <c r="F46" s="68">
        <f>'MM CALC'!F43</f>
        <v>3101.8</v>
      </c>
      <c r="G46" s="30">
        <v>13.58</v>
      </c>
      <c r="H46" s="291">
        <f t="shared" si="11"/>
        <v>17.579999999999998</v>
      </c>
      <c r="I46" s="30">
        <f t="shared" si="12"/>
        <v>54529.64</v>
      </c>
      <c r="K46" s="72"/>
      <c r="O46" s="75"/>
    </row>
    <row r="47" spans="1:15" s="292" customFormat="1" ht="19.95" customHeight="1" x14ac:dyDescent="0.25">
      <c r="A47" s="29" t="str">
        <f>'MM CALC'!A44</f>
        <v>2.3.14</v>
      </c>
      <c r="B47" s="29" t="str">
        <f>'MM CALC'!B44</f>
        <v>SINAPI</v>
      </c>
      <c r="C47" s="29">
        <f>'MM CALC'!C44</f>
        <v>104737</v>
      </c>
      <c r="D47" s="44" t="str">
        <f>'MM CALC'!D44</f>
        <v>REATERRO MANUAL DE VALAS, COM PLACA VIBRATÓRIA. AF_08/2023</v>
      </c>
      <c r="E47" s="29" t="str">
        <f>'MM CALC'!E44</f>
        <v>M3</v>
      </c>
      <c r="F47" s="68">
        <f>'MM CALC'!F44</f>
        <v>110.96599999999998</v>
      </c>
      <c r="G47" s="291">
        <v>19.149999999999999</v>
      </c>
      <c r="H47" s="291">
        <f t="shared" si="11"/>
        <v>24.8</v>
      </c>
      <c r="I47" s="30">
        <f t="shared" si="12"/>
        <v>2751.96</v>
      </c>
      <c r="K47" s="293"/>
      <c r="O47" s="294"/>
    </row>
    <row r="48" spans="1:15" s="354" customFormat="1" ht="19.95" customHeight="1" x14ac:dyDescent="0.25">
      <c r="A48" s="350" t="str">
        <f>'MM CALC'!A45</f>
        <v>2.4</v>
      </c>
      <c r="B48" s="350"/>
      <c r="C48" s="350"/>
      <c r="D48" s="351" t="s">
        <v>190</v>
      </c>
      <c r="E48" s="350"/>
      <c r="F48" s="352"/>
      <c r="G48" s="353"/>
      <c r="H48" s="353"/>
      <c r="I48" s="353">
        <f>SUM(I49:I54)</f>
        <v>700198.57000000007</v>
      </c>
      <c r="K48" s="355"/>
      <c r="O48" s="356"/>
    </row>
    <row r="49" spans="1:15" s="31" customFormat="1" ht="19.95" customHeight="1" x14ac:dyDescent="0.25">
      <c r="A49" s="29" t="str">
        <f>'MM CALC'!A46</f>
        <v>2.4.1</v>
      </c>
      <c r="B49" s="29" t="str">
        <f>'MM CALC'!B46</f>
        <v>COMP.</v>
      </c>
      <c r="C49" s="29" t="str">
        <f>'MM CALC'!C46</f>
        <v>003</v>
      </c>
      <c r="D49" s="309" t="str">
        <f>'MM CALC'!D46</f>
        <v>FORNECIMENTO E MONTAGEM DE ESTRUTURA EM AÇO ASTM-A36/A572 GRAU 50, SEM PINTURA</v>
      </c>
      <c r="E49" s="29" t="str">
        <f>'MM CALC'!E46</f>
        <v>VB</v>
      </c>
      <c r="F49" s="68">
        <f>'MM CALC'!F46</f>
        <v>1</v>
      </c>
      <c r="G49" s="30">
        <f>COMPOSIÇÕES!G22</f>
        <v>340242.34675899998</v>
      </c>
      <c r="H49" s="291">
        <f t="shared" ref="H49:H62" si="13">ROUND((G49*(1+$H$9)),2)</f>
        <v>440545.79</v>
      </c>
      <c r="I49" s="30">
        <f t="shared" ref="I49:I52" si="14">ROUND((F49*H49),2)</f>
        <v>440545.79</v>
      </c>
      <c r="K49" s="417">
        <f>SUM(I49:I51)/I48</f>
        <v>0.76280668496652315</v>
      </c>
      <c r="O49" s="75"/>
    </row>
    <row r="50" spans="1:15" s="31" customFormat="1" ht="30" customHeight="1" x14ac:dyDescent="0.25">
      <c r="A50" s="29" t="str">
        <f>'MM CALC'!A47</f>
        <v>2.4.2</v>
      </c>
      <c r="B50" s="29" t="str">
        <f>'MM CALC'!B47</f>
        <v>SEINFRA</v>
      </c>
      <c r="C50" s="29" t="str">
        <f>'MM CALC'!C47</f>
        <v xml:space="preserve">ED-29091 </v>
      </c>
      <c r="D50" s="342" t="str">
        <f>'MM CALC'!D47</f>
        <v>TRANSPORTE DE VIGA OU TABULEIRO PARA PONTE (CUSTO FIXO), INCLUSIVE CARGA, EXCLUSIVE FORNECIMENTO , DESCARGA E TRANSPORTE EM QUILÔMETRO RODADO (CUSTO VARIÁVEL)</v>
      </c>
      <c r="E50" s="29" t="str">
        <f>'MM CALC'!E47</f>
        <v>UNID.</v>
      </c>
      <c r="F50" s="68">
        <f>'MM CALC'!F47</f>
        <v>12</v>
      </c>
      <c r="G50" s="30">
        <f>G87</f>
        <v>2335.17</v>
      </c>
      <c r="H50" s="291">
        <f t="shared" si="13"/>
        <v>3023.58</v>
      </c>
      <c r="I50" s="30">
        <f t="shared" si="14"/>
        <v>36282.959999999999</v>
      </c>
      <c r="K50" s="72"/>
      <c r="O50" s="75"/>
    </row>
    <row r="51" spans="1:15" s="31" customFormat="1" ht="43.8" customHeight="1" x14ac:dyDescent="0.25">
      <c r="A51" s="29" t="str">
        <f>'MM CALC'!A48</f>
        <v>2.4.3</v>
      </c>
      <c r="B51" s="29" t="str">
        <f>'MM CALC'!B48</f>
        <v>SEINFRA</v>
      </c>
      <c r="C51" s="29" t="str">
        <f>'MM CALC'!C48</f>
        <v xml:space="preserve">ED-29090 </v>
      </c>
      <c r="D51" s="44" t="str">
        <f>'MM CALC'!D48</f>
        <v>DESCARGA DE CAMINHÃO, PARA ELEMENTOS DE VIGA OU TABULEIRO PARA PONTE, INCLUSIVE DESCARGA DE PERFIS LONGARINAS, TRANSVERSINAS, CHAPAS E ACESSÓRIOS, EXCLUSIVE FORNECIMENTO E TRANSPORTE</v>
      </c>
      <c r="E51" s="29" t="str">
        <f>'MM CALC'!E48</f>
        <v>UNID.</v>
      </c>
      <c r="F51" s="68">
        <f>'MM CALC'!F48</f>
        <v>12</v>
      </c>
      <c r="G51" s="30">
        <v>3687.02</v>
      </c>
      <c r="H51" s="291">
        <f t="shared" si="13"/>
        <v>4773.95</v>
      </c>
      <c r="I51" s="30">
        <f t="shared" si="14"/>
        <v>57287.4</v>
      </c>
      <c r="K51" s="72"/>
      <c r="O51" s="75"/>
    </row>
    <row r="52" spans="1:15" s="31" customFormat="1" ht="19.95" customHeight="1" x14ac:dyDescent="0.25">
      <c r="A52" s="29" t="str">
        <f>'MM CALC'!A49</f>
        <v>2.4.4</v>
      </c>
      <c r="B52" s="29" t="str">
        <f>'MM CALC'!B49</f>
        <v>COMP.</v>
      </c>
      <c r="C52" s="29" t="str">
        <f>'MM CALC'!C49</f>
        <v>004</v>
      </c>
      <c r="D52" s="309" t="str">
        <f>'MM CALC'!D49</f>
        <v xml:space="preserve">LAJE MACIÇA COM FORMA STEEL DECK, FORNECIMENTO E EXECUÇÃO, INCLUSO CONCRETAGEM, FORMAS (STEEL DECK) E ARMAÇÃO </v>
      </c>
      <c r="E52" s="29" t="str">
        <f>'MM CALC'!E49</f>
        <v>M2</v>
      </c>
      <c r="F52" s="68">
        <f>'MM CALC'!F49</f>
        <v>258.95999999999998</v>
      </c>
      <c r="G52" s="30">
        <f>COMPOSIÇÕES!G29</f>
        <v>402.26738254595307</v>
      </c>
      <c r="H52" s="291">
        <f t="shared" si="13"/>
        <v>520.86</v>
      </c>
      <c r="I52" s="30">
        <f t="shared" si="14"/>
        <v>134881.91</v>
      </c>
      <c r="K52" s="72"/>
      <c r="O52" s="75"/>
    </row>
    <row r="53" spans="1:15" s="31" customFormat="1" ht="30" customHeight="1" x14ac:dyDescent="0.25">
      <c r="A53" s="29" t="str">
        <f>'MM CALC'!A50</f>
        <v>2.4.5</v>
      </c>
      <c r="B53" s="29" t="str">
        <f>'MM CALC'!B50</f>
        <v>SINAPI</v>
      </c>
      <c r="C53" s="29">
        <f>'MM CALC'!C50</f>
        <v>89272</v>
      </c>
      <c r="D53" s="342" t="str">
        <f>'MM CALC'!D50</f>
        <v>GUINDASTE HIDRÁULICO AUTOPROPELIDO, COM LANÇA TELESCÓPICA 28,80 M, CAPACIDADE MÁXIMA 30 T, POTÊNCIA 97 KW, TRAÇÃO 4 X 4 - CHP DIURNO. AF_11/2014</v>
      </c>
      <c r="E53" s="29" t="str">
        <f>'MM CALC'!E50</f>
        <v>CHP</v>
      </c>
      <c r="F53" s="68">
        <f>'MM CALC'!F50</f>
        <v>80</v>
      </c>
      <c r="G53" s="30">
        <v>223.06</v>
      </c>
      <c r="H53" s="291">
        <f t="shared" si="13"/>
        <v>288.82</v>
      </c>
      <c r="I53" s="30">
        <f t="shared" ref="I53" si="15">ROUND((F53*H53),2)</f>
        <v>23105.599999999999</v>
      </c>
      <c r="K53" s="72"/>
      <c r="O53" s="75"/>
    </row>
    <row r="54" spans="1:15" s="31" customFormat="1" ht="30" customHeight="1" x14ac:dyDescent="0.25">
      <c r="A54" s="29" t="str">
        <f>'MM CALC'!A51</f>
        <v>2.4.6</v>
      </c>
      <c r="B54" s="29" t="str">
        <f>'MM CALC'!B51</f>
        <v>SICRO</v>
      </c>
      <c r="C54" s="29">
        <f>'MM CALC'!C51</f>
        <v>307732</v>
      </c>
      <c r="D54" s="342" t="str">
        <f>'MM CALC'!D51</f>
        <v>APARELHO DE APOIO DE NEOPRENE FRETADO PARA ESTRUTURAS PRÉ-MOLDADAS - FORNECIMENTO E INSTALAÇÃO</v>
      </c>
      <c r="E54" s="29" t="str">
        <f>'MM CALC'!E51</f>
        <v xml:space="preserve"> DM3</v>
      </c>
      <c r="F54" s="68">
        <f>'MM CALC'!F51</f>
        <v>55.8</v>
      </c>
      <c r="G54" s="30">
        <v>112.04</v>
      </c>
      <c r="H54" s="291">
        <f t="shared" si="13"/>
        <v>145.07</v>
      </c>
      <c r="I54" s="30">
        <f t="shared" ref="I54" si="16">ROUND((F54*H54),2)</f>
        <v>8094.91</v>
      </c>
      <c r="K54" s="72"/>
      <c r="O54" s="75"/>
    </row>
    <row r="55" spans="1:15" s="354" customFormat="1" ht="19.95" customHeight="1" x14ac:dyDescent="0.25">
      <c r="A55" s="350" t="str">
        <f>'MM CALC'!A52</f>
        <v>2.5</v>
      </c>
      <c r="B55" s="350"/>
      <c r="C55" s="350"/>
      <c r="D55" s="351" t="s">
        <v>137</v>
      </c>
      <c r="E55" s="350"/>
      <c r="F55" s="352"/>
      <c r="G55" s="353"/>
      <c r="H55" s="353"/>
      <c r="I55" s="353">
        <f>SUM(I56:I63)</f>
        <v>231309.9</v>
      </c>
      <c r="K55" s="416">
        <f>(I56+I57+I58)/I55</f>
        <v>7.282092119706074E-2</v>
      </c>
      <c r="O55" s="356"/>
    </row>
    <row r="56" spans="1:15" s="31" customFormat="1" ht="19.95" customHeight="1" x14ac:dyDescent="0.25">
      <c r="A56" s="29" t="str">
        <f>'MM CALC'!A53</f>
        <v>2.5.1</v>
      </c>
      <c r="B56" s="29" t="str">
        <f>'MM CALC'!B53</f>
        <v>SINAPI</v>
      </c>
      <c r="C56" s="29" t="str">
        <f>'MM CALC'!C53</f>
        <v xml:space="preserve">ED-51145 </v>
      </c>
      <c r="D56" s="342" t="str">
        <f>'MM CALC'!D53</f>
        <v>PASSEIOS DE CONCRETO E = 6 CM, FCK = 10 MPA, JUNTA SECA</v>
      </c>
      <c r="E56" s="29" t="str">
        <f>'MM CALC'!E53</f>
        <v>M2</v>
      </c>
      <c r="F56" s="68">
        <f>'MM CALC'!F53</f>
        <v>28.572000000000003</v>
      </c>
      <c r="G56" s="30">
        <v>64.989999999999995</v>
      </c>
      <c r="H56" s="291">
        <f t="shared" si="13"/>
        <v>84.15</v>
      </c>
      <c r="I56" s="30">
        <f t="shared" ref="I56:I58" si="17">ROUND((F56*H56),2)</f>
        <v>2404.33</v>
      </c>
      <c r="K56" s="72"/>
      <c r="O56" s="75"/>
    </row>
    <row r="57" spans="1:15" s="31" customFormat="1" ht="40.049999999999997" customHeight="1" x14ac:dyDescent="0.25">
      <c r="A57" s="29" t="str">
        <f>'MM CALC'!A54</f>
        <v>2.5.2</v>
      </c>
      <c r="B57" s="29" t="str">
        <f>'MM CALC'!B54</f>
        <v>SEINFRA</v>
      </c>
      <c r="C57" s="29" t="str">
        <f>'MM CALC'!C54</f>
        <v xml:space="preserve">ED-8914 </v>
      </c>
      <c r="D57" s="44" t="str">
        <f>'MM CALC'!D54</f>
        <v>EXECUÇÃO DE PAVIMENTO COM PISO INTERTRAVADO, TIPO SEXTAVADO, ESP. 8CM, COM FCK DE 35MPA, INCLUSIVE COLCHÃO DE AREIA, ESP. 6CM, PARA ASSENTAMENTO, COMPACTAÇÃO MECANIZADA, CARGA E DESCARGA MECÂNICA EM CAMINHÃO, EXCLUSIVE TRANSPORTE DE PISO INTERTRAVADO</v>
      </c>
      <c r="E57" s="29" t="str">
        <f>'MM CALC'!E54</f>
        <v>M2</v>
      </c>
      <c r="F57" s="68">
        <f>'MM CALC'!F54</f>
        <v>102.43</v>
      </c>
      <c r="G57" s="30">
        <v>94.51</v>
      </c>
      <c r="H57" s="291">
        <f t="shared" si="13"/>
        <v>122.37</v>
      </c>
      <c r="I57" s="30">
        <f t="shared" si="17"/>
        <v>12534.36</v>
      </c>
      <c r="K57" s="72"/>
      <c r="O57" s="75"/>
    </row>
    <row r="58" spans="1:15" s="31" customFormat="1" ht="30" customHeight="1" x14ac:dyDescent="0.25">
      <c r="A58" s="29" t="str">
        <f>'MM CALC'!A55</f>
        <v>2.5.3</v>
      </c>
      <c r="B58" s="29" t="str">
        <f>'MM CALC'!B55</f>
        <v>SINAPI</v>
      </c>
      <c r="C58" s="29">
        <f>'MM CALC'!C55</f>
        <v>94273</v>
      </c>
      <c r="D58" s="342" t="str">
        <f>'MM CALC'!D55</f>
        <v>ASSENTAMENTO DE GUIA (MEIO-FIO) EM TRECHO RETO, CONFECCIONADA EM CONCRETO PRÉ-FABRICADO, DIMENSÕES 100X15X13X30 CM (COMPRIMENTO X BASE INFERIOR X BASE SUPERIOR X ALTURA). AF_01/2024</v>
      </c>
      <c r="E58" s="29" t="str">
        <f>'MM CALC'!E55</f>
        <v>M</v>
      </c>
      <c r="F58" s="68">
        <f>'MM CALC'!F55</f>
        <v>23.810000000000002</v>
      </c>
      <c r="G58" s="30">
        <v>61.81</v>
      </c>
      <c r="H58" s="291">
        <f t="shared" si="13"/>
        <v>80.03</v>
      </c>
      <c r="I58" s="30">
        <f t="shared" si="17"/>
        <v>1905.51</v>
      </c>
      <c r="K58" s="72"/>
      <c r="O58" s="75"/>
    </row>
    <row r="59" spans="1:15" s="31" customFormat="1" ht="40.049999999999997" customHeight="1" x14ac:dyDescent="0.25">
      <c r="A59" s="29" t="str">
        <f>'MM CALC'!A56</f>
        <v>2.5.4</v>
      </c>
      <c r="B59" s="29" t="str">
        <f>'MM CALC'!B56</f>
        <v>SINAPI</v>
      </c>
      <c r="C59" s="29">
        <f>'MM CALC'!C56</f>
        <v>99837</v>
      </c>
      <c r="D59" s="44" t="str">
        <f>'MM CALC'!D56</f>
        <v>GUARDA-CORPO DE AÇO GALVANIZADO DE 1,10M, MONTANTES TUBULARES DE 1.1/4 " ESPAÇADOS DE 1,20M, TRAVESSA SUPERIOR DE 1.1/2", GRADIL FORMADO POR TUBOS HORIZONTAIS DE 1" E VERTICAIS DE 3/4", FIXADO COM CHUMBADOR MECÂNICO. AF_04/2019_PS</v>
      </c>
      <c r="E59" s="29" t="str">
        <f>'MM CALC'!E56</f>
        <v>M</v>
      </c>
      <c r="F59" s="68">
        <f>'MM CALC'!F56</f>
        <v>118.07</v>
      </c>
      <c r="G59" s="30">
        <v>606.16999999999996</v>
      </c>
      <c r="H59" s="291">
        <f t="shared" si="13"/>
        <v>784.87</v>
      </c>
      <c r="I59" s="30">
        <f t="shared" ref="I59:I62" si="18">ROUND((F59*H59),2)</f>
        <v>92669.6</v>
      </c>
      <c r="K59" s="72"/>
      <c r="O59" s="75"/>
    </row>
    <row r="60" spans="1:15" s="31" customFormat="1" ht="30" customHeight="1" x14ac:dyDescent="0.25">
      <c r="A60" s="29" t="str">
        <f>'MM CALC'!A57</f>
        <v>2.5.5</v>
      </c>
      <c r="B60" s="29" t="str">
        <f>'MM CALC'!B57</f>
        <v>COMP.</v>
      </c>
      <c r="C60" s="29" t="str">
        <f>'MM CALC'!C57</f>
        <v>005</v>
      </c>
      <c r="D60" s="342" t="str">
        <f>'MM CALC'!D57</f>
        <v>RESTAURAÇÃO DE GUARDA-CORPO, INCLUI LIXAMENTO, FUNDO COM ZARCÃO, PINTURA COM TINTA ALQUÍDICA E SOLDA DE BARRAS DANIFICADAS.</v>
      </c>
      <c r="E60" s="29" t="str">
        <f>'MM CALC'!E57</f>
        <v>M2</v>
      </c>
      <c r="F60" s="68">
        <f>'MM CALC'!F57</f>
        <v>96</v>
      </c>
      <c r="G60" s="30">
        <f>COMPOSIÇÕES!G37</f>
        <v>410.07119999999998</v>
      </c>
      <c r="H60" s="291">
        <f t="shared" si="13"/>
        <v>530.96</v>
      </c>
      <c r="I60" s="30">
        <f t="shared" si="18"/>
        <v>50972.160000000003</v>
      </c>
      <c r="K60" s="72"/>
      <c r="O60" s="75"/>
    </row>
    <row r="61" spans="1:15" s="31" customFormat="1" ht="30" customHeight="1" x14ac:dyDescent="0.25">
      <c r="A61" s="29" t="str">
        <f>'MM CALC'!A58</f>
        <v>2.5.6</v>
      </c>
      <c r="B61" s="29" t="str">
        <f>'MM CALC'!B58</f>
        <v>COMP.</v>
      </c>
      <c r="C61" s="29" t="str">
        <f>'MM CALC'!C58</f>
        <v>006</v>
      </c>
      <c r="D61" s="342" t="str">
        <f>COMPOSIÇÕES!C45</f>
        <v>ILUMINAÇÃO PONTE, INCLUSO 12 POSTES COM 2 LUMINÁRIAS DE LED PARA ILUMINAÇÃO PUBLICA DE 51W A 67W CADA, ELETRODUTO E REDE (CONFORME DETALHAMENTO)</v>
      </c>
      <c r="E61" s="29" t="str">
        <f>'MM CALC'!E58</f>
        <v>UNID.</v>
      </c>
      <c r="F61" s="68">
        <f>'MM CALC'!F58</f>
        <v>1</v>
      </c>
      <c r="G61" s="30">
        <f>COMPOSIÇÕES!G45</f>
        <v>21583.536</v>
      </c>
      <c r="H61" s="291">
        <f t="shared" si="13"/>
        <v>27946.36</v>
      </c>
      <c r="I61" s="30">
        <f t="shared" si="18"/>
        <v>27946.36</v>
      </c>
      <c r="K61" s="72"/>
      <c r="O61" s="75"/>
    </row>
    <row r="62" spans="1:15" s="31" customFormat="1" ht="40.049999999999997" customHeight="1" x14ac:dyDescent="0.25">
      <c r="A62" s="359" t="str">
        <f>'MM CALC'!A59</f>
        <v>2.5.7</v>
      </c>
      <c r="B62" s="359" t="str">
        <f>'MM CALC'!B59</f>
        <v>COMP.</v>
      </c>
      <c r="C62" s="359" t="str">
        <f>'MM CALC'!C59</f>
        <v>006</v>
      </c>
      <c r="D62" s="361" t="str">
        <f>'MM CALC'!D59</f>
        <v>ILUMINAÇÃO PASSARELA (GUARDA CORPO), INCLUSO 32 POSTES COM DIÂMETRO DE 4", COM 2 LUMINÁRIAS DE LED PARA ILUMINAÇÃO PUBLICA DE 51W A 67W CADA, ELETRODUTO E REDE (CONFORME DETALHAMENTO)</v>
      </c>
      <c r="E62" s="359" t="str">
        <f>'MM CALC'!E59</f>
        <v>UNID.</v>
      </c>
      <c r="F62" s="362">
        <f>'MM CALC'!F59</f>
        <v>1</v>
      </c>
      <c r="G62" s="363">
        <f>COMPOSIÇÕES!G55</f>
        <v>31401.589999999997</v>
      </c>
      <c r="H62" s="364">
        <f t="shared" si="13"/>
        <v>40658.78</v>
      </c>
      <c r="I62" s="363">
        <f t="shared" si="18"/>
        <v>40658.78</v>
      </c>
      <c r="K62" s="72"/>
      <c r="O62" s="75"/>
    </row>
    <row r="63" spans="1:15" s="31" customFormat="1" ht="19.95" customHeight="1" x14ac:dyDescent="0.25">
      <c r="A63" s="29" t="str">
        <f>'MM CALC'!A60</f>
        <v>2.5.8</v>
      </c>
      <c r="B63" s="29" t="str">
        <f>'MM CALC'!B60</f>
        <v>SEINFRA</v>
      </c>
      <c r="C63" s="29" t="str">
        <f>'MM CALC'!C60</f>
        <v xml:space="preserve">ED-50635 </v>
      </c>
      <c r="D63" s="44" t="str">
        <f>'MM CALC'!D60</f>
        <v>PLACA DE ALUMÍNIO FUNDIDO, DIMENSÃO (85X50)CM, PARA INAUGURAÇÃO, INCLUSIVE FIXAÇÃO</v>
      </c>
      <c r="E63" s="29" t="str">
        <f>'MM CALC'!E60</f>
        <v>UNID.</v>
      </c>
      <c r="F63" s="68">
        <f>'MM CALC'!F60</f>
        <v>1</v>
      </c>
      <c r="G63" s="30">
        <v>1713.62</v>
      </c>
      <c r="H63" s="364">
        <f t="shared" ref="H63" si="19">ROUND((G63*(1+$H$9)),2)</f>
        <v>2218.8000000000002</v>
      </c>
      <c r="I63" s="363">
        <f t="shared" ref="I63" si="20">ROUND((F63*H63),2)</f>
        <v>2218.8000000000002</v>
      </c>
      <c r="K63" s="72"/>
      <c r="O63" s="75"/>
    </row>
    <row r="64" spans="1:15" s="304" customFormat="1" ht="19.95" customHeight="1" x14ac:dyDescent="0.25">
      <c r="A64" s="368">
        <f>'MM CALC'!A61</f>
        <v>3</v>
      </c>
      <c r="B64" s="433" t="str">
        <f>'MM CALC'!B61</f>
        <v xml:space="preserve">PONTE DA RUA MIZAEL MARCELINO DE ALMEIDA </v>
      </c>
      <c r="C64" s="433"/>
      <c r="D64" s="433"/>
      <c r="E64" s="433"/>
      <c r="F64" s="433"/>
      <c r="G64" s="433"/>
      <c r="H64" s="434"/>
      <c r="I64" s="349">
        <f>I65+I72+I76+I84+I92</f>
        <v>184856.77000000002</v>
      </c>
      <c r="K64" s="305">
        <v>142175.74</v>
      </c>
      <c r="O64" s="306"/>
    </row>
    <row r="65" spans="1:15" s="354" customFormat="1" ht="19.95" customHeight="1" x14ac:dyDescent="0.25">
      <c r="A65" s="360" t="str">
        <f>'MM CALC'!A62</f>
        <v>3.1</v>
      </c>
      <c r="B65" s="360"/>
      <c r="C65" s="360"/>
      <c r="D65" s="365" t="str">
        <f>'MM CALC'!D62</f>
        <v xml:space="preserve">SERVIÇOS PRELIMINARES </v>
      </c>
      <c r="E65" s="360"/>
      <c r="F65" s="366"/>
      <c r="G65" s="367"/>
      <c r="H65" s="367"/>
      <c r="I65" s="367">
        <f>SUM(I66:I71)</f>
        <v>28646.18</v>
      </c>
      <c r="K65" s="355"/>
      <c r="O65" s="356"/>
    </row>
    <row r="66" spans="1:15" s="31" customFormat="1" ht="30" customHeight="1" x14ac:dyDescent="0.25">
      <c r="A66" s="29" t="str">
        <f>'MM CALC'!A63</f>
        <v>3.1.1</v>
      </c>
      <c r="B66" s="29" t="str">
        <f>'MM CALC'!B63</f>
        <v>SEINFRA</v>
      </c>
      <c r="C66" s="29" t="str">
        <f>'MM CALC'!C63</f>
        <v>ED-50150</v>
      </c>
      <c r="D66" s="342" t="str">
        <f>'MM CALC'!D63</f>
        <v>LIGAÇÃO DE ÁGUA PROVISÓRIA PARA CANTEIRO, INCLUSIVE HIDRÔMETRO E CAVALETE PARA MEDIÇÃO DE ÁGUA - ENTRADA PRINCIPAL, EM AÇO GALVANIZADO DN 20MM (1/2") - PADRÃO CONCESSIONÁRIA</v>
      </c>
      <c r="E66" s="29" t="str">
        <f>'MM CALC'!E63</f>
        <v>UNID.</v>
      </c>
      <c r="F66" s="68">
        <f>'MM CALC'!F63</f>
        <v>1</v>
      </c>
      <c r="G66" s="30">
        <f>G20</f>
        <v>553.36</v>
      </c>
      <c r="H66" s="30">
        <f>H20</f>
        <v>716.49</v>
      </c>
      <c r="I66" s="30">
        <f t="shared" ref="I66:I83" si="21">ROUND((F66*H66),2)</f>
        <v>716.49</v>
      </c>
      <c r="K66" s="72"/>
      <c r="O66" s="75"/>
    </row>
    <row r="67" spans="1:15" s="31" customFormat="1" ht="19.95" customHeight="1" x14ac:dyDescent="0.25">
      <c r="A67" s="29" t="str">
        <f>'MM CALC'!A64</f>
        <v>3.1.2</v>
      </c>
      <c r="B67" s="29" t="str">
        <f>'MM CALC'!B64</f>
        <v>COMP.</v>
      </c>
      <c r="C67" s="29" t="str">
        <f>'MM CALC'!C64</f>
        <v>001</v>
      </c>
      <c r="D67" s="44" t="str">
        <f>'MM CALC'!D64</f>
        <v>ENTRADA DE ENERGIA PARA PONTE</v>
      </c>
      <c r="E67" s="29" t="str">
        <f>'MM CALC'!E64</f>
        <v>UNID.</v>
      </c>
      <c r="F67" s="68">
        <f>'MM CALC'!F64</f>
        <v>1</v>
      </c>
      <c r="G67" s="30">
        <f>COMPOSIÇÕES!G8</f>
        <v>11311.460000000001</v>
      </c>
      <c r="H67" s="291">
        <f t="shared" ref="H67:H83" si="22">ROUND((G67*(1+$H$9)),2)</f>
        <v>14646.08</v>
      </c>
      <c r="I67" s="30">
        <f t="shared" si="21"/>
        <v>14646.08</v>
      </c>
      <c r="K67" s="72"/>
      <c r="O67" s="75"/>
    </row>
    <row r="68" spans="1:15" s="31" customFormat="1" ht="40.049999999999997" customHeight="1" x14ac:dyDescent="0.25">
      <c r="A68" s="29" t="str">
        <f>'MM CALC'!A65</f>
        <v>3.1.3</v>
      </c>
      <c r="B68" s="29" t="str">
        <f>'MM CALC'!B65</f>
        <v>SEINFRA</v>
      </c>
      <c r="C68" s="29" t="str">
        <f>'MM CALC'!C65</f>
        <v xml:space="preserve">ED-50128 </v>
      </c>
      <c r="D68" s="44" t="str">
        <f>'MM CALC'!D65</f>
        <v>BARRACÃO DE OBRA PARA DEPÓSITO E FERRAMENTARIA TIPO-I, ÁREA INTERNA 14,52M2, EM CHAPA DE COMPENSADO RESINADO, INCLUSIVE MOBILIÁRIO (OBRA DE PEQUENO PORTE, EFETIVO ATÉ 30 HOMENS), PADRÃO DER-MG</v>
      </c>
      <c r="E68" s="29" t="str">
        <f>'MM CALC'!E65</f>
        <v>UNID.</v>
      </c>
      <c r="F68" s="68">
        <f>'MM CALC'!F65</f>
        <v>1</v>
      </c>
      <c r="G68" s="30">
        <f>G22</f>
        <v>8425.52</v>
      </c>
      <c r="H68" s="30">
        <f>H22</f>
        <v>10909.36</v>
      </c>
      <c r="I68" s="30">
        <f t="shared" si="21"/>
        <v>10909.36</v>
      </c>
      <c r="K68" s="72"/>
      <c r="O68" s="75"/>
    </row>
    <row r="69" spans="1:15" s="31" customFormat="1" ht="30" customHeight="1" x14ac:dyDescent="0.25">
      <c r="A69" s="29" t="str">
        <f>'MM CALC'!A66</f>
        <v>3.1.4</v>
      </c>
      <c r="B69" s="29" t="str">
        <f>'MM CALC'!B66</f>
        <v>SEINFRA</v>
      </c>
      <c r="C69" s="29" t="str">
        <f>'MM CALC'!C66</f>
        <v xml:space="preserve">ED-50703  </v>
      </c>
      <c r="D69" s="342" t="str">
        <f>'MM CALC'!D66</f>
        <v>LIMPEZA DE TERRENO, INCLUSIVE CAPINA, RASTELAMENTO COM AFASTAMENTO ATÉ VINTE (20) METROS E QUEIMA CONTROLADA</v>
      </c>
      <c r="E69" s="29" t="str">
        <f>'MM CALC'!E66</f>
        <v>M2</v>
      </c>
      <c r="F69" s="68">
        <f>'MM CALC'!F66</f>
        <v>2.8800000000000003</v>
      </c>
      <c r="G69" s="30">
        <f>G23</f>
        <v>2.48</v>
      </c>
      <c r="H69" s="30">
        <f>H23</f>
        <v>3.21</v>
      </c>
      <c r="I69" s="30">
        <f t="shared" si="21"/>
        <v>9.24</v>
      </c>
      <c r="K69" s="72"/>
      <c r="O69" s="75"/>
    </row>
    <row r="70" spans="1:15" s="31" customFormat="1" ht="40.049999999999997" customHeight="1" x14ac:dyDescent="0.25">
      <c r="A70" s="29" t="str">
        <f>'MM CALC'!A67</f>
        <v>3.1.5</v>
      </c>
      <c r="B70" s="29" t="str">
        <f>'MM CALC'!B67</f>
        <v>SEINFRA</v>
      </c>
      <c r="C70" s="29" t="str">
        <f>'MM CALC'!C67</f>
        <v xml:space="preserve">ED-29823 </v>
      </c>
      <c r="D70" s="44" t="str">
        <f>'MM CALC'!D67</f>
        <v>TAPUME FIXO DE PROTEÇÃO PARA FECHAMENTO DE OBRA EM TELHA METÁLICA GALVANIZADA, TIPO TRAPEZOIDAL, ESP. 0,5MM, COM MÓDULO NA DIMENSÃO DE (300X220)CM, COM REAPROVEITAMENTO, EXCLUSIVE PINTURA ESMALTE, INCLUSIVE PONTALETE E FIXAÇÃO</v>
      </c>
      <c r="E70" s="29" t="str">
        <f>'MM CALC'!E67</f>
        <v>M2</v>
      </c>
      <c r="F70" s="68">
        <f>'MM CALC'!F67</f>
        <v>22</v>
      </c>
      <c r="G70" s="30">
        <f>G24</f>
        <v>61.38</v>
      </c>
      <c r="H70" s="291">
        <f t="shared" si="22"/>
        <v>79.47</v>
      </c>
      <c r="I70" s="30">
        <f t="shared" si="21"/>
        <v>1748.34</v>
      </c>
      <c r="K70" s="72"/>
      <c r="O70" s="75"/>
    </row>
    <row r="71" spans="1:15" s="31" customFormat="1" ht="40.049999999999997" customHeight="1" x14ac:dyDescent="0.25">
      <c r="A71" s="29" t="str">
        <f>'MM CALC'!A68</f>
        <v>3.1.6</v>
      </c>
      <c r="B71" s="29" t="str">
        <f>'MM CALC'!B68</f>
        <v>SEINFRA</v>
      </c>
      <c r="C71" s="29" t="str">
        <f>'MM CALC'!C68</f>
        <v xml:space="preserve">ED-14457 </v>
      </c>
      <c r="D71" s="44" t="str">
        <f>'MM CALC'!D68</f>
        <v>PORTÃO PARA TAPUME FIXO DE PROTEÇÃO COM FECHAMENTO DE OBRA EM TELHA METÁLICA GALVANIZADA, TIPO TRAPEZOIDAL ESP. 0,5MM, COM MÓDULO NA DIMENSÃO DE (300X220)CM, EXCLUSIVE PINTURA ESMALTE</v>
      </c>
      <c r="E71" s="29" t="str">
        <f>'MM CALC'!E68</f>
        <v>M2</v>
      </c>
      <c r="F71" s="68">
        <f>'MM CALC'!F68</f>
        <v>3.3000000000000003</v>
      </c>
      <c r="G71" s="30">
        <f>G25</f>
        <v>144.32</v>
      </c>
      <c r="H71" s="291">
        <f t="shared" si="22"/>
        <v>186.87</v>
      </c>
      <c r="I71" s="30">
        <f t="shared" si="21"/>
        <v>616.66999999999996</v>
      </c>
      <c r="K71" s="72"/>
      <c r="O71" s="75"/>
    </row>
    <row r="72" spans="1:15" s="354" customFormat="1" ht="19.95" customHeight="1" x14ac:dyDescent="0.25">
      <c r="A72" s="350" t="str">
        <f>'MM CALC'!A69</f>
        <v>3.2</v>
      </c>
      <c r="B72" s="350"/>
      <c r="C72" s="350"/>
      <c r="D72" s="351" t="str">
        <f>'MM CALC'!D69</f>
        <v>REMOÇÕES E DEMOLIÇÕES</v>
      </c>
      <c r="E72" s="350"/>
      <c r="F72" s="352"/>
      <c r="G72" s="353"/>
      <c r="H72" s="353"/>
      <c r="I72" s="353">
        <f>SUM(I73:I75)</f>
        <v>10910.039999999999</v>
      </c>
      <c r="K72" s="355"/>
      <c r="O72" s="356"/>
    </row>
    <row r="73" spans="1:15" s="31" customFormat="1" ht="30" customHeight="1" x14ac:dyDescent="0.25">
      <c r="A73" s="29" t="str">
        <f>'MM CALC'!A70</f>
        <v>3.2.1</v>
      </c>
      <c r="B73" s="29" t="str">
        <f>'MM CALC'!B70</f>
        <v>SEINFRA</v>
      </c>
      <c r="C73" s="29" t="str">
        <f>'MM CALC'!C70</f>
        <v xml:space="preserve">ED-48443 </v>
      </c>
      <c r="D73" s="44" t="str">
        <f>'MM CALC'!D70</f>
        <v>DEMOLIÇÃO MECANIZADA DE CONCRETO ARMADO, COM EQUIPAMENTO ELÉTRICO, INCLUSIVE AFASTAMENTO E EMPILHAMENTO, EXCLUSIVE TRANSPORTE E RETIRADA DO MATERIAL DEMOLIDO</v>
      </c>
      <c r="E73" s="29" t="str">
        <f>'MM CALC'!E70</f>
        <v>M3</v>
      </c>
      <c r="F73" s="68">
        <f>'MM CALC'!F70</f>
        <v>20.02</v>
      </c>
      <c r="G73" s="30">
        <f>G27</f>
        <v>255.93</v>
      </c>
      <c r="H73" s="30">
        <f>H27</f>
        <v>331.38</v>
      </c>
      <c r="I73" s="30">
        <f t="shared" si="21"/>
        <v>6634.23</v>
      </c>
      <c r="K73" s="72"/>
      <c r="O73" s="75"/>
    </row>
    <row r="74" spans="1:15" s="31" customFormat="1" ht="19.95" customHeight="1" x14ac:dyDescent="0.25">
      <c r="A74" s="29" t="str">
        <f>'MM CALC'!A71</f>
        <v>3.2.2</v>
      </c>
      <c r="B74" s="29" t="str">
        <f>'MM CALC'!B71</f>
        <v>SEINFRA</v>
      </c>
      <c r="C74" s="29" t="str">
        <f>'MM CALC'!C71</f>
        <v xml:space="preserve">ED-51125 </v>
      </c>
      <c r="D74" s="44" t="str">
        <f>'MM CALC'!D71</f>
        <v>TRANSPORTE DE MATERIAL DEMOLIDO EM CAÇAMBA, EXCLUSIVE CARGA MANUAL OU MECÂNICA</v>
      </c>
      <c r="E74" s="29" t="str">
        <f>'MM CALC'!E71</f>
        <v>M3</v>
      </c>
      <c r="F74" s="68">
        <f>'MM CALC'!F71</f>
        <v>26.026</v>
      </c>
      <c r="G74" s="30">
        <f>G29</f>
        <v>85</v>
      </c>
      <c r="H74" s="291">
        <f t="shared" si="22"/>
        <v>110.06</v>
      </c>
      <c r="I74" s="30">
        <f t="shared" si="21"/>
        <v>2864.42</v>
      </c>
      <c r="K74" s="72"/>
      <c r="O74" s="75"/>
    </row>
    <row r="75" spans="1:15" s="31" customFormat="1" ht="19.95" customHeight="1" x14ac:dyDescent="0.25">
      <c r="A75" s="29" t="str">
        <f>'MM CALC'!A72</f>
        <v>3.2.3</v>
      </c>
      <c r="B75" s="29" t="str">
        <f>'MM CALC'!B72</f>
        <v>SEINFRA</v>
      </c>
      <c r="C75" s="29" t="str">
        <f>'MM CALC'!C72</f>
        <v xml:space="preserve">ED-51131 </v>
      </c>
      <c r="D75" s="44" t="str">
        <f>'MM CALC'!D72</f>
        <v>CARGA MANUAL DE MATERIAL DE QUALQUER NATUREZA SOBRE CAMINHÃO, EXCLUSIVE TRANSPORTE</v>
      </c>
      <c r="E75" s="29" t="str">
        <f>'MM CALC'!E72</f>
        <v>M3</v>
      </c>
      <c r="F75" s="68">
        <f>F74</f>
        <v>26.026</v>
      </c>
      <c r="G75" s="30">
        <f>G30</f>
        <v>41.88</v>
      </c>
      <c r="H75" s="291">
        <f t="shared" si="22"/>
        <v>54.23</v>
      </c>
      <c r="I75" s="30">
        <f t="shared" si="21"/>
        <v>1411.39</v>
      </c>
      <c r="K75" s="72"/>
      <c r="O75" s="75"/>
    </row>
    <row r="76" spans="1:15" s="354" customFormat="1" ht="19.95" customHeight="1" x14ac:dyDescent="0.25">
      <c r="A76" s="350" t="str">
        <f>'MM CALC'!A73</f>
        <v>3.3</v>
      </c>
      <c r="B76" s="350"/>
      <c r="C76" s="350"/>
      <c r="D76" s="351" t="str">
        <f>'MM CALC'!D73</f>
        <v>INFRAESTRUTURA E MESOESTRUTURA</v>
      </c>
      <c r="E76" s="350"/>
      <c r="F76" s="352"/>
      <c r="G76" s="353"/>
      <c r="H76" s="353"/>
      <c r="I76" s="353">
        <f>SUM(I77:I83)</f>
        <v>10594.63</v>
      </c>
      <c r="K76" s="355"/>
      <c r="O76" s="356"/>
    </row>
    <row r="77" spans="1:15" s="31" customFormat="1" ht="19.95" customHeight="1" x14ac:dyDescent="0.25">
      <c r="A77" s="271" t="str">
        <f>'MM CALC'!A74</f>
        <v>3.3.1</v>
      </c>
      <c r="B77" s="29" t="str">
        <f>'MM CALC'!B74</f>
        <v>SEINFRA</v>
      </c>
      <c r="C77" s="29" t="str">
        <f>'MM CALC'!C74</f>
        <v xml:space="preserve">ED-50422 </v>
      </c>
      <c r="D77" s="44" t="str">
        <f>'MM CALC'!D74</f>
        <v>ENSECADEIRA INCLUSIVE RETIRADA DO MADEIRAMENTO , PAREDE SIMPLES</v>
      </c>
      <c r="E77" s="29" t="str">
        <f>'MM CALC'!E74</f>
        <v>M2</v>
      </c>
      <c r="F77" s="68">
        <f>'MM CALC'!F74</f>
        <v>15</v>
      </c>
      <c r="G77" s="30">
        <f>G34</f>
        <v>204.75</v>
      </c>
      <c r="H77" s="30">
        <f>H34</f>
        <v>265.11</v>
      </c>
      <c r="I77" s="30">
        <f>F77*H77</f>
        <v>3976.65</v>
      </c>
      <c r="K77" s="72"/>
      <c r="O77" s="75"/>
    </row>
    <row r="78" spans="1:15" s="31" customFormat="1" ht="19.95" customHeight="1" x14ac:dyDescent="0.25">
      <c r="A78" s="271" t="str">
        <f>'MM CALC'!A75</f>
        <v>3.3.2</v>
      </c>
      <c r="B78" s="29" t="str">
        <f>'MM CALC'!B75</f>
        <v>SICRO</v>
      </c>
      <c r="C78" s="29">
        <f>'MM CALC'!C75</f>
        <v>2003864</v>
      </c>
      <c r="D78" s="44" t="str">
        <f>'MM CALC'!D75</f>
        <v>ESGOTAMENTO DE ÁGUA COM BOMBA SUBMERSA</v>
      </c>
      <c r="E78" s="29" t="str">
        <f>'MM CALC'!E75</f>
        <v>H</v>
      </c>
      <c r="F78" s="68">
        <f>'MM CALC'!F75</f>
        <v>40</v>
      </c>
      <c r="G78" s="30">
        <f>G35</f>
        <v>13.56</v>
      </c>
      <c r="H78" s="30">
        <f>H35</f>
        <v>17.559999999999999</v>
      </c>
      <c r="I78" s="30">
        <f>F78*H78</f>
        <v>702.4</v>
      </c>
      <c r="K78" s="72"/>
      <c r="O78" s="75"/>
    </row>
    <row r="79" spans="1:15" s="292" customFormat="1" ht="30" customHeight="1" x14ac:dyDescent="0.25">
      <c r="A79" s="271" t="str">
        <f>'MM CALC'!A76</f>
        <v>3.3.3</v>
      </c>
      <c r="B79" s="271" t="str">
        <f>'MM CALC'!B76</f>
        <v>SINAPI</v>
      </c>
      <c r="C79" s="271">
        <f>'MM CALC'!C76</f>
        <v>96523</v>
      </c>
      <c r="D79" s="160" t="str">
        <f>'MM CALC'!D76</f>
        <v>ESCAVAÇÃO MANUAL PARA BLOCO DE COROAMENTO OU SAPATA (INCLUINDO ESCAVAÇÃO PARA COLOCAÇÃO DE FÔRMAS). AF_01/2024</v>
      </c>
      <c r="E79" s="271" t="str">
        <f>'MM CALC'!E76</f>
        <v>M³</v>
      </c>
      <c r="F79" s="375">
        <f>'MM CALC'!F76</f>
        <v>0.88</v>
      </c>
      <c r="G79" s="291">
        <f>G36</f>
        <v>83.02</v>
      </c>
      <c r="H79" s="291">
        <f t="shared" si="22"/>
        <v>107.49</v>
      </c>
      <c r="I79" s="291">
        <f t="shared" si="21"/>
        <v>94.59</v>
      </c>
      <c r="K79" s="293"/>
      <c r="O79" s="294"/>
    </row>
    <row r="80" spans="1:15" s="292" customFormat="1" ht="30" customHeight="1" x14ac:dyDescent="0.25">
      <c r="A80" s="271" t="str">
        <f>'MM CALC'!A77</f>
        <v>3.3.4</v>
      </c>
      <c r="B80" s="271" t="str">
        <f>'MM CALC'!B77</f>
        <v>SINAPI</v>
      </c>
      <c r="C80" s="271">
        <f>'MM CALC'!C77</f>
        <v>101175</v>
      </c>
      <c r="D80" s="160" t="str">
        <f>'MM CALC'!D77</f>
        <v>ESTACA BROCA DE CONCRETO, DIÂMETRO DE 30CM, ESCAVAÇÃO MANUAL COM TRADO CONCHA, COM ARMADURA DE ARRANQUE. AF_05/2020</v>
      </c>
      <c r="E80" s="271" t="str">
        <f>'MM CALC'!E77</f>
        <v>M</v>
      </c>
      <c r="F80" s="375">
        <f>'MM CALC'!F77</f>
        <v>18</v>
      </c>
      <c r="G80" s="291">
        <f>G37</f>
        <v>111.55</v>
      </c>
      <c r="H80" s="291">
        <f t="shared" si="22"/>
        <v>144.43</v>
      </c>
      <c r="I80" s="291">
        <f t="shared" si="21"/>
        <v>2599.7399999999998</v>
      </c>
      <c r="K80" s="293"/>
      <c r="O80" s="294"/>
    </row>
    <row r="81" spans="1:15" s="292" customFormat="1" ht="30" customHeight="1" x14ac:dyDescent="0.25">
      <c r="A81" s="271" t="str">
        <f>'MM CALC'!A78</f>
        <v>3.3.5</v>
      </c>
      <c r="B81" s="271" t="str">
        <f>'MM CALC'!B78</f>
        <v>SEINFRA</v>
      </c>
      <c r="C81" s="271" t="str">
        <f>'MM CALC'!C78</f>
        <v xml:space="preserve">ED-49810 </v>
      </c>
      <c r="D81" s="160" t="str">
        <f>'MM CALC'!D78</f>
        <v>FÔRMA E DESFORMA PARA VIGA-CINTA/BLOCO COM TÁBUA E SARRAFO, REAPROVEITAMENTO (3X) (FUNDAÇÃO)</v>
      </c>
      <c r="E81" s="271" t="str">
        <f>'MM CALC'!E78</f>
        <v>M²</v>
      </c>
      <c r="F81" s="375">
        <f>'MM CALC'!F78</f>
        <v>6.4</v>
      </c>
      <c r="G81" s="291">
        <f>G39</f>
        <v>70.069999999999993</v>
      </c>
      <c r="H81" s="291">
        <f t="shared" si="22"/>
        <v>90.73</v>
      </c>
      <c r="I81" s="291">
        <f t="shared" si="21"/>
        <v>580.66999999999996</v>
      </c>
      <c r="K81" s="293"/>
      <c r="O81" s="294"/>
    </row>
    <row r="82" spans="1:15" s="292" customFormat="1" ht="30" customHeight="1" x14ac:dyDescent="0.25">
      <c r="A82" s="271" t="str">
        <f>'MM CALC'!A79</f>
        <v>3.3.6</v>
      </c>
      <c r="B82" s="271" t="str">
        <f>'MM CALC'!B79</f>
        <v>SINAPI</v>
      </c>
      <c r="C82" s="271">
        <f>'MM CALC'!C79</f>
        <v>96557</v>
      </c>
      <c r="D82" s="160" t="str">
        <f>'MM CALC'!D79</f>
        <v>CONCRETAGEM DE BLOCO DE COROAMENTO OU VIGA BALDRAME, FCK 30 MPA, COM USO DE BOMBA - LANÇAMENTO, ADENSAMENTO E ACABAMENTO. AF_01/2024</v>
      </c>
      <c r="E82" s="271" t="str">
        <f>'MM CALC'!E79</f>
        <v>M³</v>
      </c>
      <c r="F82" s="375">
        <f>'MM CALC'!F79</f>
        <v>1.1519999999999999</v>
      </c>
      <c r="G82" s="291">
        <f>G40</f>
        <v>822.94</v>
      </c>
      <c r="H82" s="291">
        <f t="shared" si="22"/>
        <v>1065.54</v>
      </c>
      <c r="I82" s="291">
        <f t="shared" si="21"/>
        <v>1227.5</v>
      </c>
      <c r="K82" s="293"/>
      <c r="O82" s="294"/>
    </row>
    <row r="83" spans="1:15" s="31" customFormat="1" ht="19.95" customHeight="1" x14ac:dyDescent="0.25">
      <c r="A83" s="29" t="str">
        <f>'MM CALC'!A80</f>
        <v>3.3.7</v>
      </c>
      <c r="B83" s="29" t="str">
        <f>'MM CALC'!B80</f>
        <v>SEINFRA</v>
      </c>
      <c r="C83" s="29" t="str">
        <f>'MM CALC'!C80</f>
        <v xml:space="preserve">ED-48295 </v>
      </c>
      <c r="D83" s="44" t="str">
        <f>'MM CALC'!D80</f>
        <v>CORTE, DOBRA E MONTAGEM DE AÇO CA-50, DIÂMETRO (6,3MM A 12,5MM), INCLUSIVE ESPAÇADOR</v>
      </c>
      <c r="E83" s="29" t="str">
        <f>'MM CALC'!E80</f>
        <v>KG</v>
      </c>
      <c r="F83" s="68">
        <f>'MM CALC'!F80</f>
        <v>80.38</v>
      </c>
      <c r="G83" s="30">
        <f>G46</f>
        <v>13.58</v>
      </c>
      <c r="H83" s="291">
        <f t="shared" si="22"/>
        <v>17.579999999999998</v>
      </c>
      <c r="I83" s="30">
        <f t="shared" si="21"/>
        <v>1413.08</v>
      </c>
      <c r="K83" s="72"/>
      <c r="O83" s="75"/>
    </row>
    <row r="84" spans="1:15" s="354" customFormat="1" ht="19.95" customHeight="1" x14ac:dyDescent="0.25">
      <c r="A84" s="350" t="str">
        <f>'MM CALC'!A81</f>
        <v>3.4</v>
      </c>
      <c r="B84" s="350"/>
      <c r="C84" s="350"/>
      <c r="D84" s="351" t="str">
        <f>'MM CALC'!D81</f>
        <v>SUPERESTRUTURA</v>
      </c>
      <c r="E84" s="350"/>
      <c r="F84" s="352"/>
      <c r="G84" s="353"/>
      <c r="H84" s="353"/>
      <c r="I84" s="353">
        <f>SUM(I85:I91)</f>
        <v>92959.180000000008</v>
      </c>
      <c r="K84" s="355"/>
      <c r="O84" s="356"/>
    </row>
    <row r="85" spans="1:15" s="292" customFormat="1" ht="30" customHeight="1" x14ac:dyDescent="0.25">
      <c r="A85" s="271" t="str">
        <f>'MM CALC'!A82</f>
        <v>3.4.1</v>
      </c>
      <c r="B85" s="271" t="str">
        <f>'MM CALC'!B82</f>
        <v>COMP.</v>
      </c>
      <c r="C85" s="271" t="str">
        <f>'MM CALC'!C82</f>
        <v>008</v>
      </c>
      <c r="D85" s="160" t="str">
        <f>'MM CALC'!D82</f>
        <v>MONTAGEM DE ESTRUTURA EM AÇO ASTM-A36/A572 GRAU 50, SEM PINTURA (VIGAS E CHAPA DE AÇO FORNECIDAS PELA PREFEITURA MUNICIPAL)</v>
      </c>
      <c r="E85" s="271" t="str">
        <f>'MM CALC'!E82</f>
        <v>VB</v>
      </c>
      <c r="F85" s="375">
        <f>'MM CALC'!F82</f>
        <v>1</v>
      </c>
      <c r="G85" s="291">
        <f>COMPOSIÇÕES!G65</f>
        <v>10218.1378866</v>
      </c>
      <c r="H85" s="291">
        <f t="shared" ref="H85:H95" si="23">ROUND((G85*(1+$H$9)),2)</f>
        <v>13230.44</v>
      </c>
      <c r="I85" s="291">
        <f t="shared" ref="I85" si="24">ROUND((F85*H85),2)</f>
        <v>13230.44</v>
      </c>
      <c r="K85" s="293"/>
      <c r="O85" s="294"/>
    </row>
    <row r="86" spans="1:15" s="31" customFormat="1" ht="19.95" customHeight="1" x14ac:dyDescent="0.25">
      <c r="A86" s="29" t="str">
        <f>'MM CALC'!A83</f>
        <v>3.4.2</v>
      </c>
      <c r="B86" s="29" t="str">
        <f>'MM CALC'!B83</f>
        <v>COMP.</v>
      </c>
      <c r="C86" s="29" t="str">
        <f>'MM CALC'!C83</f>
        <v>009</v>
      </c>
      <c r="D86" s="309" t="str">
        <f>'MM CALC'!D83</f>
        <v xml:space="preserve">LAJE MACIÇA COM FORMA STEEL DECK, FORNECIMENTO E EXECUÇÃO, INCLUSO CONCRETAGEM, FORMAS (STEEL DECK) E ARMAÇÃO </v>
      </c>
      <c r="E86" s="29" t="str">
        <f>'MM CALC'!E83</f>
        <v>M2</v>
      </c>
      <c r="F86" s="68">
        <f>'MM CALC'!F83</f>
        <v>56.64</v>
      </c>
      <c r="G86" s="30">
        <f>COMPOSIÇÕES!G71</f>
        <v>505.99576990466107</v>
      </c>
      <c r="H86" s="291">
        <f t="shared" si="23"/>
        <v>655.16</v>
      </c>
      <c r="I86" s="30">
        <f t="shared" ref="I86:I91" si="25">ROUND((F86*H86),2)</f>
        <v>37108.26</v>
      </c>
      <c r="K86" s="72"/>
      <c r="O86" s="75"/>
    </row>
    <row r="87" spans="1:15" s="292" customFormat="1" ht="30" customHeight="1" x14ac:dyDescent="0.25">
      <c r="A87" s="271" t="str">
        <f>'MM CALC'!A84</f>
        <v>3.4.3</v>
      </c>
      <c r="B87" s="271" t="str">
        <f>'MM CALC'!B84</f>
        <v>SEINFRA</v>
      </c>
      <c r="C87" s="271" t="str">
        <f>'MM CALC'!C84</f>
        <v xml:space="preserve">ED-29091 </v>
      </c>
      <c r="D87" s="160" t="str">
        <f>'MM CALC'!D84</f>
        <v>TRANSPORTE DE VIGA OU TABULEIRO PARA PONTE (CUSTO FIXO), INCLUSIVE CARGA, EXCLUSIVE FORNECIMENTO , DESCARGA E TRANSPORTE EM QUILÔMETRO RODADO (CUSTO VARIÁVEL)</v>
      </c>
      <c r="E87" s="271" t="str">
        <f>'MM CALC'!E84</f>
        <v>UNID.</v>
      </c>
      <c r="F87" s="68">
        <f>'MM CALC'!F84</f>
        <v>3</v>
      </c>
      <c r="G87" s="291">
        <v>2335.17</v>
      </c>
      <c r="H87" s="291">
        <f t="shared" ref="H87" si="26">ROUND((G87*(1+$H$9)),2)</f>
        <v>3023.58</v>
      </c>
      <c r="I87" s="30">
        <f t="shared" ref="I87:I89" si="27">ROUND((F87*H87),2)</f>
        <v>9070.74</v>
      </c>
      <c r="K87" s="293"/>
      <c r="O87" s="294"/>
    </row>
    <row r="88" spans="1:15" s="31" customFormat="1" ht="40.049999999999997" customHeight="1" x14ac:dyDescent="0.25">
      <c r="A88" s="29" t="str">
        <f>'MM CALC'!A85</f>
        <v>3.4.4</v>
      </c>
      <c r="B88" s="29" t="str">
        <f>'MM CALC'!B85</f>
        <v>SEINFRA</v>
      </c>
      <c r="C88" s="29" t="str">
        <f>'MM CALC'!C85</f>
        <v xml:space="preserve">ED-29090 </v>
      </c>
      <c r="D88" s="342" t="str">
        <f>'MM CALC'!D85</f>
        <v>DESCARGA DE CAMINHÃO, PARA ELEMENTOS DE VIGA OU TABULEIRO PARA PONTE, INCLUSIVE DESCARGA DE PERFIS LONGARINAS, TRANSVERSINAS, CHAPAS E ACESSÓRIOS, EXCLUSIVE FORNECIMENTO E TRANSPORTE</v>
      </c>
      <c r="E88" s="29" t="str">
        <f>'MM CALC'!E85</f>
        <v>UNID.</v>
      </c>
      <c r="F88" s="68">
        <f>'MM CALC'!F85</f>
        <v>3</v>
      </c>
      <c r="G88" s="30">
        <v>3687.02</v>
      </c>
      <c r="H88" s="291">
        <f t="shared" ref="H88" si="28">ROUND((G88*(1+$H$9)),2)</f>
        <v>4773.95</v>
      </c>
      <c r="I88" s="30">
        <f t="shared" ref="I88" si="29">ROUND((F88*H88),2)</f>
        <v>14321.85</v>
      </c>
      <c r="K88" s="72"/>
      <c r="O88" s="75"/>
    </row>
    <row r="89" spans="1:15" s="31" customFormat="1" ht="40.049999999999997" customHeight="1" x14ac:dyDescent="0.25">
      <c r="A89" s="29" t="str">
        <f>'MM CALC'!A86</f>
        <v>3.4.5</v>
      </c>
      <c r="B89" s="29" t="str">
        <f>'MM CALC'!B86</f>
        <v>SINAPI</v>
      </c>
      <c r="C89" s="29">
        <f>'MM CALC'!C86</f>
        <v>5928</v>
      </c>
      <c r="D89" s="342" t="str">
        <f>'MM CALC'!D86</f>
        <v>GUINDAUTO HIDRÁULICO, CAPACIDADE MÁXIMA DE CARGA 6200 KG, MOMENTO MÁXIMO DE CARGA 11,7 TM, ALCANCE MÁXIMO HORIZONTAL 9,70 M, INCLUSIVE CAMINHÃO TOCO PBT 16.000 KG, POTÊNCIA DE 189 CV - CHP DIURNO. AF_06/2014</v>
      </c>
      <c r="E89" s="29" t="str">
        <f>'MM CALC'!E86</f>
        <v>CHP</v>
      </c>
      <c r="F89" s="68">
        <f>'MM CALC'!F86</f>
        <v>16</v>
      </c>
      <c r="G89" s="30">
        <f>G32</f>
        <v>272.79000000000002</v>
      </c>
      <c r="H89" s="30">
        <f>H32</f>
        <v>353.21</v>
      </c>
      <c r="I89" s="30">
        <f t="shared" si="27"/>
        <v>5651.36</v>
      </c>
      <c r="K89" s="72"/>
      <c r="O89" s="75"/>
    </row>
    <row r="90" spans="1:15" s="31" customFormat="1" ht="30" customHeight="1" x14ac:dyDescent="0.25">
      <c r="A90" s="29" t="str">
        <f>'MM CALC'!A87</f>
        <v>3.4.6</v>
      </c>
      <c r="B90" s="29" t="str">
        <f>'MM CALC'!B87</f>
        <v>SINAPI</v>
      </c>
      <c r="C90" s="29">
        <f>'MM CALC'!C87</f>
        <v>89272</v>
      </c>
      <c r="D90" s="342" t="str">
        <f>'MM CALC'!D87</f>
        <v>GUINDASTE HIDRÁULICO AUTOPROPELIDO, COM LANÇA TELESCÓPICA 28,80 M, CAPACIDADE MÁXIMA 30 T, POTÊNCIA 97 KW, TRAÇÃO 4 X 4 - CHP DIURNO. AF_11/2014</v>
      </c>
      <c r="E90" s="29" t="str">
        <f>'MM CALC'!E87</f>
        <v>CHP</v>
      </c>
      <c r="F90" s="68">
        <f>'MM CALC'!F87</f>
        <v>40</v>
      </c>
      <c r="G90" s="30">
        <f>G53</f>
        <v>223.06</v>
      </c>
      <c r="H90" s="291">
        <f t="shared" si="23"/>
        <v>288.82</v>
      </c>
      <c r="I90" s="30">
        <f t="shared" si="25"/>
        <v>11552.8</v>
      </c>
      <c r="K90" s="72"/>
      <c r="O90" s="75"/>
    </row>
    <row r="91" spans="1:15" s="31" customFormat="1" ht="30" customHeight="1" x14ac:dyDescent="0.25">
      <c r="A91" s="29" t="str">
        <f>'MM CALC'!A88</f>
        <v>3.4.7</v>
      </c>
      <c r="B91" s="29" t="str">
        <f>'MM CALC'!B88</f>
        <v>SICRO</v>
      </c>
      <c r="C91" s="29">
        <f>'MM CALC'!C88</f>
        <v>307732</v>
      </c>
      <c r="D91" s="342" t="str">
        <f>'MM CALC'!D88</f>
        <v>APARELHO DE APOIO DE NEOPRENE FRETADO PARA ESTRUTURAS PRÉ-MOLDADAS - FORNECIMENTO E INSTALAÇÃO</v>
      </c>
      <c r="E91" s="29" t="str">
        <f>'MM CALC'!E88</f>
        <v xml:space="preserve"> DM3</v>
      </c>
      <c r="F91" s="68">
        <f>'MM CALC'!F88</f>
        <v>13.95</v>
      </c>
      <c r="G91" s="30">
        <f>G54</f>
        <v>112.04</v>
      </c>
      <c r="H91" s="291">
        <f t="shared" si="23"/>
        <v>145.07</v>
      </c>
      <c r="I91" s="30">
        <f t="shared" si="25"/>
        <v>2023.73</v>
      </c>
      <c r="K91" s="72">
        <v>1329279.54</v>
      </c>
      <c r="O91" s="75"/>
    </row>
    <row r="92" spans="1:15" s="354" customFormat="1" ht="19.95" customHeight="1" x14ac:dyDescent="0.25">
      <c r="A92" s="350" t="str">
        <f>'MM CALC'!A89</f>
        <v>3.5</v>
      </c>
      <c r="B92" s="350"/>
      <c r="C92" s="350"/>
      <c r="D92" s="351" t="str">
        <f>'MM CALC'!D89</f>
        <v>SERVIÇOS COMPLEMENTARES</v>
      </c>
      <c r="E92" s="350"/>
      <c r="F92" s="352"/>
      <c r="G92" s="353"/>
      <c r="H92" s="353"/>
      <c r="I92" s="353">
        <f>SUM(I93:I95)</f>
        <v>41746.740000000005</v>
      </c>
      <c r="K92" s="355"/>
      <c r="O92" s="356"/>
    </row>
    <row r="93" spans="1:15" s="31" customFormat="1" ht="40.049999999999997" customHeight="1" x14ac:dyDescent="0.25">
      <c r="A93" s="29" t="str">
        <f>'MM CALC'!A90</f>
        <v>3.5.1</v>
      </c>
      <c r="B93" s="29" t="str">
        <f>'MM CALC'!B90</f>
        <v>SINAPI</v>
      </c>
      <c r="C93" s="29">
        <f>'MM CALC'!C90</f>
        <v>99837</v>
      </c>
      <c r="D93" s="342" t="str">
        <f>'MM CALC'!D90</f>
        <v>GUARDA-CORPO DE AÇO GALVANIZADO DE 1,10M, MONTANTES TUBULARES DE 1.1/4 " ESPAÇADOS DE 1,20M, TRAVESSA SUPERIOR DE 1.1/2", GRADIL FORMADO POR TUBOS HORIZONTAIS DE 1" E VERTICAIS DE 3/4", FIXADO COM CHUMBADOR MECÂNICO. AF_04/2019_PS</v>
      </c>
      <c r="E93" s="29" t="str">
        <f>'MM CALC'!E90</f>
        <v>M</v>
      </c>
      <c r="F93" s="68">
        <f>'MM CALC'!F90</f>
        <v>33.150000000000006</v>
      </c>
      <c r="G93" s="30">
        <f>G59</f>
        <v>606.16999999999996</v>
      </c>
      <c r="H93" s="291">
        <f t="shared" si="23"/>
        <v>784.87</v>
      </c>
      <c r="I93" s="30">
        <f t="shared" ref="I93:I94" si="30">ROUND((F93*H93),2)</f>
        <v>26018.44</v>
      </c>
      <c r="O93" s="75"/>
    </row>
    <row r="94" spans="1:15" s="33" customFormat="1" ht="30" customHeight="1" x14ac:dyDescent="0.25">
      <c r="A94" s="29" t="str">
        <f>'MM CALC'!A91</f>
        <v>3.5.2</v>
      </c>
      <c r="B94" s="29" t="str">
        <f>'MM CALC'!B91</f>
        <v>COMP.</v>
      </c>
      <c r="C94" s="29" t="str">
        <f>'MM CALC'!C91</f>
        <v>010</v>
      </c>
      <c r="D94" s="342" t="str">
        <f>'MM CALC'!D91</f>
        <v>ILUMINAÇÃO PONTE, INCLUSO 6 POSTES COM 2 LUMINÁRIAS DE LED PARA ILUMINAÇÃO PUBLICA DE 51W A 67W CADA, ELETRODUTO E REDE (CONFORME DETALHAMENTO)</v>
      </c>
      <c r="E94" s="29" t="str">
        <f>'MM CALC'!E91</f>
        <v>UNID.</v>
      </c>
      <c r="F94" s="68">
        <f>'MM CALC'!F91</f>
        <v>1</v>
      </c>
      <c r="G94" s="30">
        <f>COMPOSIÇÕES!G79</f>
        <v>10433.660000000002</v>
      </c>
      <c r="H94" s="291">
        <f t="shared" si="23"/>
        <v>13509.5</v>
      </c>
      <c r="I94" s="30">
        <f t="shared" si="30"/>
        <v>13509.5</v>
      </c>
      <c r="K94" s="372">
        <v>1480902.25</v>
      </c>
      <c r="O94" s="373"/>
    </row>
    <row r="95" spans="1:15" s="31" customFormat="1" ht="19.95" customHeight="1" x14ac:dyDescent="0.25">
      <c r="A95" s="29" t="str">
        <f>'MM CALC'!A92</f>
        <v>3.5.3</v>
      </c>
      <c r="B95" s="29" t="str">
        <f>'MM CALC'!B92</f>
        <v>SEINFRA</v>
      </c>
      <c r="C95" s="29" t="str">
        <f>'MM CALC'!C92</f>
        <v xml:space="preserve">ED-50635 </v>
      </c>
      <c r="D95" s="44" t="str">
        <f>'MM CALC'!D92</f>
        <v>PLACA DE ALUMÍNIO FUNDIDO, DIMENSÃO (85X50)CM, PARA INAUGURAÇÃO, INCLUSIVE FIXAÇÃO</v>
      </c>
      <c r="E95" s="29" t="str">
        <f>'MM CALC'!E92</f>
        <v>UNID.</v>
      </c>
      <c r="F95" s="68">
        <f>'MM CALC'!F92</f>
        <v>1</v>
      </c>
      <c r="G95" s="30">
        <f>G63</f>
        <v>1713.62</v>
      </c>
      <c r="H95" s="291">
        <f t="shared" si="23"/>
        <v>2218.8000000000002</v>
      </c>
      <c r="I95" s="30">
        <f t="shared" ref="I95" si="31">ROUND((F95*H95),2)</f>
        <v>2218.8000000000002</v>
      </c>
      <c r="K95" s="72"/>
      <c r="O95" s="75"/>
    </row>
    <row r="96" spans="1:15" s="31" customFormat="1" ht="19.95" customHeight="1" x14ac:dyDescent="0.25">
      <c r="A96" s="141"/>
      <c r="B96" s="142"/>
      <c r="C96" s="142"/>
      <c r="D96" s="136"/>
      <c r="E96" s="142"/>
      <c r="F96" s="143"/>
      <c r="G96" s="144"/>
      <c r="H96" s="145" t="s">
        <v>8</v>
      </c>
      <c r="I96" s="374">
        <f>I64+I17+I12</f>
        <v>1504238.0765799999</v>
      </c>
      <c r="K96" s="120">
        <f>K14-I96</f>
        <v>-167336.82657999988</v>
      </c>
      <c r="L96" s="33"/>
      <c r="O96" s="75"/>
    </row>
    <row r="97" spans="1:15" s="31" customFormat="1" ht="19.95" customHeight="1" x14ac:dyDescent="0.25">
      <c r="A97" s="376"/>
      <c r="B97" s="48"/>
      <c r="C97" s="48"/>
      <c r="D97" s="377"/>
      <c r="E97" s="48"/>
      <c r="F97" s="49"/>
      <c r="G97" s="378"/>
      <c r="H97" s="379"/>
      <c r="I97" s="380"/>
      <c r="K97" s="120"/>
      <c r="L97" s="33"/>
      <c r="O97" s="75"/>
    </row>
    <row r="98" spans="1:15" x14ac:dyDescent="0.25">
      <c r="A98" s="18"/>
      <c r="D98" s="38"/>
      <c r="E98" s="13"/>
      <c r="F98" s="116"/>
      <c r="G98" s="120"/>
      <c r="H98" s="120"/>
      <c r="I98" s="117"/>
      <c r="K98" s="257">
        <f>K8-I96</f>
        <v>-224.17032999987714</v>
      </c>
      <c r="L98" s="13"/>
    </row>
    <row r="99" spans="1:15" ht="15" customHeight="1" x14ac:dyDescent="0.25">
      <c r="A99" s="18"/>
      <c r="D99" s="38"/>
      <c r="E99" s="13"/>
      <c r="F99" s="116"/>
      <c r="G99" s="120"/>
      <c r="H99" s="120"/>
      <c r="I99" s="117"/>
      <c r="K99" s="10"/>
    </row>
    <row r="100" spans="1:15" x14ac:dyDescent="0.25">
      <c r="A100" s="108"/>
      <c r="B100" s="109"/>
      <c r="C100" s="48"/>
      <c r="D100" s="48" t="s">
        <v>19</v>
      </c>
      <c r="E100" s="48"/>
      <c r="F100" s="49"/>
      <c r="G100" s="48" t="s">
        <v>104</v>
      </c>
      <c r="H100" s="140"/>
      <c r="I100" s="117"/>
    </row>
    <row r="101" spans="1:15" x14ac:dyDescent="0.25">
      <c r="A101" s="108"/>
      <c r="B101" s="109"/>
      <c r="C101" s="109"/>
      <c r="D101" s="109" t="s">
        <v>49</v>
      </c>
      <c r="E101" s="48"/>
      <c r="F101" s="418" t="str">
        <f>'MM CALC'!G95</f>
        <v xml:space="preserve">José Francisco Matos e Silva </v>
      </c>
      <c r="G101" s="418"/>
      <c r="H101" s="418"/>
      <c r="I101" s="117"/>
      <c r="K101" s="71">
        <v>1517185.21</v>
      </c>
    </row>
    <row r="102" spans="1:15" ht="13.8" x14ac:dyDescent="0.25">
      <c r="A102" s="110"/>
      <c r="D102" s="3" t="s">
        <v>50</v>
      </c>
      <c r="E102" s="419" t="str">
        <f>'MM CALC'!G96</f>
        <v>Prefeito Municipal de Bom Jardim de Minas</v>
      </c>
      <c r="F102" s="419"/>
      <c r="G102" s="419"/>
      <c r="H102" s="419"/>
      <c r="I102" s="117"/>
      <c r="K102" s="71">
        <v>1504238.08</v>
      </c>
    </row>
    <row r="103" spans="1:15" x14ac:dyDescent="0.25">
      <c r="A103" s="253"/>
      <c r="B103" s="16"/>
      <c r="C103" s="16"/>
      <c r="D103" s="139"/>
      <c r="E103" s="16"/>
      <c r="F103" s="254"/>
      <c r="G103" s="255"/>
      <c r="H103" s="255"/>
      <c r="I103" s="256"/>
    </row>
  </sheetData>
  <autoFilter ref="A11:O96" xr:uid="{00000000-0009-0000-0000-000000000000}"/>
  <mergeCells count="11">
    <mergeCell ref="F101:H101"/>
    <mergeCell ref="E102:H102"/>
    <mergeCell ref="A3:I3"/>
    <mergeCell ref="E7:F7"/>
    <mergeCell ref="G7:H8"/>
    <mergeCell ref="I7:I9"/>
    <mergeCell ref="A8:D9"/>
    <mergeCell ref="B17:H17"/>
    <mergeCell ref="B64:H64"/>
    <mergeCell ref="B12:H12"/>
    <mergeCell ref="G15:H15"/>
  </mergeCells>
  <phoneticPr fontId="21" type="noConversion"/>
  <printOptions horizontalCentered="1"/>
  <pageMargins left="0" right="0" top="0.39370078740157483" bottom="0" header="0" footer="0"/>
  <pageSetup paperSize="9" scale="85" fitToHeight="16" orientation="landscape" r:id="rId1"/>
  <headerFooter alignWithMargins="0">
    <oddFooter>&amp;C
Página &amp;P de &amp;N</oddFooter>
  </headerFooter>
  <rowBreaks count="6" manualBreakCount="6">
    <brk id="25" max="8" man="1"/>
    <brk id="40" max="8" man="1"/>
    <brk id="54" max="8" man="1"/>
    <brk id="63" max="8" man="1"/>
    <brk id="79" max="8" man="1"/>
    <brk id="91" max="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11"/>
  <sheetViews>
    <sheetView workbookViewId="0">
      <selection activeCell="G6" sqref="G6"/>
    </sheetView>
  </sheetViews>
  <sheetFormatPr defaultRowHeight="13.2" x14ac:dyDescent="0.25"/>
  <cols>
    <col min="1" max="1" width="3" customWidth="1"/>
    <col min="2" max="2" width="19" customWidth="1"/>
    <col min="3" max="3" width="52.109375" customWidth="1"/>
    <col min="4" max="4" width="17.6640625" customWidth="1"/>
    <col min="5" max="5" width="13.5546875" customWidth="1"/>
    <col min="6" max="6" width="11.88671875" bestFit="1" customWidth="1"/>
    <col min="7" max="7" width="11.88671875" customWidth="1"/>
  </cols>
  <sheetData>
    <row r="1" spans="1:7" x14ac:dyDescent="0.25">
      <c r="A1" s="38" t="str">
        <f>'PLAN ORÇ'!A5</f>
        <v>PREFEITURA MUNICIPAL DE BOM JARDIM DE MINAS</v>
      </c>
      <c r="B1" s="146"/>
      <c r="C1" s="147"/>
      <c r="D1" s="147"/>
      <c r="E1" s="147"/>
    </row>
    <row r="2" spans="1:7" x14ac:dyDescent="0.25">
      <c r="A2" s="38" t="str">
        <f>'PLAN ORÇ'!A6</f>
        <v xml:space="preserve">OBRA: REFORMA, AMPLIAÇÃO E REVITALIZAÇÃO DA PONTE NITEROI - (PONTE GENI GONÇALVES DE REZENDE RODRIGUES) E PONTE DA RUA MIZAEL MARCELINO DE ALMEIDA </v>
      </c>
      <c r="B2" s="146"/>
      <c r="C2" s="147"/>
      <c r="D2" s="147"/>
      <c r="E2" s="147"/>
    </row>
    <row r="3" spans="1:7" x14ac:dyDescent="0.25">
      <c r="A3" s="38" t="str">
        <f>'PLAN ORÇ'!A7</f>
        <v>LOCAL: BAIRRO NITEROI E CANDEIAS - BOM JARDIM DE MINAS /MG</v>
      </c>
      <c r="B3" s="146"/>
      <c r="C3" s="147"/>
      <c r="D3" s="147"/>
      <c r="E3" s="147"/>
    </row>
    <row r="4" spans="1:7" x14ac:dyDescent="0.25">
      <c r="A4" s="164"/>
      <c r="B4" s="164"/>
      <c r="C4" s="165"/>
      <c r="D4" s="164"/>
      <c r="E4" s="164"/>
      <c r="F4" s="166"/>
      <c r="G4" s="164"/>
    </row>
    <row r="5" spans="1:7" x14ac:dyDescent="0.25">
      <c r="A5" s="167" t="s">
        <v>2</v>
      </c>
      <c r="B5" s="168"/>
      <c r="C5" s="169" t="s">
        <v>66</v>
      </c>
      <c r="D5" s="170" t="s">
        <v>29</v>
      </c>
      <c r="E5" s="170" t="s">
        <v>67</v>
      </c>
      <c r="F5" s="171"/>
      <c r="G5" s="172" t="s">
        <v>68</v>
      </c>
    </row>
    <row r="6" spans="1:7" ht="36" customHeight="1" x14ac:dyDescent="0.25">
      <c r="A6" s="476" t="s">
        <v>69</v>
      </c>
      <c r="B6" s="477"/>
      <c r="C6" s="173" t="e">
        <f>'MM CALC'!#REF!</f>
        <v>#REF!</v>
      </c>
      <c r="D6" s="174" t="s">
        <v>65</v>
      </c>
      <c r="E6" s="175">
        <v>45200</v>
      </c>
      <c r="F6" s="171"/>
      <c r="G6" s="176">
        <f>IF(ISERROR(MEDIAN(G8:G10)),0,ROUND(MEDIAN(G8:G10),2))</f>
        <v>4</v>
      </c>
    </row>
    <row r="7" spans="1:7" ht="35.4" customHeight="1" x14ac:dyDescent="0.25">
      <c r="A7" s="177"/>
      <c r="B7" s="178" t="s">
        <v>70</v>
      </c>
      <c r="C7" s="178" t="s">
        <v>71</v>
      </c>
      <c r="D7" s="179" t="s">
        <v>72</v>
      </c>
      <c r="E7" s="179" t="s">
        <v>73</v>
      </c>
      <c r="F7" s="192" t="s">
        <v>74</v>
      </c>
      <c r="G7" s="193" t="s">
        <v>75</v>
      </c>
    </row>
    <row r="8" spans="1:7" ht="19.95" customHeight="1" x14ac:dyDescent="0.25">
      <c r="A8" s="180"/>
      <c r="B8" s="181" t="s">
        <v>138</v>
      </c>
      <c r="C8" s="182" t="s">
        <v>140</v>
      </c>
      <c r="D8" s="183" t="s">
        <v>141</v>
      </c>
      <c r="E8" s="184" t="s">
        <v>139</v>
      </c>
      <c r="F8" s="185">
        <v>45201</v>
      </c>
      <c r="G8" s="186">
        <v>3.6</v>
      </c>
    </row>
    <row r="9" spans="1:7" ht="19.95" customHeight="1" x14ac:dyDescent="0.25">
      <c r="A9" s="180"/>
      <c r="B9" s="187" t="s">
        <v>142</v>
      </c>
      <c r="C9" s="188" t="s">
        <v>143</v>
      </c>
      <c r="D9" s="189" t="s">
        <v>144</v>
      </c>
      <c r="E9" s="190" t="s">
        <v>145</v>
      </c>
      <c r="F9" s="185">
        <v>45201</v>
      </c>
      <c r="G9" s="191">
        <v>4</v>
      </c>
    </row>
    <row r="10" spans="1:7" ht="19.95" customHeight="1" x14ac:dyDescent="0.25">
      <c r="A10" s="180"/>
      <c r="B10" s="187" t="s">
        <v>147</v>
      </c>
      <c r="C10" s="188" t="s">
        <v>148</v>
      </c>
      <c r="D10" s="194" t="s">
        <v>149</v>
      </c>
      <c r="E10" s="190" t="s">
        <v>146</v>
      </c>
      <c r="F10" s="185">
        <v>45201</v>
      </c>
      <c r="G10" s="191">
        <v>4.5</v>
      </c>
    </row>
    <row r="11" spans="1:7" ht="12.75" customHeight="1" x14ac:dyDescent="0.25">
      <c r="A11" s="478" t="s">
        <v>76</v>
      </c>
      <c r="B11" s="479"/>
      <c r="C11" s="473"/>
      <c r="D11" s="474"/>
      <c r="E11" s="474"/>
      <c r="F11" s="474"/>
      <c r="G11" s="475"/>
    </row>
  </sheetData>
  <mergeCells count="3">
    <mergeCell ref="C11:G11"/>
    <mergeCell ref="A6:B6"/>
    <mergeCell ref="A11:B11"/>
  </mergeCells>
  <pageMargins left="0.511811024" right="0.511811024" top="0.78740157499999996" bottom="0.78740157499999996" header="0.31496062000000002" footer="0.31496062000000002"/>
  <pageSetup paperSize="9" scale="7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D54F0-6A4F-4F03-8675-BF9277928638}">
  <dimension ref="A1:G87"/>
  <sheetViews>
    <sheetView view="pageBreakPreview" topLeftCell="A10" zoomScale="115" zoomScaleNormal="100" zoomScaleSheetLayoutView="115" workbookViewId="0">
      <selection activeCell="C16" sqref="C16"/>
    </sheetView>
  </sheetViews>
  <sheetFormatPr defaultRowHeight="13.2" x14ac:dyDescent="0.25"/>
  <cols>
    <col min="1" max="1" width="10.5546875" customWidth="1"/>
    <col min="2" max="2" width="16" customWidth="1"/>
    <col min="3" max="3" width="45.33203125" customWidth="1"/>
    <col min="4" max="4" width="7.109375" bestFit="1" customWidth="1"/>
    <col min="5" max="5" width="10.44140625" bestFit="1" customWidth="1"/>
    <col min="6" max="6" width="11.88671875" bestFit="1" customWidth="1"/>
    <col min="7" max="7" width="15.6640625" customWidth="1"/>
  </cols>
  <sheetData>
    <row r="1" spans="1:7" ht="24.6" customHeight="1" thickBot="1" x14ac:dyDescent="0.3">
      <c r="A1" s="483" t="s">
        <v>198</v>
      </c>
      <c r="B1" s="484"/>
      <c r="C1" s="484"/>
      <c r="D1" s="484"/>
      <c r="E1" s="484"/>
      <c r="F1" s="484"/>
      <c r="G1" s="485"/>
    </row>
    <row r="2" spans="1:7" ht="13.2" customHeight="1" x14ac:dyDescent="0.25">
      <c r="A2" s="489" t="str">
        <f>'PLAN ORÇ'!A6</f>
        <v xml:space="preserve">OBRA: REFORMA, AMPLIAÇÃO E REVITALIZAÇÃO DA PONTE NITEROI - (PONTE GENI GONÇALVES DE REZENDE RODRIGUES) E PONTE DA RUA MIZAEL MARCELINO DE ALMEIDA </v>
      </c>
      <c r="B2" s="490"/>
      <c r="C2" s="490"/>
      <c r="D2" s="490"/>
      <c r="E2" s="490"/>
      <c r="F2" s="490"/>
      <c r="G2" s="491"/>
    </row>
    <row r="3" spans="1:7" x14ac:dyDescent="0.25">
      <c r="A3" s="486"/>
      <c r="B3" s="487"/>
      <c r="C3" s="487"/>
      <c r="D3" s="487"/>
      <c r="E3" s="487"/>
      <c r="F3" s="487"/>
      <c r="G3" s="488"/>
    </row>
    <row r="4" spans="1:7" x14ac:dyDescent="0.25">
      <c r="A4" s="314" t="str">
        <f>'PLAN ORÇ'!A7</f>
        <v>LOCAL: BAIRRO NITEROI E CANDEIAS - BOM JARDIM DE MINAS /MG</v>
      </c>
      <c r="B4" s="400"/>
      <c r="C4" s="400"/>
      <c r="D4" s="400"/>
      <c r="E4" s="400"/>
      <c r="F4" s="400"/>
      <c r="G4" s="315"/>
    </row>
    <row r="5" spans="1:7" ht="28.2" customHeight="1" x14ac:dyDescent="0.25">
      <c r="A5" s="486" t="s">
        <v>199</v>
      </c>
      <c r="B5" s="487"/>
      <c r="C5" s="487"/>
      <c r="D5" s="487"/>
      <c r="E5" s="487"/>
      <c r="F5" s="487"/>
      <c r="G5" s="488"/>
    </row>
    <row r="6" spans="1:7" ht="13.8" thickBot="1" x14ac:dyDescent="0.3">
      <c r="A6" s="480" t="s">
        <v>425</v>
      </c>
      <c r="B6" s="481"/>
      <c r="C6" s="481"/>
      <c r="D6" s="481"/>
      <c r="E6" s="481"/>
      <c r="F6" s="481"/>
      <c r="G6" s="482"/>
    </row>
    <row r="7" spans="1:7" x14ac:dyDescent="0.25">
      <c r="A7" s="403"/>
      <c r="B7" s="404"/>
      <c r="C7" s="405" t="s">
        <v>66</v>
      </c>
      <c r="D7" s="406" t="s">
        <v>29</v>
      </c>
      <c r="E7" s="406" t="s">
        <v>67</v>
      </c>
      <c r="F7" s="406" t="s">
        <v>9</v>
      </c>
      <c r="G7" s="407" t="s">
        <v>68</v>
      </c>
    </row>
    <row r="8" spans="1:7" ht="27" customHeight="1" x14ac:dyDescent="0.25">
      <c r="A8" s="343"/>
      <c r="B8" s="344" t="s">
        <v>191</v>
      </c>
      <c r="C8" s="408" t="s">
        <v>247</v>
      </c>
      <c r="D8" s="345" t="s">
        <v>65</v>
      </c>
      <c r="E8" s="327" t="s">
        <v>201</v>
      </c>
      <c r="F8" s="328" t="s">
        <v>202</v>
      </c>
      <c r="G8" s="346">
        <f>SUM(G9:G13)</f>
        <v>11311.460000000001</v>
      </c>
    </row>
    <row r="9" spans="1:7" x14ac:dyDescent="0.25">
      <c r="A9" s="330"/>
      <c r="B9" s="325" t="s">
        <v>2</v>
      </c>
      <c r="C9" s="331" t="s">
        <v>192</v>
      </c>
      <c r="D9" s="332" t="s">
        <v>29</v>
      </c>
      <c r="E9" s="332" t="s">
        <v>193</v>
      </c>
      <c r="F9" s="332" t="s">
        <v>194</v>
      </c>
      <c r="G9" s="333" t="s">
        <v>195</v>
      </c>
    </row>
    <row r="10" spans="1:7" ht="48" customHeight="1" x14ac:dyDescent="0.25">
      <c r="A10" s="334" t="s">
        <v>21</v>
      </c>
      <c r="B10" s="335" t="s">
        <v>250</v>
      </c>
      <c r="C10" s="336" t="s">
        <v>249</v>
      </c>
      <c r="D10" s="337" t="s">
        <v>65</v>
      </c>
      <c r="E10" s="340">
        <v>1</v>
      </c>
      <c r="F10" s="338">
        <v>9588.68</v>
      </c>
      <c r="G10" s="339">
        <f t="shared" ref="G10:G13" si="0">E10*F10</f>
        <v>9588.68</v>
      </c>
    </row>
    <row r="11" spans="1:7" ht="61.2" customHeight="1" x14ac:dyDescent="0.25">
      <c r="A11" s="334" t="s">
        <v>21</v>
      </c>
      <c r="B11" s="335" t="s">
        <v>251</v>
      </c>
      <c r="C11" s="336" t="s">
        <v>252</v>
      </c>
      <c r="D11" s="337" t="s">
        <v>65</v>
      </c>
      <c r="E11" s="340">
        <v>1</v>
      </c>
      <c r="F11" s="338">
        <v>724.53</v>
      </c>
      <c r="G11" s="339">
        <f t="shared" si="0"/>
        <v>724.53</v>
      </c>
    </row>
    <row r="12" spans="1:7" ht="30" customHeight="1" x14ac:dyDescent="0.25">
      <c r="A12" s="334" t="s">
        <v>112</v>
      </c>
      <c r="B12" s="335">
        <v>92981</v>
      </c>
      <c r="C12" s="336" t="s">
        <v>253</v>
      </c>
      <c r="D12" s="337" t="s">
        <v>56</v>
      </c>
      <c r="E12" s="340">
        <v>45</v>
      </c>
      <c r="F12" s="338">
        <v>15.7</v>
      </c>
      <c r="G12" s="339">
        <f t="shared" si="0"/>
        <v>706.5</v>
      </c>
    </row>
    <row r="13" spans="1:7" ht="30" customHeight="1" x14ac:dyDescent="0.25">
      <c r="A13" s="334" t="s">
        <v>21</v>
      </c>
      <c r="B13" s="335" t="s">
        <v>254</v>
      </c>
      <c r="C13" s="336" t="s">
        <v>255</v>
      </c>
      <c r="D13" s="337" t="s">
        <v>56</v>
      </c>
      <c r="E13" s="340">
        <v>15</v>
      </c>
      <c r="F13" s="338">
        <v>19.45</v>
      </c>
      <c r="G13" s="339">
        <f t="shared" si="0"/>
        <v>291.75</v>
      </c>
    </row>
    <row r="14" spans="1:7" ht="4.95" customHeight="1" x14ac:dyDescent="0.25">
      <c r="A14" s="316"/>
      <c r="B14" s="317"/>
      <c r="C14" s="317"/>
      <c r="D14" s="317"/>
      <c r="E14" s="317"/>
      <c r="F14" s="317"/>
      <c r="G14" s="318"/>
    </row>
    <row r="15" spans="1:7" x14ac:dyDescent="0.25">
      <c r="A15" s="319"/>
      <c r="B15" s="320"/>
      <c r="C15" s="321" t="s">
        <v>66</v>
      </c>
      <c r="D15" s="322" t="s">
        <v>29</v>
      </c>
      <c r="E15" s="322" t="s">
        <v>67</v>
      </c>
      <c r="F15" s="322" t="s">
        <v>9</v>
      </c>
      <c r="G15" s="323" t="s">
        <v>68</v>
      </c>
    </row>
    <row r="16" spans="1:7" ht="30" customHeight="1" x14ac:dyDescent="0.25">
      <c r="A16" s="324"/>
      <c r="B16" s="325" t="s">
        <v>196</v>
      </c>
      <c r="C16" s="409" t="s">
        <v>414</v>
      </c>
      <c r="D16" s="326" t="s">
        <v>64</v>
      </c>
      <c r="E16" s="327" t="s">
        <v>201</v>
      </c>
      <c r="F16" s="328" t="s">
        <v>202</v>
      </c>
      <c r="G16" s="329">
        <f>SUM(G18:G19)</f>
        <v>13.284791638</v>
      </c>
    </row>
    <row r="17" spans="1:7" x14ac:dyDescent="0.25">
      <c r="A17" s="330"/>
      <c r="B17" s="325" t="s">
        <v>2</v>
      </c>
      <c r="C17" s="331" t="s">
        <v>192</v>
      </c>
      <c r="D17" s="332" t="s">
        <v>29</v>
      </c>
      <c r="E17" s="332" t="s">
        <v>193</v>
      </c>
      <c r="F17" s="332" t="s">
        <v>194</v>
      </c>
      <c r="G17" s="333" t="s">
        <v>195</v>
      </c>
    </row>
    <row r="18" spans="1:7" ht="19.95" customHeight="1" x14ac:dyDescent="0.25">
      <c r="A18" s="334" t="s">
        <v>112</v>
      </c>
      <c r="B18" s="335">
        <v>88316</v>
      </c>
      <c r="C18" s="336" t="s">
        <v>415</v>
      </c>
      <c r="D18" s="337" t="s">
        <v>35</v>
      </c>
      <c r="E18" s="340">
        <v>0.2291667</v>
      </c>
      <c r="F18" s="338">
        <v>18.75</v>
      </c>
      <c r="G18" s="339">
        <f t="shared" ref="G18:G19" si="1">E18*F18</f>
        <v>4.2968756250000002</v>
      </c>
    </row>
    <row r="19" spans="1:7" ht="19.95" customHeight="1" x14ac:dyDescent="0.25">
      <c r="A19" s="334" t="s">
        <v>112</v>
      </c>
      <c r="B19" s="335">
        <v>88260</v>
      </c>
      <c r="C19" s="336" t="s">
        <v>416</v>
      </c>
      <c r="D19" s="337" t="s">
        <v>35</v>
      </c>
      <c r="E19" s="340">
        <v>0.4583333</v>
      </c>
      <c r="F19" s="338">
        <v>19.61</v>
      </c>
      <c r="G19" s="339">
        <f t="shared" si="1"/>
        <v>8.9879160129999995</v>
      </c>
    </row>
    <row r="20" spans="1:7" ht="4.95" customHeight="1" x14ac:dyDescent="0.25">
      <c r="A20" s="316"/>
      <c r="B20" s="317"/>
      <c r="C20" s="317"/>
      <c r="D20" s="317"/>
      <c r="E20" s="317"/>
      <c r="F20" s="317"/>
      <c r="G20" s="318"/>
    </row>
    <row r="21" spans="1:7" x14ac:dyDescent="0.25">
      <c r="A21" s="319"/>
      <c r="B21" s="320"/>
      <c r="C21" s="321" t="s">
        <v>66</v>
      </c>
      <c r="D21" s="322" t="s">
        <v>29</v>
      </c>
      <c r="E21" s="322" t="s">
        <v>67</v>
      </c>
      <c r="F21" s="322" t="s">
        <v>9</v>
      </c>
      <c r="G21" s="323" t="s">
        <v>68</v>
      </c>
    </row>
    <row r="22" spans="1:7" ht="30" customHeight="1" x14ac:dyDescent="0.25">
      <c r="A22" s="324"/>
      <c r="B22" s="325" t="s">
        <v>228</v>
      </c>
      <c r="C22" s="409" t="s">
        <v>200</v>
      </c>
      <c r="D22" s="326" t="s">
        <v>65</v>
      </c>
      <c r="E22" s="327" t="s">
        <v>201</v>
      </c>
      <c r="F22" s="328" t="s">
        <v>202</v>
      </c>
      <c r="G22" s="329">
        <f>SUM(G24:G26)</f>
        <v>340242.34675899998</v>
      </c>
    </row>
    <row r="23" spans="1:7" x14ac:dyDescent="0.25">
      <c r="A23" s="330"/>
      <c r="B23" s="325" t="s">
        <v>2</v>
      </c>
      <c r="C23" s="331" t="s">
        <v>192</v>
      </c>
      <c r="D23" s="332" t="s">
        <v>29</v>
      </c>
      <c r="E23" s="332" t="s">
        <v>193</v>
      </c>
      <c r="F23" s="332" t="s">
        <v>194</v>
      </c>
      <c r="G23" s="333" t="s">
        <v>195</v>
      </c>
    </row>
    <row r="24" spans="1:7" ht="40.049999999999997" customHeight="1" x14ac:dyDescent="0.25">
      <c r="A24" s="334" t="s">
        <v>112</v>
      </c>
      <c r="B24" s="335">
        <v>100764</v>
      </c>
      <c r="C24" s="336" t="s">
        <v>203</v>
      </c>
      <c r="D24" s="337" t="s">
        <v>124</v>
      </c>
      <c r="E24" s="340">
        <v>21692.019999999997</v>
      </c>
      <c r="F24" s="338">
        <v>14.59</v>
      </c>
      <c r="G24" s="339">
        <f>E24*F24</f>
        <v>316486.57179999998</v>
      </c>
    </row>
    <row r="25" spans="1:7" ht="49.95" customHeight="1" x14ac:dyDescent="0.25">
      <c r="A25" s="334" t="s">
        <v>112</v>
      </c>
      <c r="B25" s="335">
        <v>100769</v>
      </c>
      <c r="C25" s="336" t="s">
        <v>204</v>
      </c>
      <c r="D25" s="337" t="s">
        <v>124</v>
      </c>
      <c r="E25" s="340">
        <v>329.95400000000001</v>
      </c>
      <c r="F25" s="338">
        <v>21.42</v>
      </c>
      <c r="G25" s="339">
        <f>E25*F25</f>
        <v>7067.6146800000006</v>
      </c>
    </row>
    <row r="26" spans="1:7" ht="19.95" customHeight="1" x14ac:dyDescent="0.25">
      <c r="A26" s="334" t="s">
        <v>207</v>
      </c>
      <c r="B26" s="335">
        <v>1333</v>
      </c>
      <c r="C26" s="336" t="s">
        <v>205</v>
      </c>
      <c r="D26" s="337" t="s">
        <v>206</v>
      </c>
      <c r="E26" s="340">
        <v>1765.9428866666665</v>
      </c>
      <c r="F26" s="338">
        <v>9.4499999999999993</v>
      </c>
      <c r="G26" s="339">
        <f>E26*F26</f>
        <v>16688.160278999996</v>
      </c>
    </row>
    <row r="27" spans="1:7" ht="4.95" customHeight="1" x14ac:dyDescent="0.25">
      <c r="A27" s="316"/>
      <c r="B27" s="317"/>
      <c r="C27" s="317"/>
      <c r="D27" s="317"/>
      <c r="E27" s="317"/>
      <c r="F27" s="317"/>
      <c r="G27" s="318"/>
    </row>
    <row r="28" spans="1:7" x14ac:dyDescent="0.25">
      <c r="A28" s="319"/>
      <c r="B28" s="320"/>
      <c r="C28" s="321" t="s">
        <v>66</v>
      </c>
      <c r="D28" s="322" t="s">
        <v>29</v>
      </c>
      <c r="E28" s="322" t="s">
        <v>67</v>
      </c>
      <c r="F28" s="322" t="s">
        <v>9</v>
      </c>
      <c r="G28" s="323" t="s">
        <v>68</v>
      </c>
    </row>
    <row r="29" spans="1:7" s="347" customFormat="1" ht="34.200000000000003" customHeight="1" x14ac:dyDescent="0.25">
      <c r="A29" s="343"/>
      <c r="B29" s="344" t="s">
        <v>237</v>
      </c>
      <c r="C29" s="408" t="s">
        <v>209</v>
      </c>
      <c r="D29" s="345" t="s">
        <v>64</v>
      </c>
      <c r="E29" s="327" t="s">
        <v>201</v>
      </c>
      <c r="F29" s="328" t="s">
        <v>202</v>
      </c>
      <c r="G29" s="346">
        <f>SUM(G30:G34)</f>
        <v>402.26738254595307</v>
      </c>
    </row>
    <row r="30" spans="1:7" x14ac:dyDescent="0.25">
      <c r="A30" s="330"/>
      <c r="B30" s="325" t="s">
        <v>2</v>
      </c>
      <c r="C30" s="331" t="s">
        <v>192</v>
      </c>
      <c r="D30" s="332" t="s">
        <v>29</v>
      </c>
      <c r="E30" s="332" t="s">
        <v>193</v>
      </c>
      <c r="F30" s="332" t="s">
        <v>194</v>
      </c>
      <c r="G30" s="333" t="s">
        <v>195</v>
      </c>
    </row>
    <row r="31" spans="1:7" ht="30" customHeight="1" x14ac:dyDescent="0.25">
      <c r="A31" s="334" t="s">
        <v>112</v>
      </c>
      <c r="B31" s="335">
        <v>92770</v>
      </c>
      <c r="C31" s="336" t="s">
        <v>210</v>
      </c>
      <c r="D31" s="337" t="s">
        <v>124</v>
      </c>
      <c r="E31" s="340">
        <f>3121.33503/(10.4*24.9)</f>
        <v>12.053348123262282</v>
      </c>
      <c r="F31" s="338">
        <v>11.47</v>
      </c>
      <c r="G31" s="339">
        <f>E31*F31</f>
        <v>138.25190297381837</v>
      </c>
    </row>
    <row r="32" spans="1:7" ht="30" customHeight="1" x14ac:dyDescent="0.25">
      <c r="A32" s="334" t="s">
        <v>21</v>
      </c>
      <c r="B32" s="335" t="s">
        <v>211</v>
      </c>
      <c r="C32" s="336" t="s">
        <v>212</v>
      </c>
      <c r="D32" s="337" t="s">
        <v>124</v>
      </c>
      <c r="E32" s="340">
        <f>301.471/(10.4*24.9)</f>
        <v>1.1641604881062713</v>
      </c>
      <c r="F32" s="338">
        <v>11.09</v>
      </c>
      <c r="G32" s="339">
        <f>E32*F32</f>
        <v>12.910539813098548</v>
      </c>
    </row>
    <row r="33" spans="1:7" ht="30" customHeight="1" x14ac:dyDescent="0.25">
      <c r="A33" s="334" t="s">
        <v>21</v>
      </c>
      <c r="B33" s="335" t="s">
        <v>213</v>
      </c>
      <c r="C33" s="336" t="s">
        <v>214</v>
      </c>
      <c r="D33" s="337" t="s">
        <v>39</v>
      </c>
      <c r="E33" s="340">
        <f>54.288/(10.4*24.9)</f>
        <v>0.20963855421686747</v>
      </c>
      <c r="F33" s="338">
        <v>749.4</v>
      </c>
      <c r="G33" s="339">
        <f t="shared" ref="G33:G34" si="2">E33*F33</f>
        <v>157.10313253012049</v>
      </c>
    </row>
    <row r="34" spans="1:7" ht="30" customHeight="1" x14ac:dyDescent="0.25">
      <c r="A34" s="334" t="s">
        <v>207</v>
      </c>
      <c r="B34" s="335">
        <v>43124</v>
      </c>
      <c r="C34" s="336" t="s">
        <v>215</v>
      </c>
      <c r="D34" s="337" t="s">
        <v>64</v>
      </c>
      <c r="E34" s="340">
        <f>265.2/(10.4*24.9)</f>
        <v>1.0240963855421688</v>
      </c>
      <c r="F34" s="338">
        <v>91.79</v>
      </c>
      <c r="G34" s="339">
        <f t="shared" si="2"/>
        <v>94.001807228915681</v>
      </c>
    </row>
    <row r="35" spans="1:7" ht="4.95" customHeight="1" x14ac:dyDescent="0.25">
      <c r="A35" s="316"/>
      <c r="B35" s="317"/>
      <c r="C35" s="317"/>
      <c r="D35" s="317"/>
      <c r="E35" s="317"/>
      <c r="F35" s="317"/>
      <c r="G35" s="318"/>
    </row>
    <row r="36" spans="1:7" x14ac:dyDescent="0.25">
      <c r="A36" s="319"/>
      <c r="B36" s="320"/>
      <c r="C36" s="321" t="s">
        <v>66</v>
      </c>
      <c r="D36" s="322" t="s">
        <v>29</v>
      </c>
      <c r="E36" s="322" t="s">
        <v>67</v>
      </c>
      <c r="F36" s="322" t="s">
        <v>9</v>
      </c>
      <c r="G36" s="323" t="s">
        <v>68</v>
      </c>
    </row>
    <row r="37" spans="1:7" ht="36.6" customHeight="1" x14ac:dyDescent="0.25">
      <c r="A37" s="343"/>
      <c r="B37" s="344" t="s">
        <v>248</v>
      </c>
      <c r="C37" s="408" t="s">
        <v>236</v>
      </c>
      <c r="D37" s="345" t="s">
        <v>64</v>
      </c>
      <c r="E37" s="327" t="s">
        <v>201</v>
      </c>
      <c r="F37" s="328" t="s">
        <v>202</v>
      </c>
      <c r="G37" s="346">
        <f>SUM(G38:G42)</f>
        <v>410.07119999999998</v>
      </c>
    </row>
    <row r="38" spans="1:7" x14ac:dyDescent="0.25">
      <c r="A38" s="330"/>
      <c r="B38" s="325" t="s">
        <v>2</v>
      </c>
      <c r="C38" s="331" t="s">
        <v>192</v>
      </c>
      <c r="D38" s="332" t="s">
        <v>29</v>
      </c>
      <c r="E38" s="332" t="s">
        <v>193</v>
      </c>
      <c r="F38" s="332" t="s">
        <v>194</v>
      </c>
      <c r="G38" s="333" t="s">
        <v>195</v>
      </c>
    </row>
    <row r="39" spans="1:7" ht="40.049999999999997" customHeight="1" x14ac:dyDescent="0.25">
      <c r="A39" s="334" t="s">
        <v>21</v>
      </c>
      <c r="B39" s="335" t="s">
        <v>229</v>
      </c>
      <c r="C39" s="336" t="s">
        <v>230</v>
      </c>
      <c r="D39" s="337" t="s">
        <v>64</v>
      </c>
      <c r="E39" s="340">
        <f>1*1.2*3*2.5</f>
        <v>9</v>
      </c>
      <c r="F39" s="338">
        <v>14.86</v>
      </c>
      <c r="G39" s="339">
        <f>E39*F39</f>
        <v>133.74</v>
      </c>
    </row>
    <row r="40" spans="1:7" ht="40.049999999999997" customHeight="1" x14ac:dyDescent="0.25">
      <c r="A40" s="334" t="s">
        <v>112</v>
      </c>
      <c r="B40" s="335">
        <v>100745</v>
      </c>
      <c r="C40" s="336" t="s">
        <v>231</v>
      </c>
      <c r="D40" s="337" t="s">
        <v>64</v>
      </c>
      <c r="E40" s="340">
        <f>E39</f>
        <v>9</v>
      </c>
      <c r="F40" s="338">
        <v>25.43</v>
      </c>
      <c r="G40" s="339">
        <f>E40*F40</f>
        <v>228.87</v>
      </c>
    </row>
    <row r="41" spans="1:7" ht="19.95" customHeight="1" x14ac:dyDescent="0.25">
      <c r="A41" s="334" t="s">
        <v>207</v>
      </c>
      <c r="B41" s="335">
        <v>10997</v>
      </c>
      <c r="C41" s="336" t="s">
        <v>232</v>
      </c>
      <c r="D41" s="337" t="s">
        <v>124</v>
      </c>
      <c r="E41" s="340">
        <v>0.09</v>
      </c>
      <c r="F41" s="338">
        <v>59.18</v>
      </c>
      <c r="G41" s="339">
        <f t="shared" ref="G41:G42" si="3">E41*F41</f>
        <v>5.3262</v>
      </c>
    </row>
    <row r="42" spans="1:7" ht="19.95" customHeight="1" x14ac:dyDescent="0.25">
      <c r="A42" s="334" t="s">
        <v>112</v>
      </c>
      <c r="B42" s="335">
        <v>88317</v>
      </c>
      <c r="C42" s="336" t="s">
        <v>233</v>
      </c>
      <c r="D42" s="337" t="s">
        <v>35</v>
      </c>
      <c r="E42" s="340">
        <v>1.5</v>
      </c>
      <c r="F42" s="338">
        <v>28.09</v>
      </c>
      <c r="G42" s="339">
        <f t="shared" si="3"/>
        <v>42.134999999999998</v>
      </c>
    </row>
    <row r="43" spans="1:7" ht="4.95" customHeight="1" x14ac:dyDescent="0.25">
      <c r="A43" s="316"/>
      <c r="B43" s="317"/>
      <c r="C43" s="317"/>
      <c r="D43" s="317"/>
      <c r="E43" s="317"/>
      <c r="F43" s="317"/>
      <c r="G43" s="318"/>
    </row>
    <row r="44" spans="1:7" x14ac:dyDescent="0.25">
      <c r="A44" s="319"/>
      <c r="B44" s="320"/>
      <c r="C44" s="321" t="s">
        <v>66</v>
      </c>
      <c r="D44" s="322" t="s">
        <v>29</v>
      </c>
      <c r="E44" s="322" t="s">
        <v>67</v>
      </c>
      <c r="F44" s="322" t="s">
        <v>9</v>
      </c>
      <c r="G44" s="323" t="s">
        <v>68</v>
      </c>
    </row>
    <row r="45" spans="1:7" ht="40.049999999999997" customHeight="1" x14ac:dyDescent="0.25">
      <c r="A45" s="343"/>
      <c r="B45" s="344" t="s">
        <v>269</v>
      </c>
      <c r="C45" s="408" t="s">
        <v>272</v>
      </c>
      <c r="D45" s="345" t="s">
        <v>208</v>
      </c>
      <c r="E45" s="327" t="s">
        <v>201</v>
      </c>
      <c r="F45" s="328" t="s">
        <v>202</v>
      </c>
      <c r="G45" s="346">
        <f>SUM(G46:G52)</f>
        <v>21583.536</v>
      </c>
    </row>
    <row r="46" spans="1:7" x14ac:dyDescent="0.25">
      <c r="A46" s="330"/>
      <c r="B46" s="325" t="s">
        <v>2</v>
      </c>
      <c r="C46" s="331" t="s">
        <v>192</v>
      </c>
      <c r="D46" s="332" t="s">
        <v>29</v>
      </c>
      <c r="E46" s="332" t="s">
        <v>193</v>
      </c>
      <c r="F46" s="332" t="s">
        <v>194</v>
      </c>
      <c r="G46" s="333" t="s">
        <v>195</v>
      </c>
    </row>
    <row r="47" spans="1:7" ht="30" customHeight="1" x14ac:dyDescent="0.25">
      <c r="A47" s="334" t="s">
        <v>21</v>
      </c>
      <c r="B47" s="335" t="s">
        <v>239</v>
      </c>
      <c r="C47" s="336" t="s">
        <v>240</v>
      </c>
      <c r="D47" s="337" t="s">
        <v>56</v>
      </c>
      <c r="E47" s="340">
        <v>96.2</v>
      </c>
      <c r="F47" s="338">
        <v>43.58</v>
      </c>
      <c r="G47" s="339">
        <f>E47*F47</f>
        <v>4192.3959999999997</v>
      </c>
    </row>
    <row r="48" spans="1:7" ht="40.049999999999997" customHeight="1" x14ac:dyDescent="0.25">
      <c r="A48" s="334" t="s">
        <v>112</v>
      </c>
      <c r="B48" s="335">
        <v>95795</v>
      </c>
      <c r="C48" s="336" t="s">
        <v>241</v>
      </c>
      <c r="D48" s="337" t="s">
        <v>65</v>
      </c>
      <c r="E48" s="340">
        <v>12</v>
      </c>
      <c r="F48" s="338">
        <v>33.950000000000003</v>
      </c>
      <c r="G48" s="339">
        <f>E48*F48</f>
        <v>407.40000000000003</v>
      </c>
    </row>
    <row r="49" spans="1:7" ht="40.049999999999997" customHeight="1" x14ac:dyDescent="0.25">
      <c r="A49" s="334" t="s">
        <v>112</v>
      </c>
      <c r="B49" s="335">
        <v>95787</v>
      </c>
      <c r="C49" s="336" t="s">
        <v>242</v>
      </c>
      <c r="D49" s="337" t="s">
        <v>65</v>
      </c>
      <c r="E49" s="340">
        <v>12</v>
      </c>
      <c r="F49" s="338">
        <v>29.74</v>
      </c>
      <c r="G49" s="339">
        <f t="shared" ref="G49:G52" si="4">E49*F49</f>
        <v>356.88</v>
      </c>
    </row>
    <row r="50" spans="1:7" ht="30" customHeight="1" x14ac:dyDescent="0.25">
      <c r="A50" s="334" t="s">
        <v>112</v>
      </c>
      <c r="B50" s="335">
        <v>100619</v>
      </c>
      <c r="C50" s="336" t="s">
        <v>243</v>
      </c>
      <c r="D50" s="337" t="s">
        <v>65</v>
      </c>
      <c r="E50" s="340">
        <v>12</v>
      </c>
      <c r="F50" s="338">
        <v>568.17999999999995</v>
      </c>
      <c r="G50" s="339">
        <f t="shared" si="4"/>
        <v>6818.16</v>
      </c>
    </row>
    <row r="51" spans="1:7" ht="30" customHeight="1" x14ac:dyDescent="0.25">
      <c r="A51" s="334" t="s">
        <v>112</v>
      </c>
      <c r="B51" s="335">
        <v>101655</v>
      </c>
      <c r="C51" s="336" t="s">
        <v>244</v>
      </c>
      <c r="D51" s="337" t="s">
        <v>65</v>
      </c>
      <c r="E51" s="340">
        <v>24</v>
      </c>
      <c r="F51" s="338">
        <v>314.05</v>
      </c>
      <c r="G51" s="339">
        <f t="shared" si="4"/>
        <v>7537.2000000000007</v>
      </c>
    </row>
    <row r="52" spans="1:7" ht="34.950000000000003" customHeight="1" x14ac:dyDescent="0.25">
      <c r="A52" s="334" t="s">
        <v>112</v>
      </c>
      <c r="B52" s="335">
        <v>91928</v>
      </c>
      <c r="C52" s="336" t="s">
        <v>245</v>
      </c>
      <c r="D52" s="337" t="s">
        <v>56</v>
      </c>
      <c r="E52" s="340">
        <v>350</v>
      </c>
      <c r="F52" s="338">
        <v>6.49</v>
      </c>
      <c r="G52" s="339">
        <f t="shared" si="4"/>
        <v>2271.5</v>
      </c>
    </row>
    <row r="53" spans="1:7" ht="4.95" customHeight="1" x14ac:dyDescent="0.25">
      <c r="A53" s="316"/>
      <c r="B53" s="317"/>
      <c r="C53" s="317"/>
      <c r="D53" s="317"/>
      <c r="E53" s="317"/>
      <c r="F53" s="317"/>
      <c r="G53" s="318"/>
    </row>
    <row r="54" spans="1:7" x14ac:dyDescent="0.25">
      <c r="A54" s="319"/>
      <c r="B54" s="320"/>
      <c r="C54" s="321" t="s">
        <v>66</v>
      </c>
      <c r="D54" s="322" t="s">
        <v>29</v>
      </c>
      <c r="E54" s="322" t="s">
        <v>67</v>
      </c>
      <c r="F54" s="322" t="s">
        <v>9</v>
      </c>
      <c r="G54" s="323" t="s">
        <v>68</v>
      </c>
    </row>
    <row r="55" spans="1:7" ht="40.049999999999997" customHeight="1" x14ac:dyDescent="0.25">
      <c r="A55" s="343"/>
      <c r="B55" s="344" t="s">
        <v>297</v>
      </c>
      <c r="C55" s="408" t="s">
        <v>271</v>
      </c>
      <c r="D55" s="345" t="s">
        <v>208</v>
      </c>
      <c r="E55" s="327" t="s">
        <v>201</v>
      </c>
      <c r="F55" s="328" t="s">
        <v>202</v>
      </c>
      <c r="G55" s="346">
        <f>SUM(G56:G62)</f>
        <v>31401.589999999997</v>
      </c>
    </row>
    <row r="56" spans="1:7" x14ac:dyDescent="0.25">
      <c r="A56" s="330"/>
      <c r="B56" s="325" t="s">
        <v>2</v>
      </c>
      <c r="C56" s="331" t="s">
        <v>192</v>
      </c>
      <c r="D56" s="332" t="s">
        <v>29</v>
      </c>
      <c r="E56" s="332" t="s">
        <v>193</v>
      </c>
      <c r="F56" s="332" t="s">
        <v>194</v>
      </c>
      <c r="G56" s="333" t="s">
        <v>195</v>
      </c>
    </row>
    <row r="57" spans="1:7" ht="30" customHeight="1" x14ac:dyDescent="0.25">
      <c r="A57" s="334" t="s">
        <v>21</v>
      </c>
      <c r="B57" s="335" t="s">
        <v>239</v>
      </c>
      <c r="C57" s="336" t="s">
        <v>240</v>
      </c>
      <c r="D57" s="337" t="s">
        <v>56</v>
      </c>
      <c r="E57" s="340">
        <v>176</v>
      </c>
      <c r="F57" s="338">
        <v>43.58</v>
      </c>
      <c r="G57" s="339">
        <f>E57*F57</f>
        <v>7670.08</v>
      </c>
    </row>
    <row r="58" spans="1:7" ht="40.049999999999997" customHeight="1" x14ac:dyDescent="0.25">
      <c r="A58" s="334" t="s">
        <v>112</v>
      </c>
      <c r="B58" s="335">
        <v>95795</v>
      </c>
      <c r="C58" s="336" t="s">
        <v>241</v>
      </c>
      <c r="D58" s="337" t="s">
        <v>65</v>
      </c>
      <c r="E58" s="340">
        <v>14</v>
      </c>
      <c r="F58" s="338">
        <v>33.950000000000003</v>
      </c>
      <c r="G58" s="339">
        <f>E58*F58</f>
        <v>475.30000000000007</v>
      </c>
    </row>
    <row r="59" spans="1:7" ht="40.049999999999997" customHeight="1" x14ac:dyDescent="0.25">
      <c r="A59" s="334" t="s">
        <v>112</v>
      </c>
      <c r="B59" s="335">
        <v>95787</v>
      </c>
      <c r="C59" s="336" t="s">
        <v>242</v>
      </c>
      <c r="D59" s="337" t="s">
        <v>65</v>
      </c>
      <c r="E59" s="340">
        <v>2</v>
      </c>
      <c r="F59" s="338">
        <v>29.74</v>
      </c>
      <c r="G59" s="339">
        <f t="shared" ref="G59:G62" si="5">E59*F59</f>
        <v>59.48</v>
      </c>
    </row>
    <row r="60" spans="1:7" ht="30" customHeight="1" x14ac:dyDescent="0.25">
      <c r="A60" s="334" t="s">
        <v>112</v>
      </c>
      <c r="B60" s="335">
        <v>100619</v>
      </c>
      <c r="C60" s="336" t="s">
        <v>243</v>
      </c>
      <c r="D60" s="337" t="s">
        <v>65</v>
      </c>
      <c r="E60" s="340">
        <v>16</v>
      </c>
      <c r="F60" s="338">
        <v>568.17999999999995</v>
      </c>
      <c r="G60" s="339">
        <f t="shared" si="5"/>
        <v>9090.8799999999992</v>
      </c>
    </row>
    <row r="61" spans="1:7" ht="30" customHeight="1" x14ac:dyDescent="0.25">
      <c r="A61" s="334" t="s">
        <v>112</v>
      </c>
      <c r="B61" s="335">
        <v>101655</v>
      </c>
      <c r="C61" s="336" t="s">
        <v>244</v>
      </c>
      <c r="D61" s="337" t="s">
        <v>65</v>
      </c>
      <c r="E61" s="340">
        <v>32</v>
      </c>
      <c r="F61" s="338">
        <v>314.05</v>
      </c>
      <c r="G61" s="339">
        <f t="shared" si="5"/>
        <v>10049.6</v>
      </c>
    </row>
    <row r="62" spans="1:7" ht="30.6" x14ac:dyDescent="0.25">
      <c r="A62" s="334" t="s">
        <v>112</v>
      </c>
      <c r="B62" s="335">
        <v>91928</v>
      </c>
      <c r="C62" s="336" t="s">
        <v>245</v>
      </c>
      <c r="D62" s="337" t="s">
        <v>56</v>
      </c>
      <c r="E62" s="340">
        <v>625</v>
      </c>
      <c r="F62" s="338">
        <v>6.49</v>
      </c>
      <c r="G62" s="339">
        <f t="shared" si="5"/>
        <v>4056.25</v>
      </c>
    </row>
    <row r="63" spans="1:7" ht="4.95" customHeight="1" x14ac:dyDescent="0.25">
      <c r="A63" s="316"/>
      <c r="B63" s="317"/>
      <c r="C63" s="317"/>
      <c r="D63" s="317"/>
      <c r="E63" s="317"/>
      <c r="F63" s="317"/>
      <c r="G63" s="318"/>
    </row>
    <row r="64" spans="1:7" x14ac:dyDescent="0.25">
      <c r="A64" s="319"/>
      <c r="B64" s="320"/>
      <c r="C64" s="321" t="s">
        <v>66</v>
      </c>
      <c r="D64" s="322" t="s">
        <v>29</v>
      </c>
      <c r="E64" s="322" t="s">
        <v>67</v>
      </c>
      <c r="F64" s="322" t="s">
        <v>9</v>
      </c>
      <c r="G64" s="323" t="s">
        <v>68</v>
      </c>
    </row>
    <row r="65" spans="1:7" ht="40.049999999999997" customHeight="1" x14ac:dyDescent="0.25">
      <c r="A65" s="324"/>
      <c r="B65" s="325" t="s">
        <v>300</v>
      </c>
      <c r="C65" s="409" t="s">
        <v>298</v>
      </c>
      <c r="D65" s="326" t="s">
        <v>208</v>
      </c>
      <c r="E65" s="327" t="s">
        <v>201</v>
      </c>
      <c r="F65" s="328" t="s">
        <v>202</v>
      </c>
      <c r="G65" s="329">
        <f>SUM(G67:G68)</f>
        <v>10218.1378866</v>
      </c>
    </row>
    <row r="66" spans="1:7" x14ac:dyDescent="0.25">
      <c r="A66" s="330"/>
      <c r="B66" s="325" t="s">
        <v>2</v>
      </c>
      <c r="C66" s="331" t="s">
        <v>192</v>
      </c>
      <c r="D66" s="332" t="s">
        <v>29</v>
      </c>
      <c r="E66" s="332" t="s">
        <v>193</v>
      </c>
      <c r="F66" s="332" t="s">
        <v>194</v>
      </c>
      <c r="G66" s="333" t="s">
        <v>195</v>
      </c>
    </row>
    <row r="67" spans="1:7" ht="49.95" customHeight="1" x14ac:dyDescent="0.25">
      <c r="A67" s="334" t="s">
        <v>112</v>
      </c>
      <c r="B67" s="335">
        <v>100764</v>
      </c>
      <c r="C67" s="336" t="s">
        <v>317</v>
      </c>
      <c r="D67" s="337" t="s">
        <v>124</v>
      </c>
      <c r="E67" s="340">
        <v>475.56599999999997</v>
      </c>
      <c r="F67" s="338">
        <v>14.59</v>
      </c>
      <c r="G67" s="339">
        <f>E67*F67</f>
        <v>6938.5079399999995</v>
      </c>
    </row>
    <row r="68" spans="1:7" ht="19.95" customHeight="1" x14ac:dyDescent="0.25">
      <c r="A68" s="334" t="s">
        <v>207</v>
      </c>
      <c r="B68" s="335">
        <v>1333</v>
      </c>
      <c r="C68" s="336" t="s">
        <v>318</v>
      </c>
      <c r="D68" s="337" t="s">
        <v>124</v>
      </c>
      <c r="E68" s="340">
        <v>347.05078800000001</v>
      </c>
      <c r="F68" s="338">
        <v>9.4499999999999993</v>
      </c>
      <c r="G68" s="339">
        <f t="shared" ref="G68" si="6">E68*F68</f>
        <v>3279.6299466</v>
      </c>
    </row>
    <row r="69" spans="1:7" ht="4.95" customHeight="1" x14ac:dyDescent="0.25">
      <c r="A69" s="316"/>
      <c r="B69" s="317"/>
      <c r="C69" s="317"/>
      <c r="D69" s="317"/>
      <c r="E69" s="317"/>
      <c r="F69" s="317"/>
      <c r="G69" s="318"/>
    </row>
    <row r="70" spans="1:7" x14ac:dyDescent="0.25">
      <c r="A70" s="319"/>
      <c r="B70" s="320"/>
      <c r="C70" s="321" t="s">
        <v>66</v>
      </c>
      <c r="D70" s="322" t="s">
        <v>29</v>
      </c>
      <c r="E70" s="322" t="s">
        <v>67</v>
      </c>
      <c r="F70" s="322" t="s">
        <v>9</v>
      </c>
      <c r="G70" s="323" t="s">
        <v>68</v>
      </c>
    </row>
    <row r="71" spans="1:7" ht="30" customHeight="1" x14ac:dyDescent="0.25">
      <c r="A71" s="343"/>
      <c r="B71" s="344" t="s">
        <v>311</v>
      </c>
      <c r="C71" s="408" t="s">
        <v>209</v>
      </c>
      <c r="D71" s="345" t="s">
        <v>64</v>
      </c>
      <c r="E71" s="327" t="s">
        <v>201</v>
      </c>
      <c r="F71" s="328" t="s">
        <v>202</v>
      </c>
      <c r="G71" s="346">
        <f>SUM(G72:G76)</f>
        <v>505.99576990466107</v>
      </c>
    </row>
    <row r="72" spans="1:7" x14ac:dyDescent="0.25">
      <c r="A72" s="330"/>
      <c r="B72" s="325" t="s">
        <v>2</v>
      </c>
      <c r="C72" s="331" t="s">
        <v>192</v>
      </c>
      <c r="D72" s="332" t="s">
        <v>29</v>
      </c>
      <c r="E72" s="332" t="s">
        <v>193</v>
      </c>
      <c r="F72" s="332" t="s">
        <v>194</v>
      </c>
      <c r="G72" s="333" t="s">
        <v>195</v>
      </c>
    </row>
    <row r="73" spans="1:7" ht="30" customHeight="1" x14ac:dyDescent="0.25">
      <c r="A73" s="334" t="s">
        <v>112</v>
      </c>
      <c r="B73" s="335">
        <v>92770</v>
      </c>
      <c r="C73" s="336" t="s">
        <v>210</v>
      </c>
      <c r="D73" s="337" t="s">
        <v>124</v>
      </c>
      <c r="E73" s="340">
        <f>670.15542/(4.72*12)</f>
        <v>11.831840042372882</v>
      </c>
      <c r="F73" s="338">
        <v>11.47</v>
      </c>
      <c r="G73" s="339">
        <f>E73*F73</f>
        <v>135.71120528601696</v>
      </c>
    </row>
    <row r="74" spans="1:7" ht="30" customHeight="1" x14ac:dyDescent="0.25">
      <c r="A74" s="334" t="s">
        <v>21</v>
      </c>
      <c r="B74" s="335" t="s">
        <v>211</v>
      </c>
      <c r="C74" s="336" t="s">
        <v>212</v>
      </c>
      <c r="D74" s="337" t="s">
        <v>124</v>
      </c>
      <c r="E74" s="340">
        <f>63.086/(4.72*12)</f>
        <v>1.1138064971751411</v>
      </c>
      <c r="F74" s="338">
        <v>11.09</v>
      </c>
      <c r="G74" s="339">
        <f>E74*F74</f>
        <v>12.352114053672315</v>
      </c>
    </row>
    <row r="75" spans="1:7" ht="30" customHeight="1" x14ac:dyDescent="0.25">
      <c r="A75" s="334" t="s">
        <v>21</v>
      </c>
      <c r="B75" s="335" t="s">
        <v>213</v>
      </c>
      <c r="C75" s="336" t="s">
        <v>214</v>
      </c>
      <c r="D75" s="337" t="s">
        <v>39</v>
      </c>
      <c r="E75" s="340">
        <f>11.894/(4.72*12)</f>
        <v>0.20999293785310735</v>
      </c>
      <c r="F75" s="338">
        <v>749.4</v>
      </c>
      <c r="G75" s="339">
        <f t="shared" ref="G75:G76" si="7">E75*F75</f>
        <v>157.36870762711865</v>
      </c>
    </row>
    <row r="76" spans="1:7" ht="30" customHeight="1" x14ac:dyDescent="0.25">
      <c r="A76" s="334" t="s">
        <v>207</v>
      </c>
      <c r="B76" s="335">
        <v>43124</v>
      </c>
      <c r="C76" s="336" t="s">
        <v>215</v>
      </c>
      <c r="D76" s="337" t="s">
        <v>64</v>
      </c>
      <c r="E76" s="340">
        <f>123.76/(4.72*12)</f>
        <v>2.1850282485875705</v>
      </c>
      <c r="F76" s="338">
        <v>91.79</v>
      </c>
      <c r="G76" s="339">
        <f t="shared" si="7"/>
        <v>200.56374293785311</v>
      </c>
    </row>
    <row r="77" spans="1:7" ht="4.95" customHeight="1" x14ac:dyDescent="0.25">
      <c r="A77" s="316"/>
      <c r="B77" s="317"/>
      <c r="C77" s="317"/>
      <c r="D77" s="317"/>
      <c r="E77" s="317"/>
      <c r="F77" s="317"/>
      <c r="G77" s="318"/>
    </row>
    <row r="78" spans="1:7" x14ac:dyDescent="0.25">
      <c r="A78" s="319"/>
      <c r="B78" s="320"/>
      <c r="C78" s="321" t="s">
        <v>66</v>
      </c>
      <c r="D78" s="322" t="s">
        <v>29</v>
      </c>
      <c r="E78" s="322" t="s">
        <v>67</v>
      </c>
      <c r="F78" s="322" t="s">
        <v>9</v>
      </c>
      <c r="G78" s="323" t="s">
        <v>68</v>
      </c>
    </row>
    <row r="79" spans="1:7" ht="35.4" customHeight="1" x14ac:dyDescent="0.25">
      <c r="A79" s="343"/>
      <c r="B79" s="344" t="s">
        <v>417</v>
      </c>
      <c r="C79" s="408" t="s">
        <v>312</v>
      </c>
      <c r="D79" s="345" t="s">
        <v>208</v>
      </c>
      <c r="E79" s="327" t="s">
        <v>201</v>
      </c>
      <c r="F79" s="328" t="s">
        <v>202</v>
      </c>
      <c r="G79" s="346">
        <f>SUM(G80:G86)</f>
        <v>10433.660000000002</v>
      </c>
    </row>
    <row r="80" spans="1:7" x14ac:dyDescent="0.25">
      <c r="A80" s="330"/>
      <c r="B80" s="325" t="s">
        <v>2</v>
      </c>
      <c r="C80" s="331" t="s">
        <v>192</v>
      </c>
      <c r="D80" s="332" t="s">
        <v>29</v>
      </c>
      <c r="E80" s="332" t="s">
        <v>193</v>
      </c>
      <c r="F80" s="332" t="s">
        <v>194</v>
      </c>
      <c r="G80" s="333" t="s">
        <v>195</v>
      </c>
    </row>
    <row r="81" spans="1:7" ht="30" customHeight="1" x14ac:dyDescent="0.25">
      <c r="A81" s="334" t="s">
        <v>21</v>
      </c>
      <c r="B81" s="335" t="s">
        <v>239</v>
      </c>
      <c r="C81" s="336" t="s">
        <v>240</v>
      </c>
      <c r="D81" s="337" t="s">
        <v>56</v>
      </c>
      <c r="E81" s="340">
        <v>47</v>
      </c>
      <c r="F81" s="338">
        <v>43.58</v>
      </c>
      <c r="G81" s="339">
        <f>E81*F81</f>
        <v>2048.2599999999998</v>
      </c>
    </row>
    <row r="82" spans="1:7" ht="40.049999999999997" customHeight="1" x14ac:dyDescent="0.25">
      <c r="A82" s="334" t="s">
        <v>112</v>
      </c>
      <c r="B82" s="335">
        <v>95795</v>
      </c>
      <c r="C82" s="336" t="s">
        <v>241</v>
      </c>
      <c r="D82" s="337" t="s">
        <v>65</v>
      </c>
      <c r="E82" s="340">
        <v>4</v>
      </c>
      <c r="F82" s="338">
        <v>33.950000000000003</v>
      </c>
      <c r="G82" s="339">
        <f>E82*F82</f>
        <v>135.80000000000001</v>
      </c>
    </row>
    <row r="83" spans="1:7" ht="40.049999999999997" customHeight="1" x14ac:dyDescent="0.25">
      <c r="A83" s="334" t="s">
        <v>112</v>
      </c>
      <c r="B83" s="335">
        <v>95787</v>
      </c>
      <c r="C83" s="336" t="s">
        <v>242</v>
      </c>
      <c r="D83" s="337" t="s">
        <v>65</v>
      </c>
      <c r="E83" s="340">
        <v>2</v>
      </c>
      <c r="F83" s="338">
        <v>29.74</v>
      </c>
      <c r="G83" s="339">
        <f t="shared" ref="G83:G86" si="8">E83*F83</f>
        <v>59.48</v>
      </c>
    </row>
    <row r="84" spans="1:7" ht="30" customHeight="1" x14ac:dyDescent="0.25">
      <c r="A84" s="334" t="s">
        <v>112</v>
      </c>
      <c r="B84" s="335">
        <v>100619</v>
      </c>
      <c r="C84" s="336" t="s">
        <v>243</v>
      </c>
      <c r="D84" s="337" t="s">
        <v>65</v>
      </c>
      <c r="E84" s="340">
        <v>6</v>
      </c>
      <c r="F84" s="338">
        <v>568.17999999999995</v>
      </c>
      <c r="G84" s="339">
        <f t="shared" si="8"/>
        <v>3409.08</v>
      </c>
    </row>
    <row r="85" spans="1:7" ht="30" customHeight="1" x14ac:dyDescent="0.25">
      <c r="A85" s="334" t="s">
        <v>112</v>
      </c>
      <c r="B85" s="335">
        <v>101655</v>
      </c>
      <c r="C85" s="336" t="s">
        <v>244</v>
      </c>
      <c r="D85" s="337" t="s">
        <v>65</v>
      </c>
      <c r="E85" s="340">
        <v>12</v>
      </c>
      <c r="F85" s="338">
        <v>314.05</v>
      </c>
      <c r="G85" s="339">
        <f t="shared" si="8"/>
        <v>3768.6000000000004</v>
      </c>
    </row>
    <row r="86" spans="1:7" ht="30.6" x14ac:dyDescent="0.25">
      <c r="A86" s="334" t="s">
        <v>112</v>
      </c>
      <c r="B86" s="335">
        <v>91928</v>
      </c>
      <c r="C86" s="336" t="s">
        <v>245</v>
      </c>
      <c r="D86" s="337" t="s">
        <v>56</v>
      </c>
      <c r="E86" s="340">
        <v>156</v>
      </c>
      <c r="F86" s="338">
        <v>6.49</v>
      </c>
      <c r="G86" s="339">
        <f t="shared" si="8"/>
        <v>1012.44</v>
      </c>
    </row>
    <row r="87" spans="1:7" ht="4.95" customHeight="1" thickBot="1" x14ac:dyDescent="0.3">
      <c r="A87" s="410"/>
      <c r="B87" s="411"/>
      <c r="C87" s="411"/>
      <c r="D87" s="411"/>
      <c r="E87" s="411"/>
      <c r="F87" s="411"/>
      <c r="G87" s="412"/>
    </row>
  </sheetData>
  <mergeCells count="4">
    <mergeCell ref="A6:G6"/>
    <mergeCell ref="A1:G1"/>
    <mergeCell ref="A5:G5"/>
    <mergeCell ref="A2:G3"/>
  </mergeCells>
  <pageMargins left="0.31496062992125984" right="0" top="0.39370078740157483" bottom="0.78740157480314965" header="0" footer="0"/>
  <pageSetup paperSize="9" scale="82" orientation="portrait" r:id="rId1"/>
  <rowBreaks count="2" manualBreakCount="2">
    <brk id="42" max="6" man="1"/>
    <brk id="76" max="6" man="1"/>
  </rowBreaks>
  <colBreaks count="1" manualBreakCount="1">
    <brk id="7"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ED062-A7B0-4ACF-833E-5FF0EAF95BF3}">
  <dimension ref="A1:O91"/>
  <sheetViews>
    <sheetView showGridLines="0" view="pageBreakPreview" zoomScaleNormal="75" zoomScaleSheetLayoutView="100" zoomScalePageLayoutView="75" workbookViewId="0">
      <pane ySplit="10" topLeftCell="A83" activePane="bottomLeft" state="frozen"/>
      <selection pane="bottomLeft" activeCell="D93" sqref="D93"/>
    </sheetView>
  </sheetViews>
  <sheetFormatPr defaultColWidth="9.109375" defaultRowHeight="13.2" x14ac:dyDescent="0.25"/>
  <cols>
    <col min="1" max="1" width="5.5546875" style="2" customWidth="1"/>
    <col min="2" max="2" width="10.88671875" style="3" customWidth="1"/>
    <col min="3" max="3" width="8.109375" style="3" customWidth="1"/>
    <col min="4" max="4" width="77" style="11" customWidth="1"/>
    <col min="5" max="5" width="6.44140625" style="3" customWidth="1"/>
    <col min="6" max="6" width="9.44140625" style="69" customWidth="1"/>
    <col min="7" max="7" width="13.109375" style="4" customWidth="1"/>
    <col min="8" max="8" width="11.33203125" style="4" customWidth="1"/>
    <col min="9" max="9" width="16" style="4" customWidth="1"/>
    <col min="10" max="10" width="10.5546875" style="10" bestFit="1" customWidth="1"/>
    <col min="11" max="11" width="14.5546875" style="71" bestFit="1" customWidth="1"/>
    <col min="12" max="12" width="10.5546875" style="10" bestFit="1" customWidth="1"/>
    <col min="13" max="14" width="9.109375" style="10"/>
    <col min="15" max="15" width="9.109375" style="73"/>
    <col min="16" max="16384" width="9.109375" style="10"/>
  </cols>
  <sheetData>
    <row r="1" spans="1:15" ht="63" customHeight="1" x14ac:dyDescent="0.25">
      <c r="A1" s="6"/>
      <c r="B1" s="7"/>
      <c r="C1" s="7"/>
      <c r="D1" s="60"/>
      <c r="E1" s="7"/>
      <c r="F1" s="64"/>
      <c r="G1" s="102"/>
      <c r="H1" s="102"/>
      <c r="I1" s="57"/>
    </row>
    <row r="2" spans="1:15" s="54" customFormat="1" ht="5.0999999999999996" customHeight="1" x14ac:dyDescent="0.25">
      <c r="A2" s="52"/>
      <c r="B2" s="53"/>
      <c r="C2" s="53"/>
      <c r="D2" s="61"/>
      <c r="E2" s="53"/>
      <c r="F2" s="65"/>
      <c r="G2" s="118"/>
      <c r="H2" s="118"/>
      <c r="I2" s="58"/>
      <c r="K2" s="71"/>
      <c r="O2" s="74"/>
    </row>
    <row r="3" spans="1:15" s="54" customFormat="1" ht="19.95" customHeight="1" x14ac:dyDescent="0.25">
      <c r="A3" s="420" t="s">
        <v>25</v>
      </c>
      <c r="B3" s="420"/>
      <c r="C3" s="420"/>
      <c r="D3" s="420"/>
      <c r="E3" s="420"/>
      <c r="F3" s="420"/>
      <c r="G3" s="420"/>
      <c r="H3" s="420"/>
      <c r="I3" s="420"/>
      <c r="K3" s="71"/>
      <c r="O3" s="74"/>
    </row>
    <row r="4" spans="1:15" s="54" customFormat="1" ht="5.0999999999999996" customHeight="1" x14ac:dyDescent="0.25">
      <c r="A4" s="124"/>
      <c r="B4" s="55"/>
      <c r="C4" s="55"/>
      <c r="D4" s="62"/>
      <c r="E4" s="55"/>
      <c r="F4" s="66"/>
      <c r="G4" s="55"/>
      <c r="H4" s="55"/>
      <c r="I4" s="127"/>
      <c r="K4" s="71"/>
      <c r="O4" s="74"/>
    </row>
    <row r="5" spans="1:15" s="54" customFormat="1" ht="20.399999999999999" customHeight="1" x14ac:dyDescent="0.25">
      <c r="A5" s="12" t="str">
        <f>'MM CALC'!A3</f>
        <v>PREFEITURA MUNICIPAL DE BOM JARDIM DE MINAS</v>
      </c>
      <c r="B5" s="56"/>
      <c r="C5" s="56"/>
      <c r="D5" s="63"/>
      <c r="E5" s="23" t="str">
        <f>'MM CALC'!E3</f>
        <v>DATA: 11/06/2025</v>
      </c>
      <c r="F5" s="66"/>
      <c r="G5" s="119"/>
      <c r="H5" s="119"/>
      <c r="I5" s="259"/>
      <c r="K5" s="71"/>
      <c r="O5" s="74"/>
    </row>
    <row r="6" spans="1:15" s="54" customFormat="1" ht="30" customHeight="1" x14ac:dyDescent="0.25">
      <c r="A6" s="387" t="str">
        <f>'MM CALC'!A4</f>
        <v xml:space="preserve">OBRA: REFORMA, AMPLIAÇÃO E REVITALIZAÇÃO DA PONTE NITEROI - (PONTE GENI GONÇALVES DE REZENDE RODRIGUES) E PONTE DA RUA MIZAEL MARCELINO DE ALMEIDA </v>
      </c>
      <c r="B6" s="384"/>
      <c r="C6" s="384"/>
      <c r="D6" s="384"/>
      <c r="E6" s="384"/>
      <c r="F6" s="384"/>
      <c r="G6" s="384"/>
      <c r="H6" s="384"/>
      <c r="I6" s="385"/>
      <c r="K6" s="71"/>
      <c r="O6" s="74"/>
    </row>
    <row r="7" spans="1:15" s="54" customFormat="1" ht="27" customHeight="1" x14ac:dyDescent="0.25">
      <c r="A7" s="23" t="str">
        <f>'MM CALC'!A5</f>
        <v>LOCAL: BAIRRO NITEROI E CANDEIAS - BOM JARDIM DE MINAS /MG</v>
      </c>
      <c r="B7" s="1"/>
      <c r="C7" s="1"/>
      <c r="D7" s="196"/>
      <c r="E7" s="421" t="s">
        <v>51</v>
      </c>
      <c r="F7" s="422"/>
      <c r="G7" s="423" t="s">
        <v>152</v>
      </c>
      <c r="H7" s="424"/>
      <c r="I7" s="427" t="s">
        <v>134</v>
      </c>
      <c r="K7" s="71"/>
      <c r="O7" s="74"/>
    </row>
    <row r="8" spans="1:15" s="54" customFormat="1" ht="27" customHeight="1" x14ac:dyDescent="0.25">
      <c r="A8" s="429" t="s">
        <v>257</v>
      </c>
      <c r="B8" s="430"/>
      <c r="C8" s="430"/>
      <c r="D8" s="430"/>
      <c r="E8" s="70" t="s">
        <v>5</v>
      </c>
      <c r="F8" s="258" t="s">
        <v>3</v>
      </c>
      <c r="G8" s="425"/>
      <c r="H8" s="426"/>
      <c r="I8" s="428"/>
      <c r="K8" s="71">
        <f>(1336901.25*0.9)*1.25</f>
        <v>1504013.90625</v>
      </c>
      <c r="O8" s="74"/>
    </row>
    <row r="9" spans="1:15" s="54" customFormat="1" ht="14.4" customHeight="1" x14ac:dyDescent="0.25">
      <c r="A9" s="431"/>
      <c r="B9" s="432"/>
      <c r="C9" s="432"/>
      <c r="D9" s="432"/>
      <c r="E9" s="296" t="s">
        <v>12</v>
      </c>
      <c r="F9" s="295" t="s">
        <v>4</v>
      </c>
      <c r="G9" s="45" t="s">
        <v>150</v>
      </c>
      <c r="H9" s="383">
        <v>0.29480000000000001</v>
      </c>
      <c r="I9" s="428"/>
      <c r="K9" s="71"/>
      <c r="O9" s="74"/>
    </row>
    <row r="10" spans="1:15" ht="5.0999999999999996" customHeight="1" x14ac:dyDescent="0.25">
      <c r="A10" s="8" t="s">
        <v>20</v>
      </c>
      <c r="B10" s="1"/>
      <c r="C10" s="1"/>
      <c r="D10" s="195"/>
      <c r="E10" s="1"/>
      <c r="F10" s="67"/>
      <c r="G10" s="9"/>
      <c r="H10" s="9"/>
      <c r="I10" s="15"/>
    </row>
    <row r="11" spans="1:15" s="3" customFormat="1" ht="26.4" x14ac:dyDescent="0.25">
      <c r="A11" s="77" t="s">
        <v>0</v>
      </c>
      <c r="B11" s="78" t="s">
        <v>9</v>
      </c>
      <c r="C11" s="78" t="s">
        <v>2</v>
      </c>
      <c r="D11" s="121" t="s">
        <v>1</v>
      </c>
      <c r="E11" s="78" t="s">
        <v>6</v>
      </c>
      <c r="F11" s="76" t="s">
        <v>7</v>
      </c>
      <c r="G11" s="5" t="s">
        <v>13</v>
      </c>
      <c r="H11" s="5" t="s">
        <v>14</v>
      </c>
      <c r="I11" s="5" t="s">
        <v>8</v>
      </c>
      <c r="K11" s="79"/>
      <c r="O11" s="80"/>
    </row>
    <row r="12" spans="1:15" s="31" customFormat="1" ht="5.0999999999999996" customHeight="1" x14ac:dyDescent="0.25">
      <c r="A12" s="359" t="e">
        <f>'MM CALC'!#REF!</f>
        <v>#REF!</v>
      </c>
      <c r="B12" s="359" t="e">
        <f>'MM CALC'!#REF!</f>
        <v>#REF!</v>
      </c>
      <c r="C12" s="359" t="e">
        <f>'MM CALC'!#REF!</f>
        <v>#REF!</v>
      </c>
      <c r="D12" s="369" t="e">
        <f>'MM CALC'!#REF!</f>
        <v>#REF!</v>
      </c>
      <c r="E12" s="359" t="e">
        <f>'MM CALC'!#REF!</f>
        <v>#REF!</v>
      </c>
      <c r="F12" s="362" t="e">
        <f>'MM CALC'!#REF!</f>
        <v>#REF!</v>
      </c>
      <c r="G12" s="363"/>
      <c r="H12" s="363"/>
      <c r="I12" s="30"/>
      <c r="K12" s="72"/>
      <c r="O12" s="75"/>
    </row>
    <row r="13" spans="1:15" s="304" customFormat="1" ht="19.95" customHeight="1" x14ac:dyDescent="0.25">
      <c r="A13" s="368">
        <v>1</v>
      </c>
      <c r="B13" s="433" t="s">
        <v>256</v>
      </c>
      <c r="C13" s="433"/>
      <c r="D13" s="433"/>
      <c r="E13" s="433"/>
      <c r="F13" s="433"/>
      <c r="G13" s="433"/>
      <c r="H13" s="434"/>
      <c r="I13" s="349">
        <f>I14+I22+I27+I42+I47</f>
        <v>1172006.9091999999</v>
      </c>
      <c r="K13" s="305">
        <f>1109896.13-3319.73</f>
        <v>1106576.3999999999</v>
      </c>
      <c r="O13" s="306"/>
    </row>
    <row r="14" spans="1:15" s="354" customFormat="1" ht="19.95" customHeight="1" x14ac:dyDescent="0.25">
      <c r="A14" s="360" t="str">
        <f>'MM CALC'!A14</f>
        <v>2.1</v>
      </c>
      <c r="B14" s="360"/>
      <c r="C14" s="360"/>
      <c r="D14" s="365" t="str">
        <f>'MM CALC'!D14</f>
        <v xml:space="preserve">SERVIÇOS PRELIMINARES </v>
      </c>
      <c r="E14" s="360"/>
      <c r="F14" s="366"/>
      <c r="G14" s="367"/>
      <c r="H14" s="367"/>
      <c r="I14" s="353">
        <f>SUM(I15:I21)</f>
        <v>34971.669200000004</v>
      </c>
      <c r="K14" s="355"/>
      <c r="O14" s="356"/>
    </row>
    <row r="15" spans="1:15" s="31" customFormat="1" ht="49.95" customHeight="1" x14ac:dyDescent="0.25">
      <c r="A15" s="29" t="str">
        <f>'MM CALC'!A15</f>
        <v>2.1.1</v>
      </c>
      <c r="B15" s="29" t="str">
        <f>'MM CALC'!B15</f>
        <v>SEINFRA</v>
      </c>
      <c r="C15" s="29" t="str">
        <f>'MM CALC'!C15</f>
        <v>ED-16660</v>
      </c>
      <c r="D15" s="44" t="str">
        <f>'MM CALC'!D15</f>
        <v>FORNECIMENTO E COLOCAÇÃO DE PLACA DE OBRA EM CHAPA GALVANIZADA #26, ESP. 0,45 MM, PLOTADA COM ADESIVO VINÍLICO, AFIXADA COM REBITES 4,8X40 MM, EM ESTRUTURA METÁLICA DE METALON 20X20 MM, ESP. 1,25 MM, INCLUSIVE SUPORTE EM EUCALIPTO AUTOCLAVADO PINTADO COM TINTA PVA DUAS (2) DEMÃOS</v>
      </c>
      <c r="E15" s="29" t="str">
        <f>'MM CALC'!E15</f>
        <v>M2</v>
      </c>
      <c r="F15" s="68">
        <f>'MM CALC'!F15</f>
        <v>1</v>
      </c>
      <c r="G15" s="30">
        <v>262.12</v>
      </c>
      <c r="H15" s="30">
        <f t="shared" ref="H15:H20" si="0">ROUND((G15*(1+$H$9)),2)</f>
        <v>339.39</v>
      </c>
      <c r="I15" s="30">
        <f>ROUND((F15*H15),2)</f>
        <v>339.39</v>
      </c>
      <c r="K15" s="72"/>
      <c r="O15" s="75"/>
    </row>
    <row r="16" spans="1:15" s="31" customFormat="1" ht="30" customHeight="1" x14ac:dyDescent="0.25">
      <c r="A16" s="29" t="str">
        <f>'MM CALC'!A16</f>
        <v>2.1.2</v>
      </c>
      <c r="B16" s="29" t="str">
        <f>'MM CALC'!B16</f>
        <v>SEINFRA</v>
      </c>
      <c r="C16" s="29" t="str">
        <f>'MM CALC'!C16</f>
        <v>ED-50150</v>
      </c>
      <c r="D16" s="342" t="str">
        <f>'MM CALC'!D16</f>
        <v>LIGAÇÃO DE ÁGUA PROVISÓRIA PARA CANTEIRO, INCLUSIVE HIDRÔMETRO E CAVALETE PARA MEDIÇÃO DE ÁGUA - ENTRADA PRINCIPAL, EM AÇO GALVANIZADO DN 20MM (1/2") - PADRÃO CONCESSIONÁRIA</v>
      </c>
      <c r="E16" s="29" t="str">
        <f>'MM CALC'!E16</f>
        <v>UNID.</v>
      </c>
      <c r="F16" s="68">
        <f>'MM CALC'!F16</f>
        <v>1</v>
      </c>
      <c r="G16" s="30">
        <v>553.36</v>
      </c>
      <c r="H16" s="291">
        <f t="shared" si="0"/>
        <v>716.49</v>
      </c>
      <c r="I16" s="30">
        <f>ROUND((F16*H16),2)</f>
        <v>716.49</v>
      </c>
      <c r="K16" s="72"/>
      <c r="O16" s="75"/>
    </row>
    <row r="17" spans="1:15" s="31" customFormat="1" ht="19.95" customHeight="1" x14ac:dyDescent="0.25">
      <c r="A17" s="29" t="str">
        <f>'MM CALC'!A17</f>
        <v>2.1.3</v>
      </c>
      <c r="B17" s="29" t="str">
        <f>'MM CALC'!B17</f>
        <v>COMP.</v>
      </c>
      <c r="C17" s="29" t="str">
        <f>'MM CALC'!C17</f>
        <v>001</v>
      </c>
      <c r="D17" s="44" t="str">
        <f>'MM CALC'!D17</f>
        <v>ENTRADA DE ENERGIA PARA PONTE</v>
      </c>
      <c r="E17" s="29" t="str">
        <f>'MM CALC'!E17</f>
        <v>UNID.</v>
      </c>
      <c r="F17" s="68">
        <f>'MM CALC'!F17</f>
        <v>1</v>
      </c>
      <c r="G17" s="30">
        <f>COMPOSIÇÕES!G8</f>
        <v>11311.460000000001</v>
      </c>
      <c r="H17" s="30">
        <f t="shared" si="0"/>
        <v>14646.08</v>
      </c>
      <c r="I17" s="30">
        <f>ROUND((F17*H17),2)</f>
        <v>14646.08</v>
      </c>
      <c r="K17" s="72"/>
      <c r="O17" s="75"/>
    </row>
    <row r="18" spans="1:15" s="31" customFormat="1" ht="40.049999999999997" customHeight="1" x14ac:dyDescent="0.25">
      <c r="A18" s="29" t="str">
        <f>'MM CALC'!A18</f>
        <v>2.1.4</v>
      </c>
      <c r="B18" s="29" t="str">
        <f>'MM CALC'!B18</f>
        <v>SEINFRA</v>
      </c>
      <c r="C18" s="29" t="str">
        <f>'MM CALC'!C18</f>
        <v xml:space="preserve">ED-50128 </v>
      </c>
      <c r="D18" s="44" t="str">
        <f>'MM CALC'!D18</f>
        <v>BARRACÃO DE OBRA PARA DEPÓSITO E FERRAMENTARIA TIPO-I, ÁREA INTERNA 14,52M2, EM CHAPA DE COMPENSADO RESINADO, INCLUSIVE MOBILIÁRIO (OBRA DE PEQUENO PORTE, EFETIVO ATÉ 30 HOMENS), PADRÃO DER-MG</v>
      </c>
      <c r="E18" s="29" t="str">
        <f>'MM CALC'!E18</f>
        <v>UNID.</v>
      </c>
      <c r="F18" s="68">
        <f>'MM CALC'!F18</f>
        <v>1</v>
      </c>
      <c r="G18" s="30">
        <v>8425.52</v>
      </c>
      <c r="H18" s="30">
        <f t="shared" si="0"/>
        <v>10909.36</v>
      </c>
      <c r="I18" s="30">
        <f>ROUND((F18*H18),2)</f>
        <v>10909.36</v>
      </c>
      <c r="K18" s="72"/>
      <c r="O18" s="75"/>
    </row>
    <row r="19" spans="1:15" s="31" customFormat="1" ht="30" customHeight="1" x14ac:dyDescent="0.25">
      <c r="A19" s="29" t="str">
        <f>'MM CALC'!A19</f>
        <v>2.1.5</v>
      </c>
      <c r="B19" s="29" t="str">
        <f>'MM CALC'!B19</f>
        <v>SEINFRA</v>
      </c>
      <c r="C19" s="29" t="str">
        <f>'MM CALC'!C19</f>
        <v xml:space="preserve">ED-50703  </v>
      </c>
      <c r="D19" s="342" t="str">
        <f>'MM CALC'!D19</f>
        <v>LIMPEZA DE TERRENO, INCLUSIVE CAPINA, RASTELAMENTO COM AFASTAMENTO ATÉ VINTE (20) METROS E QUEIMA CONTROLADA</v>
      </c>
      <c r="E19" s="29" t="str">
        <f>'MM CALC'!E19</f>
        <v>M2</v>
      </c>
      <c r="F19" s="68">
        <f>'MM CALC'!F19</f>
        <v>249.5</v>
      </c>
      <c r="G19" s="30">
        <v>2.48</v>
      </c>
      <c r="H19" s="291">
        <f t="shared" si="0"/>
        <v>3.21</v>
      </c>
      <c r="I19" s="30">
        <f t="shared" ref="I19:I20" si="1">ROUND((F19*H19),2)</f>
        <v>800.9</v>
      </c>
      <c r="K19" s="72"/>
      <c r="O19" s="75"/>
    </row>
    <row r="20" spans="1:15" s="31" customFormat="1" ht="40.049999999999997" customHeight="1" x14ac:dyDescent="0.25">
      <c r="A20" s="29" t="str">
        <f>'MM CALC'!A20</f>
        <v>2.1.6</v>
      </c>
      <c r="B20" s="29" t="str">
        <f>'MM CALC'!B20</f>
        <v>SEINFRA</v>
      </c>
      <c r="C20" s="29" t="str">
        <f>'MM CALC'!C20</f>
        <v xml:space="preserve">ED-29823 </v>
      </c>
      <c r="D20" s="44" t="str">
        <f>'MM CALC'!D20</f>
        <v>TAPUME FIXO DE PROTEÇÃO PARA FECHAMENTO DE OBRA EM TELHA METÁLICA GALVANIZADA, TIPO TRAPEZOIDAL, ESP. 0,5MM, COM MÓDULO NA DIMENSÃO DE (300X220)CM, COM REAPROVEITAMENTO, EXCLUSIVE PINTURA ESMALTE, INCLUSIVE PONTALETE E FIXAÇÃO</v>
      </c>
      <c r="E20" s="29" t="str">
        <f>'MM CALC'!E20</f>
        <v>M2</v>
      </c>
      <c r="F20" s="68">
        <f>'MM CALC'!F20</f>
        <v>53.35</v>
      </c>
      <c r="G20" s="30">
        <v>61.38</v>
      </c>
      <c r="H20" s="30">
        <f t="shared" si="0"/>
        <v>79.47</v>
      </c>
      <c r="I20" s="30">
        <f t="shared" si="1"/>
        <v>4239.72</v>
      </c>
      <c r="K20" s="72">
        <f>K8*0.75</f>
        <v>1128010.4296875</v>
      </c>
      <c r="O20" s="75"/>
    </row>
    <row r="21" spans="1:15" s="31" customFormat="1" ht="30" customHeight="1" x14ac:dyDescent="0.25">
      <c r="A21" s="29" t="str">
        <f>'MM CALC'!A11</f>
        <v>1.1.3</v>
      </c>
      <c r="B21" s="29" t="str">
        <f>'MM CALC'!B11</f>
        <v>SEINFRA</v>
      </c>
      <c r="C21" s="29" t="str">
        <f>'MM CALC'!C11</f>
        <v xml:space="preserve">ED-50393 </v>
      </c>
      <c r="D21" s="342" t="str">
        <f>'MM CALC'!D11</f>
        <v>MOBILIZAÇÃO E DESMOBILIZAÇÃO DE OBRA EM CENTRO URBANO OU REGIÃO LIMÍTROFE COM VALOR ENTRE 1.000.000,01 E 3.000.000,00</v>
      </c>
      <c r="E21" s="29" t="str">
        <f>'MM CALC'!E11</f>
        <v>%</v>
      </c>
      <c r="F21" s="381">
        <v>3.0000000000000001E-3</v>
      </c>
      <c r="G21" s="435">
        <f>K13</f>
        <v>1106576.3999999999</v>
      </c>
      <c r="H21" s="436"/>
      <c r="I21" s="30">
        <f>G21*F21</f>
        <v>3319.7291999999998</v>
      </c>
      <c r="K21" s="72"/>
      <c r="O21" s="75"/>
    </row>
    <row r="22" spans="1:15" s="354" customFormat="1" ht="19.95" customHeight="1" x14ac:dyDescent="0.25">
      <c r="A22" s="350" t="str">
        <f>'MM CALC'!A23</f>
        <v>2.2</v>
      </c>
      <c r="B22" s="350"/>
      <c r="C22" s="350"/>
      <c r="D22" s="351" t="str">
        <f>'MM CALC'!D23</f>
        <v>REMOÇÕES E DEMOLIÇÕES</v>
      </c>
      <c r="E22" s="350"/>
      <c r="F22" s="352"/>
      <c r="G22" s="353"/>
      <c r="H22" s="353"/>
      <c r="I22" s="353">
        <f>SUM(I23:I26)</f>
        <v>8145.6</v>
      </c>
      <c r="K22" s="355"/>
      <c r="O22" s="356"/>
    </row>
    <row r="23" spans="1:15" s="31" customFormat="1" ht="30" customHeight="1" x14ac:dyDescent="0.25">
      <c r="A23" s="29" t="str">
        <f>'MM CALC'!A24</f>
        <v>2.2.1</v>
      </c>
      <c r="B23" s="29" t="str">
        <f>'MM CALC'!B24</f>
        <v>SEINFRA</v>
      </c>
      <c r="C23" s="29" t="str">
        <f>'MM CALC'!C24</f>
        <v xml:space="preserve">ED-48443 </v>
      </c>
      <c r="D23" s="342" t="str">
        <f>'MM CALC'!D24</f>
        <v>DEMOLIÇÃO MECANIZADA DE CONCRETO ARMADO, COM EQUIPAMENTO ELÉTRICO, INCLUSIVE AFASTAMENTO E EMPILHAMENTO, EXCLUSIVE TRANSPORTE E RETIRADA DO MATERIAL DEMOLIDO</v>
      </c>
      <c r="E23" s="29" t="str">
        <f>'MM CALC'!E24</f>
        <v>M3</v>
      </c>
      <c r="F23" s="68">
        <f>'MM CALC'!F24</f>
        <v>16.918500000000002</v>
      </c>
      <c r="G23" s="30">
        <v>81.150000000000006</v>
      </c>
      <c r="H23" s="291">
        <f t="shared" ref="H23:H26" si="2">ROUND((G23*(1+$H$9)),2)</f>
        <v>105.07</v>
      </c>
      <c r="I23" s="30">
        <f>ROUND((F23*H23),2)</f>
        <v>1777.63</v>
      </c>
      <c r="K23" s="72"/>
      <c r="O23" s="75"/>
    </row>
    <row r="24" spans="1:15" s="31" customFormat="1" ht="19.95" customHeight="1" x14ac:dyDescent="0.25">
      <c r="A24" s="29" t="str">
        <f>'MM CALC'!A25</f>
        <v>2.2.2</v>
      </c>
      <c r="B24" s="29" t="str">
        <f>'MM CALC'!B25</f>
        <v>SINAPI</v>
      </c>
      <c r="C24" s="29">
        <f>'MM CALC'!C25</f>
        <v>104789</v>
      </c>
      <c r="D24" s="44" t="str">
        <f>'MM CALC'!D25</f>
        <v>DEMOLIÇÃO DE PISO DE CONCRETO SIMPLES, DE FORMA MANUAL, SEM REAPROVEITAMENTO. AF_09/2023</v>
      </c>
      <c r="E24" s="29" t="str">
        <f>'MM CALC'!E25</f>
        <v>M3</v>
      </c>
      <c r="F24" s="68">
        <f>'MM CALC'!F25</f>
        <v>1.4105000000000001</v>
      </c>
      <c r="G24" s="30">
        <v>176.36</v>
      </c>
      <c r="H24" s="30">
        <f t="shared" si="2"/>
        <v>228.35</v>
      </c>
      <c r="I24" s="30">
        <f>ROUND((F24*H24),2)</f>
        <v>322.08999999999997</v>
      </c>
      <c r="K24" s="72"/>
      <c r="O24" s="75"/>
    </row>
    <row r="25" spans="1:15" s="31" customFormat="1" ht="19.95" customHeight="1" x14ac:dyDescent="0.25">
      <c r="A25" s="29" t="str">
        <f>'MM CALC'!A28</f>
        <v>2.2.5</v>
      </c>
      <c r="B25" s="29" t="str">
        <f>'MM CALC'!B28</f>
        <v>COMP.</v>
      </c>
      <c r="C25" s="29" t="str">
        <f>'MM CALC'!C28</f>
        <v>002</v>
      </c>
      <c r="D25" s="309" t="str">
        <f>'MM CALC'!D28</f>
        <v>REMOÇÃO DE PISO DE BLOCO INTERTRAVADO  DE FORMA MANUAL, SEM REAPROVEITAMENTO.</v>
      </c>
      <c r="E25" s="29" t="str">
        <f>'MM CALC'!E28</f>
        <v>M2</v>
      </c>
      <c r="F25" s="68">
        <f>'MM CALC'!F28</f>
        <v>79.539999999999992</v>
      </c>
      <c r="G25" s="30">
        <v>3.83</v>
      </c>
      <c r="H25" s="30">
        <f t="shared" si="2"/>
        <v>4.96</v>
      </c>
      <c r="I25" s="30">
        <f>ROUND((F25*H25),2)</f>
        <v>394.52</v>
      </c>
      <c r="K25" s="72"/>
      <c r="O25" s="75"/>
    </row>
    <row r="26" spans="1:15" s="31" customFormat="1" ht="40.049999999999997" customHeight="1" x14ac:dyDescent="0.25">
      <c r="A26" s="29" t="str">
        <f>'MM CALC'!A29</f>
        <v>2.2.6</v>
      </c>
      <c r="B26" s="29" t="str">
        <f>'MM CALC'!B29</f>
        <v>SINAPI</v>
      </c>
      <c r="C26" s="29">
        <f>'MM CALC'!C29</f>
        <v>5928</v>
      </c>
      <c r="D26" s="44" t="str">
        <f>'MM CALC'!D29</f>
        <v>GUINDAUTO HIDRÁULICO, CAPACIDADE MÁXIMA DE CARGA 6200 KG, MOMENTO MÁXIMO DE CARGA 11,7 TM, ALCANCE MÁXIMO HORIZONTAL 9,70 M, INCLUSIVE CAMINHÃO TOCO PBT 16.000 KG, POTÊNCIA DE 189 CV - CHP DIURNO. AF_06/2014</v>
      </c>
      <c r="E26" s="29" t="str">
        <f>'MM CALC'!E29</f>
        <v>CHP</v>
      </c>
      <c r="F26" s="68">
        <f>'MM CALC'!F29</f>
        <v>16</v>
      </c>
      <c r="G26" s="30">
        <v>272.79000000000002</v>
      </c>
      <c r="H26" s="30">
        <f t="shared" si="2"/>
        <v>353.21</v>
      </c>
      <c r="I26" s="30">
        <f>ROUND((F26*H26),2)</f>
        <v>5651.36</v>
      </c>
      <c r="K26" s="72"/>
      <c r="O26" s="75"/>
    </row>
    <row r="27" spans="1:15" s="354" customFormat="1" ht="19.95" customHeight="1" x14ac:dyDescent="0.25">
      <c r="A27" s="350" t="str">
        <f>'MM CALC'!A30</f>
        <v>2.3</v>
      </c>
      <c r="B27" s="350"/>
      <c r="C27" s="350"/>
      <c r="D27" s="351" t="str">
        <f>'MM CALC'!D30</f>
        <v>INFRAESTRUTURA E MESOESTRUTURA</v>
      </c>
      <c r="E27" s="350"/>
      <c r="F27" s="352"/>
      <c r="G27" s="353"/>
      <c r="H27" s="353"/>
      <c r="I27" s="353">
        <f>SUM(I28:I41)</f>
        <v>266020.2</v>
      </c>
      <c r="K27" s="355"/>
      <c r="O27" s="356"/>
    </row>
    <row r="28" spans="1:15" s="31" customFormat="1" ht="19.95" customHeight="1" x14ac:dyDescent="0.25">
      <c r="A28" s="29" t="str">
        <f>'MM CALC'!A31</f>
        <v>2.3.1</v>
      </c>
      <c r="B28" s="29" t="str">
        <f>'MM CALC'!B31</f>
        <v>SEINFRA</v>
      </c>
      <c r="C28" s="29" t="str">
        <f>'MM CALC'!C31</f>
        <v xml:space="preserve">ED-50422 </v>
      </c>
      <c r="D28" s="44" t="str">
        <f>'MM CALC'!D31</f>
        <v>ENSECADEIRA INCLUSIVE RETIRADA DO MADEIRAMENTO , PAREDE SIMPLES</v>
      </c>
      <c r="E28" s="29" t="str">
        <f>'MM CALC'!E31</f>
        <v>M2</v>
      </c>
      <c r="F28" s="68">
        <f>'MM CALC'!F31</f>
        <v>12</v>
      </c>
      <c r="G28" s="30">
        <v>204.75</v>
      </c>
      <c r="H28" s="291">
        <f t="shared" ref="H28:H41" si="3">ROUND((G28*(1+$H$9)),2)</f>
        <v>265.11</v>
      </c>
      <c r="I28" s="30">
        <f t="shared" ref="I28:I41" si="4">ROUND((F28*H28),2)</f>
        <v>3181.32</v>
      </c>
      <c r="K28" s="310"/>
      <c r="O28" s="75"/>
    </row>
    <row r="29" spans="1:15" s="292" customFormat="1" ht="19.95" customHeight="1" x14ac:dyDescent="0.25">
      <c r="A29" s="29" t="str">
        <f>'MM CALC'!A32</f>
        <v>2.3.2</v>
      </c>
      <c r="B29" s="29" t="str">
        <f>'MM CALC'!B32</f>
        <v>SICRO</v>
      </c>
      <c r="C29" s="29">
        <f>'MM CALC'!C32</f>
        <v>2003864</v>
      </c>
      <c r="D29" s="44" t="str">
        <f>'MM CALC'!D32</f>
        <v>ESGOTAMENTO DE ÁGUA COM BOMBA SUBMERSA</v>
      </c>
      <c r="E29" s="29" t="str">
        <f>'MM CALC'!E32</f>
        <v>H</v>
      </c>
      <c r="F29" s="68">
        <f>'MM CALC'!F32</f>
        <v>120</v>
      </c>
      <c r="G29" s="291">
        <v>13.56</v>
      </c>
      <c r="H29" s="291">
        <f t="shared" si="3"/>
        <v>17.559999999999999</v>
      </c>
      <c r="I29" s="30">
        <f t="shared" si="4"/>
        <v>2107.1999999999998</v>
      </c>
      <c r="K29" s="293"/>
      <c r="O29" s="294"/>
    </row>
    <row r="30" spans="1:15" s="31" customFormat="1" ht="30" customHeight="1" x14ac:dyDescent="0.25">
      <c r="A30" s="29" t="str">
        <f>'MM CALC'!A33</f>
        <v>2.3.3</v>
      </c>
      <c r="B30" s="29" t="str">
        <f>'MM CALC'!B33</f>
        <v>SINAPI</v>
      </c>
      <c r="C30" s="29">
        <f>'MM CALC'!C33</f>
        <v>96523</v>
      </c>
      <c r="D30" s="342" t="str">
        <f>'MM CALC'!D33</f>
        <v>ESCAVAÇÃO MANUAL PARA BLOCO DE COROAMENTO OU SAPATA (INCLUINDO ESCAVAÇÃO PARA COLOCAÇÃO DE FÔRMAS). AF_01/2024</v>
      </c>
      <c r="E30" s="29" t="str">
        <f>'MM CALC'!E33</f>
        <v>M3</v>
      </c>
      <c r="F30" s="68">
        <f>'MM CALC'!F33</f>
        <v>162.57999999999998</v>
      </c>
      <c r="G30" s="30">
        <v>83.02</v>
      </c>
      <c r="H30" s="291">
        <f t="shared" si="3"/>
        <v>107.49</v>
      </c>
      <c r="I30" s="30">
        <f t="shared" si="4"/>
        <v>17475.72</v>
      </c>
      <c r="K30" s="72"/>
      <c r="O30" s="75"/>
    </row>
    <row r="31" spans="1:15" s="31" customFormat="1" ht="30" customHeight="1" x14ac:dyDescent="0.25">
      <c r="A31" s="29" t="str">
        <f>'MM CALC'!A34</f>
        <v>2.3.4</v>
      </c>
      <c r="B31" s="29" t="str">
        <f>'MM CALC'!B34</f>
        <v>SINAPI</v>
      </c>
      <c r="C31" s="29">
        <f>'MM CALC'!C34</f>
        <v>101175</v>
      </c>
      <c r="D31" s="342" t="str">
        <f>'MM CALC'!D34</f>
        <v>ESTACA BROCA DE CONCRETO, DIÂMETRO DE 30CM, ESCAVAÇÃO MANUAL COM TRADO CONCHA, COM ARMADURA DE ARRANQUE. AF_05/2020</v>
      </c>
      <c r="E31" s="29" t="str">
        <f>'MM CALC'!E34</f>
        <v>M</v>
      </c>
      <c r="F31" s="68">
        <f>'MM CALC'!F34</f>
        <v>60</v>
      </c>
      <c r="G31" s="30">
        <v>111.55</v>
      </c>
      <c r="H31" s="291">
        <f t="shared" si="3"/>
        <v>144.43</v>
      </c>
      <c r="I31" s="30">
        <f t="shared" si="4"/>
        <v>8665.7999999999993</v>
      </c>
      <c r="K31" s="72"/>
      <c r="O31" s="75"/>
    </row>
    <row r="32" spans="1:15" s="292" customFormat="1" ht="19.95" customHeight="1" x14ac:dyDescent="0.25">
      <c r="A32" s="29" t="str">
        <f>'MM CALC'!A35</f>
        <v>2.3.5</v>
      </c>
      <c r="B32" s="29" t="str">
        <f>'MM CALC'!B35</f>
        <v>SEINFRA</v>
      </c>
      <c r="C32" s="29" t="str">
        <f>'MM CALC'!C35</f>
        <v xml:space="preserve">ED-49812 </v>
      </c>
      <c r="D32" s="44" t="str">
        <f>'MM CALC'!D35</f>
        <v>LASTRO DE CONCRETO MAGRO, INCLUSIVE TRANSPORTE, LANÇAMENTO E ADENSAMENTO</v>
      </c>
      <c r="E32" s="29" t="str">
        <f>'MM CALC'!E35</f>
        <v>M3</v>
      </c>
      <c r="F32" s="68">
        <f>'MM CALC'!F35</f>
        <v>3.8245000000000005</v>
      </c>
      <c r="G32" s="291">
        <v>567.89</v>
      </c>
      <c r="H32" s="291">
        <f t="shared" si="3"/>
        <v>735.3</v>
      </c>
      <c r="I32" s="30">
        <f t="shared" si="4"/>
        <v>2812.15</v>
      </c>
      <c r="K32" s="293"/>
      <c r="O32" s="294"/>
    </row>
    <row r="33" spans="1:15" s="31" customFormat="1" ht="30" customHeight="1" x14ac:dyDescent="0.25">
      <c r="A33" s="29" t="str">
        <f>'MM CALC'!A36</f>
        <v>2.3.6</v>
      </c>
      <c r="B33" s="29" t="str">
        <f>'MM CALC'!B36</f>
        <v>SEINFRA</v>
      </c>
      <c r="C33" s="29" t="str">
        <f>'MM CALC'!C36</f>
        <v xml:space="preserve">ED-49810 </v>
      </c>
      <c r="D33" s="342" t="str">
        <f>'MM CALC'!D36</f>
        <v>FÔRMA E DESFORMA PARA VIGA-CINTA/BLOCO COM TÁBUA E SARRAFO, REAPROVEITAMENTO (3X) (FUNDAÇÃO)</v>
      </c>
      <c r="E33" s="29" t="str">
        <f>'MM CALC'!E36</f>
        <v>M2</v>
      </c>
      <c r="F33" s="68">
        <f>'MM CALC'!F36</f>
        <v>28</v>
      </c>
      <c r="G33" s="30">
        <v>70.069999999999993</v>
      </c>
      <c r="H33" s="291">
        <f t="shared" si="3"/>
        <v>90.73</v>
      </c>
      <c r="I33" s="30">
        <f t="shared" si="4"/>
        <v>2540.44</v>
      </c>
      <c r="K33" s="72"/>
      <c r="O33" s="75"/>
    </row>
    <row r="34" spans="1:15" s="31" customFormat="1" ht="30" customHeight="1" x14ac:dyDescent="0.25">
      <c r="A34" s="29" t="str">
        <f>'MM CALC'!A37</f>
        <v>2.3.7</v>
      </c>
      <c r="B34" s="29" t="str">
        <f>'MM CALC'!B37</f>
        <v>SINAPI</v>
      </c>
      <c r="C34" s="29">
        <f>'MM CALC'!C37</f>
        <v>96557</v>
      </c>
      <c r="D34" s="342" t="str">
        <f>'MM CALC'!D37</f>
        <v>CONCRETAGEM DE BLOCO DE COROAMENTO OU VIGA BALDRAME, FCK 30 MPA, COM USO DE BOMBA - LANÇAMENTO, ADENSAMENTO E ACABAMENTO. AF_01/2024</v>
      </c>
      <c r="E34" s="29" t="str">
        <f>'MM CALC'!E37</f>
        <v>M3</v>
      </c>
      <c r="F34" s="68">
        <f>'MM CALC'!F37</f>
        <v>17.36</v>
      </c>
      <c r="G34" s="30">
        <v>822.94</v>
      </c>
      <c r="H34" s="291">
        <f t="shared" si="3"/>
        <v>1065.54</v>
      </c>
      <c r="I34" s="30">
        <f t="shared" si="4"/>
        <v>18497.77</v>
      </c>
      <c r="K34" s="72"/>
      <c r="O34" s="75"/>
    </row>
    <row r="35" spans="1:15" s="31" customFormat="1" ht="43.8" customHeight="1" x14ac:dyDescent="0.25">
      <c r="A35" s="29" t="str">
        <f>'MM CALC'!A38</f>
        <v>2.3.8</v>
      </c>
      <c r="B35" s="29" t="str">
        <f>'MM CALC'!B38</f>
        <v>SEINFRA</v>
      </c>
      <c r="C35" s="29" t="str">
        <f>'MM CALC'!C38</f>
        <v xml:space="preserve">ED-15690 </v>
      </c>
      <c r="D35" s="44" t="str">
        <f>'MM CALC'!D38</f>
        <v>FÔRMA E DESFORMA PARA CORTINA DE CONCRETO OU PAREDE ESTRUTURAL (VIGA-PAREDE), ALTURA MÁXIMA DE 360CM, COM CHAPA DE COMPENSADO PLASTIFICADO, ESP. 18MM, REAPROVEITAMENTO (3X), INCLUSIVE TRAVAMENTO COM TIRANTES EM ARAME E ESCORA PARA PRUMO EM MADEIRA</v>
      </c>
      <c r="E35" s="29" t="str">
        <f>'MM CALC'!E38</f>
        <v>M2</v>
      </c>
      <c r="F35" s="68">
        <f>'MM CALC'!F38</f>
        <v>202.99</v>
      </c>
      <c r="G35" s="30">
        <v>125.13</v>
      </c>
      <c r="H35" s="30">
        <f t="shared" si="3"/>
        <v>162.02000000000001</v>
      </c>
      <c r="I35" s="30">
        <f t="shared" si="4"/>
        <v>32888.44</v>
      </c>
      <c r="K35" s="72"/>
      <c r="O35" s="75"/>
    </row>
    <row r="36" spans="1:15" s="31" customFormat="1" ht="30" customHeight="1" x14ac:dyDescent="0.25">
      <c r="A36" s="29" t="str">
        <f>'MM CALC'!A39</f>
        <v>2.3.9</v>
      </c>
      <c r="B36" s="29" t="str">
        <f>'MM CALC'!B39</f>
        <v>SINAPI</v>
      </c>
      <c r="C36" s="29">
        <f>'MM CALC'!C39</f>
        <v>100349</v>
      </c>
      <c r="D36" s="342" t="str">
        <f>'MM CALC'!D39</f>
        <v>CONCRETAGEM DE CORTINA DE CONTENÇÃO, ATRAVÉS DE BOMBA - LANÇAMENTO, ADENSAMENTO E ACABAMENTO. AF_11/2024</v>
      </c>
      <c r="E36" s="29" t="str">
        <f>'MM CALC'!E39</f>
        <v>M3</v>
      </c>
      <c r="F36" s="68">
        <f>'MM CALC'!F39</f>
        <v>53.49</v>
      </c>
      <c r="G36" s="30">
        <v>748.91</v>
      </c>
      <c r="H36" s="291">
        <f t="shared" si="3"/>
        <v>969.69</v>
      </c>
      <c r="I36" s="30">
        <f t="shared" si="4"/>
        <v>51868.72</v>
      </c>
      <c r="K36" s="72"/>
      <c r="O36" s="75"/>
    </row>
    <row r="37" spans="1:15" s="31" customFormat="1" ht="30" customHeight="1" x14ac:dyDescent="0.25">
      <c r="A37" s="29" t="str">
        <f>'MM CALC'!A40</f>
        <v>2.3.10</v>
      </c>
      <c r="B37" s="29" t="str">
        <f>'MM CALC'!B40</f>
        <v>SINAPI</v>
      </c>
      <c r="C37" s="29">
        <f>'MM CALC'!C40</f>
        <v>92417</v>
      </c>
      <c r="D37" s="342" t="str">
        <f>'MM CALC'!D40</f>
        <v>MONTAGEM E DESMONTAGEM DE FÔRMA DE PILARES RETANGULARES E ESTRUTURAS SIMILARES, PÉ-DIREITO DUPLO, EM CHAPA DE MADEIRA COMPENSADA RESINADA, 2 UTILIZAÇÕES. AF_09/2020</v>
      </c>
      <c r="E37" s="29" t="str">
        <f>'MM CALC'!E40</f>
        <v>M2</v>
      </c>
      <c r="F37" s="68">
        <f>'MM CALC'!F40</f>
        <v>100.80000000000001</v>
      </c>
      <c r="G37" s="30">
        <v>153.72</v>
      </c>
      <c r="H37" s="291">
        <f t="shared" si="3"/>
        <v>199.04</v>
      </c>
      <c r="I37" s="30">
        <f t="shared" si="4"/>
        <v>20063.23</v>
      </c>
      <c r="K37" s="72"/>
      <c r="O37" s="75"/>
    </row>
    <row r="38" spans="1:15" s="31" customFormat="1" ht="30" customHeight="1" x14ac:dyDescent="0.25">
      <c r="A38" s="29" t="str">
        <f>'MM CALC'!A41</f>
        <v>2.3.11</v>
      </c>
      <c r="B38" s="29" t="str">
        <f>'MM CALC'!B41</f>
        <v>SINAPI</v>
      </c>
      <c r="C38" s="29">
        <f>'MM CALC'!C41</f>
        <v>103672</v>
      </c>
      <c r="D38" s="342" t="str">
        <f>'MM CALC'!D41</f>
        <v>CONCRETAGEM DE PILARES, FCK = 25 MPA, COM USO DE BOMBA -LANÇAMENTO, ADENSAMENTO E ACABAMENTO. AF_02/2022_PS</v>
      </c>
      <c r="E38" s="29" t="str">
        <f>'MM CALC'!E41</f>
        <v>M3</v>
      </c>
      <c r="F38" s="68">
        <f>'MM CALC'!F41</f>
        <v>15.120000000000001</v>
      </c>
      <c r="G38" s="30">
        <v>736.92</v>
      </c>
      <c r="H38" s="291">
        <f t="shared" si="3"/>
        <v>954.16</v>
      </c>
      <c r="I38" s="30">
        <f t="shared" si="4"/>
        <v>14426.9</v>
      </c>
      <c r="K38" s="72"/>
      <c r="O38" s="75"/>
    </row>
    <row r="39" spans="1:15" s="31" customFormat="1" ht="19.95" customHeight="1" x14ac:dyDescent="0.25">
      <c r="A39" s="29" t="str">
        <f>'MM CALC'!A42</f>
        <v>2.3.12</v>
      </c>
      <c r="B39" s="29" t="str">
        <f>'MM CALC'!B42</f>
        <v>SEINFRA</v>
      </c>
      <c r="C39" s="29" t="str">
        <f>'MM CALC'!C42</f>
        <v xml:space="preserve">ED-29553 </v>
      </c>
      <c r="D39" s="44" t="str">
        <f>'MM CALC'!D42</f>
        <v>CORTE, DOBRA E MONTAGEM DE AÇO CA-50, DIÂMETRO 16MM, INCLUSIVE ESPAÇADOR</v>
      </c>
      <c r="E39" s="29" t="str">
        <f>'MM CALC'!E42</f>
        <v>KG</v>
      </c>
      <c r="F39" s="68">
        <f>'MM CALC'!F42</f>
        <v>1905.9</v>
      </c>
      <c r="G39" s="30">
        <v>13.86</v>
      </c>
      <c r="H39" s="291">
        <f t="shared" si="3"/>
        <v>17.95</v>
      </c>
      <c r="I39" s="30">
        <f t="shared" si="4"/>
        <v>34210.910000000003</v>
      </c>
      <c r="K39" s="72"/>
      <c r="O39" s="75"/>
    </row>
    <row r="40" spans="1:15" s="31" customFormat="1" ht="19.95" customHeight="1" x14ac:dyDescent="0.25">
      <c r="A40" s="29" t="str">
        <f>'MM CALC'!A43</f>
        <v>2.3.13</v>
      </c>
      <c r="B40" s="29" t="str">
        <f>'MM CALC'!B43</f>
        <v>SEINFRA</v>
      </c>
      <c r="C40" s="29" t="str">
        <f>'MM CALC'!C43</f>
        <v xml:space="preserve">ED-48295 </v>
      </c>
      <c r="D40" s="44" t="str">
        <f>'MM CALC'!D43</f>
        <v>CORTE, DOBRA E MONTAGEM DE AÇO CA-50, DIÂMETRO (6,3MM A 12,5MM), INCLUSIVE ESPAÇADOR</v>
      </c>
      <c r="E40" s="29" t="str">
        <f>'MM CALC'!E43</f>
        <v>KG</v>
      </c>
      <c r="F40" s="68">
        <f>'MM CALC'!F43</f>
        <v>3101.8</v>
      </c>
      <c r="G40" s="30">
        <v>13.58</v>
      </c>
      <c r="H40" s="291">
        <f t="shared" si="3"/>
        <v>17.579999999999998</v>
      </c>
      <c r="I40" s="30">
        <f t="shared" si="4"/>
        <v>54529.64</v>
      </c>
      <c r="K40" s="72"/>
      <c r="O40" s="75"/>
    </row>
    <row r="41" spans="1:15" s="292" customFormat="1" ht="19.95" customHeight="1" x14ac:dyDescent="0.25">
      <c r="A41" s="29" t="str">
        <f>'MM CALC'!A44</f>
        <v>2.3.14</v>
      </c>
      <c r="B41" s="29" t="str">
        <f>'MM CALC'!B44</f>
        <v>SINAPI</v>
      </c>
      <c r="C41" s="29">
        <f>'MM CALC'!C44</f>
        <v>104737</v>
      </c>
      <c r="D41" s="44" t="str">
        <f>'MM CALC'!D44</f>
        <v>REATERRO MANUAL DE VALAS, COM PLACA VIBRATÓRIA. AF_08/2023</v>
      </c>
      <c r="E41" s="29" t="str">
        <f>'MM CALC'!E44</f>
        <v>M3</v>
      </c>
      <c r="F41" s="68">
        <f>'MM CALC'!F44</f>
        <v>110.96599999999998</v>
      </c>
      <c r="G41" s="291">
        <v>19.149999999999999</v>
      </c>
      <c r="H41" s="291">
        <f t="shared" si="3"/>
        <v>24.8</v>
      </c>
      <c r="I41" s="30">
        <f t="shared" si="4"/>
        <v>2751.96</v>
      </c>
      <c r="K41" s="293"/>
      <c r="O41" s="294"/>
    </row>
    <row r="42" spans="1:15" s="354" customFormat="1" ht="19.95" customHeight="1" x14ac:dyDescent="0.25">
      <c r="A42" s="350" t="str">
        <f>'MM CALC'!A45</f>
        <v>2.4</v>
      </c>
      <c r="B42" s="350"/>
      <c r="C42" s="350"/>
      <c r="D42" s="351" t="s">
        <v>190</v>
      </c>
      <c r="E42" s="350"/>
      <c r="F42" s="352"/>
      <c r="G42" s="353"/>
      <c r="H42" s="353"/>
      <c r="I42" s="353">
        <f>SUM(I43:I46)</f>
        <v>606628.21</v>
      </c>
      <c r="K42" s="355"/>
      <c r="O42" s="356"/>
    </row>
    <row r="43" spans="1:15" s="31" customFormat="1" ht="19.95" customHeight="1" x14ac:dyDescent="0.25">
      <c r="A43" s="29" t="str">
        <f>'MM CALC'!A46</f>
        <v>2.4.1</v>
      </c>
      <c r="B43" s="29" t="str">
        <f>'MM CALC'!B46</f>
        <v>COMP.</v>
      </c>
      <c r="C43" s="29" t="str">
        <f>'MM CALC'!C46</f>
        <v>003</v>
      </c>
      <c r="D43" s="309" t="str">
        <f>'MM CALC'!D46</f>
        <v>FORNECIMENTO E MONTAGEM DE ESTRUTURA EM AÇO ASTM-A36/A572 GRAU 50, SEM PINTURA</v>
      </c>
      <c r="E43" s="29" t="str">
        <f>'MM CALC'!E46</f>
        <v>VB</v>
      </c>
      <c r="F43" s="68">
        <f>'MM CALC'!F46</f>
        <v>1</v>
      </c>
      <c r="G43" s="30">
        <f>COMPOSIÇÕES!G22</f>
        <v>340242.34675899998</v>
      </c>
      <c r="H43" s="291">
        <f t="shared" ref="H43:H55" si="5">ROUND((G43*(1+$H$9)),2)</f>
        <v>440545.79</v>
      </c>
      <c r="I43" s="30">
        <f t="shared" ref="I43:I46" si="6">ROUND((F43*H43),2)</f>
        <v>440545.79</v>
      </c>
      <c r="K43" s="72"/>
      <c r="O43" s="75"/>
    </row>
    <row r="44" spans="1:15" s="31" customFormat="1" ht="19.95" customHeight="1" x14ac:dyDescent="0.25">
      <c r="A44" s="29" t="str">
        <f>'MM CALC'!A49</f>
        <v>2.4.4</v>
      </c>
      <c r="B44" s="29" t="str">
        <f>'MM CALC'!B49</f>
        <v>COMP.</v>
      </c>
      <c r="C44" s="29" t="str">
        <f>'MM CALC'!C49</f>
        <v>004</v>
      </c>
      <c r="D44" s="309" t="str">
        <f>'MM CALC'!D49</f>
        <v xml:space="preserve">LAJE MACIÇA COM FORMA STEEL DECK, FORNECIMENTO E EXECUÇÃO, INCLUSO CONCRETAGEM, FORMAS (STEEL DECK) E ARMAÇÃO </v>
      </c>
      <c r="E44" s="29" t="str">
        <f>'MM CALC'!E49</f>
        <v>M2</v>
      </c>
      <c r="F44" s="68">
        <f>'MM CALC'!F49</f>
        <v>258.95999999999998</v>
      </c>
      <c r="G44" s="30">
        <f>COMPOSIÇÕES!G29</f>
        <v>402.26738254595307</v>
      </c>
      <c r="H44" s="291">
        <f t="shared" si="5"/>
        <v>520.86</v>
      </c>
      <c r="I44" s="30">
        <f t="shared" si="6"/>
        <v>134881.91</v>
      </c>
      <c r="K44" s="72"/>
      <c r="O44" s="75"/>
    </row>
    <row r="45" spans="1:15" s="31" customFormat="1" ht="30" customHeight="1" x14ac:dyDescent="0.25">
      <c r="A45" s="29" t="str">
        <f>'MM CALC'!A50</f>
        <v>2.4.5</v>
      </c>
      <c r="B45" s="29" t="str">
        <f>'MM CALC'!B50</f>
        <v>SINAPI</v>
      </c>
      <c r="C45" s="29">
        <f>'MM CALC'!C50</f>
        <v>89272</v>
      </c>
      <c r="D45" s="342" t="str">
        <f>'MM CALC'!D50</f>
        <v>GUINDASTE HIDRÁULICO AUTOPROPELIDO, COM LANÇA TELESCÓPICA 28,80 M, CAPACIDADE MÁXIMA 30 T, POTÊNCIA 97 KW, TRAÇÃO 4 X 4 - CHP DIURNO. AF_11/2014</v>
      </c>
      <c r="E45" s="29" t="str">
        <f>'MM CALC'!E50</f>
        <v>CHP</v>
      </c>
      <c r="F45" s="68">
        <f>'MM CALC'!F50</f>
        <v>80</v>
      </c>
      <c r="G45" s="30">
        <v>223.06</v>
      </c>
      <c r="H45" s="291">
        <f t="shared" si="5"/>
        <v>288.82</v>
      </c>
      <c r="I45" s="30">
        <f t="shared" si="6"/>
        <v>23105.599999999999</v>
      </c>
      <c r="K45" s="72"/>
      <c r="O45" s="75"/>
    </row>
    <row r="46" spans="1:15" s="31" customFormat="1" ht="30" customHeight="1" x14ac:dyDescent="0.25">
      <c r="A46" s="29" t="str">
        <f>'MM CALC'!A51</f>
        <v>2.4.6</v>
      </c>
      <c r="B46" s="29" t="str">
        <f>'MM CALC'!B51</f>
        <v>SICRO</v>
      </c>
      <c r="C46" s="29">
        <f>'MM CALC'!C51</f>
        <v>307732</v>
      </c>
      <c r="D46" s="342" t="str">
        <f>'MM CALC'!D51</f>
        <v>APARELHO DE APOIO DE NEOPRENE FRETADO PARA ESTRUTURAS PRÉ-MOLDADAS - FORNECIMENTO E INSTALAÇÃO</v>
      </c>
      <c r="E46" s="29" t="str">
        <f>'MM CALC'!E51</f>
        <v xml:space="preserve"> DM3</v>
      </c>
      <c r="F46" s="68">
        <f>'MM CALC'!F51</f>
        <v>55.8</v>
      </c>
      <c r="G46" s="30">
        <v>112.04</v>
      </c>
      <c r="H46" s="291">
        <f t="shared" si="5"/>
        <v>145.07</v>
      </c>
      <c r="I46" s="30">
        <f t="shared" si="6"/>
        <v>8094.91</v>
      </c>
      <c r="K46" s="72"/>
      <c r="O46" s="75"/>
    </row>
    <row r="47" spans="1:15" s="354" customFormat="1" ht="19.95" customHeight="1" x14ac:dyDescent="0.25">
      <c r="A47" s="350" t="str">
        <f>'MM CALC'!A52</f>
        <v>2.5</v>
      </c>
      <c r="B47" s="350"/>
      <c r="C47" s="350"/>
      <c r="D47" s="351" t="s">
        <v>137</v>
      </c>
      <c r="E47" s="350"/>
      <c r="F47" s="352"/>
      <c r="G47" s="353"/>
      <c r="H47" s="353"/>
      <c r="I47" s="353">
        <f>SUM(I48:I55)</f>
        <v>256241.23</v>
      </c>
      <c r="K47" s="355"/>
      <c r="O47" s="356"/>
    </row>
    <row r="48" spans="1:15" s="31" customFormat="1" ht="30" customHeight="1" x14ac:dyDescent="0.25">
      <c r="A48" s="29" t="str">
        <f>'MM CALC'!A53</f>
        <v>2.5.1</v>
      </c>
      <c r="B48" s="29" t="str">
        <f>'MM CALC'!B53</f>
        <v>SINAPI</v>
      </c>
      <c r="C48" s="29" t="str">
        <f>'MM CALC'!C53</f>
        <v xml:space="preserve">ED-51145 </v>
      </c>
      <c r="D48" s="342" t="str">
        <f>'MM CALC'!D53</f>
        <v>PASSEIOS DE CONCRETO E = 6 CM, FCK = 10 MPA, JUNTA SECA</v>
      </c>
      <c r="E48" s="29" t="str">
        <f>'MM CALC'!E53</f>
        <v>M2</v>
      </c>
      <c r="F48" s="68">
        <f>'MM CALC'!F53</f>
        <v>28.572000000000003</v>
      </c>
      <c r="G48" s="30">
        <v>780.79</v>
      </c>
      <c r="H48" s="291">
        <f t="shared" si="5"/>
        <v>1010.97</v>
      </c>
      <c r="I48" s="30">
        <f t="shared" ref="I48:I55" si="7">ROUND((F48*H48),2)</f>
        <v>28885.43</v>
      </c>
      <c r="K48" s="72"/>
      <c r="O48" s="75"/>
    </row>
    <row r="49" spans="1:15" s="31" customFormat="1" ht="30" customHeight="1" x14ac:dyDescent="0.25">
      <c r="A49" s="29" t="str">
        <f>'MM CALC'!A54</f>
        <v>2.5.2</v>
      </c>
      <c r="B49" s="29" t="str">
        <f>'MM CALC'!B54</f>
        <v>SEINFRA</v>
      </c>
      <c r="C49" s="29" t="str">
        <f>'MM CALC'!C54</f>
        <v xml:space="preserve">ED-8914 </v>
      </c>
      <c r="D49" s="342" t="str">
        <f>'MM CALC'!D54</f>
        <v>EXECUÇÃO DE PAVIMENTO COM PISO INTERTRAVADO, TIPO SEXTAVADO, ESP. 8CM, COM FCK DE 35MPA, INCLUSIVE COLCHÃO DE AREIA, ESP. 6CM, PARA ASSENTAMENTO, COMPACTAÇÃO MECANIZADA, CARGA E DESCARGA MECÂNICA EM CAMINHÃO, EXCLUSIVE TRANSPORTE DE PISO INTERTRAVADO</v>
      </c>
      <c r="E49" s="29" t="str">
        <f>'MM CALC'!E54</f>
        <v>M2</v>
      </c>
      <c r="F49" s="68">
        <f>'MM CALC'!F54</f>
        <v>102.43</v>
      </c>
      <c r="G49" s="30">
        <v>82.82</v>
      </c>
      <c r="H49" s="291">
        <f t="shared" si="5"/>
        <v>107.24</v>
      </c>
      <c r="I49" s="30">
        <f t="shared" si="7"/>
        <v>10984.59</v>
      </c>
      <c r="K49" s="72"/>
      <c r="O49" s="75"/>
    </row>
    <row r="50" spans="1:15" s="31" customFormat="1" ht="30" customHeight="1" x14ac:dyDescent="0.25">
      <c r="A50" s="29" t="str">
        <f>'MM CALC'!A55</f>
        <v>2.5.3</v>
      </c>
      <c r="B50" s="29" t="str">
        <f>'MM CALC'!B55</f>
        <v>SINAPI</v>
      </c>
      <c r="C50" s="29">
        <f>'MM CALC'!C55</f>
        <v>94273</v>
      </c>
      <c r="D50" s="342" t="str">
        <f>'MM CALC'!D55</f>
        <v>ASSENTAMENTO DE GUIA (MEIO-FIO) EM TRECHO RETO, CONFECCIONADA EM CONCRETO PRÉ-FABRICADO, DIMENSÕES 100X15X13X30 CM (COMPRIMENTO X BASE INFERIOR X BASE SUPERIOR X ALTURA). AF_01/2024</v>
      </c>
      <c r="E50" s="29" t="str">
        <f>'MM CALC'!E55</f>
        <v>M</v>
      </c>
      <c r="F50" s="68">
        <f>'MM CALC'!F55</f>
        <v>23.810000000000002</v>
      </c>
      <c r="G50" s="30">
        <v>61.81</v>
      </c>
      <c r="H50" s="291">
        <f t="shared" si="5"/>
        <v>80.03</v>
      </c>
      <c r="I50" s="30">
        <f t="shared" si="7"/>
        <v>1905.51</v>
      </c>
      <c r="K50" s="72"/>
      <c r="O50" s="75"/>
    </row>
    <row r="51" spans="1:15" s="31" customFormat="1" ht="40.049999999999997" customHeight="1" x14ac:dyDescent="0.25">
      <c r="A51" s="29" t="str">
        <f>'MM CALC'!A56</f>
        <v>2.5.4</v>
      </c>
      <c r="B51" s="29" t="str">
        <f>'MM CALC'!B56</f>
        <v>SINAPI</v>
      </c>
      <c r="C51" s="29">
        <f>'MM CALC'!C56</f>
        <v>99837</v>
      </c>
      <c r="D51" s="44" t="str">
        <f>'MM CALC'!D56</f>
        <v>GUARDA-CORPO DE AÇO GALVANIZADO DE 1,10M, MONTANTES TUBULARES DE 1.1/4 " ESPAÇADOS DE 1,20M, TRAVESSA SUPERIOR DE 1.1/2", GRADIL FORMADO POR TUBOS HORIZONTAIS DE 1" E VERTICAIS DE 3/4", FIXADO COM CHUMBADOR MECÂNICO. AF_04/2019_PS</v>
      </c>
      <c r="E51" s="29" t="str">
        <f>'MM CALC'!E56</f>
        <v>M</v>
      </c>
      <c r="F51" s="68">
        <f>'MM CALC'!F56</f>
        <v>118.07</v>
      </c>
      <c r="G51" s="30">
        <v>606.16999999999996</v>
      </c>
      <c r="H51" s="291">
        <f t="shared" si="5"/>
        <v>784.87</v>
      </c>
      <c r="I51" s="30">
        <f t="shared" si="7"/>
        <v>92669.6</v>
      </c>
      <c r="K51" s="72"/>
      <c r="O51" s="75"/>
    </row>
    <row r="52" spans="1:15" s="31" customFormat="1" ht="30" customHeight="1" x14ac:dyDescent="0.25">
      <c r="A52" s="29" t="str">
        <f>'MM CALC'!A57</f>
        <v>2.5.5</v>
      </c>
      <c r="B52" s="29" t="str">
        <f>'MM CALC'!B57</f>
        <v>COMP.</v>
      </c>
      <c r="C52" s="29" t="str">
        <f>'MM CALC'!C57</f>
        <v>005</v>
      </c>
      <c r="D52" s="342" t="str">
        <f>'MM CALC'!D57</f>
        <v>RESTAURAÇÃO DE GUARDA-CORPO, INCLUI LIXAMENTO, FUNDO COM ZARCÃO, PINTURA COM TINTA ALQUÍDICA E SOLDA DE BARRAS DANIFICADAS.</v>
      </c>
      <c r="E52" s="29" t="str">
        <f>'MM CALC'!E57</f>
        <v>M2</v>
      </c>
      <c r="F52" s="68">
        <f>'MM CALC'!F57</f>
        <v>96</v>
      </c>
      <c r="G52" s="30">
        <f>COMPOSIÇÕES!G37</f>
        <v>410.07119999999998</v>
      </c>
      <c r="H52" s="291">
        <f t="shared" si="5"/>
        <v>530.96</v>
      </c>
      <c r="I52" s="30">
        <f t="shared" si="7"/>
        <v>50972.160000000003</v>
      </c>
      <c r="K52" s="72"/>
      <c r="O52" s="75"/>
    </row>
    <row r="53" spans="1:15" s="31" customFormat="1" ht="30" customHeight="1" x14ac:dyDescent="0.25">
      <c r="A53" s="29" t="str">
        <f>'MM CALC'!A58</f>
        <v>2.5.6</v>
      </c>
      <c r="B53" s="29" t="str">
        <f>'MM CALC'!B58</f>
        <v>COMP.</v>
      </c>
      <c r="C53" s="29" t="str">
        <f>'MM CALC'!C58</f>
        <v>006</v>
      </c>
      <c r="D53" s="342" t="str">
        <f>COMPOSIÇÕES!C45</f>
        <v>ILUMINAÇÃO PONTE, INCLUSO 12 POSTES COM 2 LUMINÁRIAS DE LED PARA ILUMINAÇÃO PUBLICA DE 51W A 67W CADA, ELETRODUTO E REDE (CONFORME DETALHAMENTO)</v>
      </c>
      <c r="E53" s="29" t="str">
        <f>'MM CALC'!E58</f>
        <v>UNID.</v>
      </c>
      <c r="F53" s="68">
        <f>'MM CALC'!F58</f>
        <v>1</v>
      </c>
      <c r="G53" s="30">
        <f>COMPOSIÇÕES!G45</f>
        <v>21583.536</v>
      </c>
      <c r="H53" s="291">
        <f t="shared" si="5"/>
        <v>27946.36</v>
      </c>
      <c r="I53" s="30">
        <f t="shared" si="7"/>
        <v>27946.36</v>
      </c>
      <c r="K53" s="72"/>
      <c r="O53" s="75"/>
    </row>
    <row r="54" spans="1:15" s="31" customFormat="1" ht="40.049999999999997" customHeight="1" x14ac:dyDescent="0.25">
      <c r="A54" s="359" t="str">
        <f>'MM CALC'!A59</f>
        <v>2.5.7</v>
      </c>
      <c r="B54" s="359" t="str">
        <f>'MM CALC'!B59</f>
        <v>COMP.</v>
      </c>
      <c r="C54" s="359" t="str">
        <f>'MM CALC'!C59</f>
        <v>006</v>
      </c>
      <c r="D54" s="361" t="str">
        <f>'MM CALC'!D59</f>
        <v>ILUMINAÇÃO PASSARELA (GUARDA CORPO), INCLUSO 32 POSTES COM DIÂMETRO DE 4", COM 2 LUMINÁRIAS DE LED PARA ILUMINAÇÃO PUBLICA DE 51W A 67W CADA, ELETRODUTO E REDE (CONFORME DETALHAMENTO)</v>
      </c>
      <c r="E54" s="359" t="str">
        <f>'MM CALC'!E59</f>
        <v>UNID.</v>
      </c>
      <c r="F54" s="362">
        <f>'MM CALC'!F59</f>
        <v>1</v>
      </c>
      <c r="G54" s="363">
        <f>COMPOSIÇÕES!G55</f>
        <v>31401.589999999997</v>
      </c>
      <c r="H54" s="364">
        <f t="shared" si="5"/>
        <v>40658.78</v>
      </c>
      <c r="I54" s="363">
        <f t="shared" si="7"/>
        <v>40658.78</v>
      </c>
      <c r="K54" s="72"/>
      <c r="O54" s="75"/>
    </row>
    <row r="55" spans="1:15" s="31" customFormat="1" ht="19.95" customHeight="1" x14ac:dyDescent="0.25">
      <c r="A55" s="29" t="str">
        <f>'MM CALC'!A60</f>
        <v>2.5.8</v>
      </c>
      <c r="B55" s="29" t="str">
        <f>'MM CALC'!B60</f>
        <v>SEINFRA</v>
      </c>
      <c r="C55" s="29" t="str">
        <f>'MM CALC'!C60</f>
        <v xml:space="preserve">ED-50635 </v>
      </c>
      <c r="D55" s="44" t="str">
        <f>'MM CALC'!D60</f>
        <v>PLACA DE ALUMÍNIO FUNDIDO, DIMENSÃO (85X50)CM, PARA INAUGURAÇÃO, INCLUSIVE FIXAÇÃO</v>
      </c>
      <c r="E55" s="29" t="str">
        <f>'MM CALC'!E60</f>
        <v>UNID.</v>
      </c>
      <c r="F55" s="68">
        <f>'MM CALC'!F60</f>
        <v>1</v>
      </c>
      <c r="G55" s="30">
        <v>1713.62</v>
      </c>
      <c r="H55" s="364">
        <f t="shared" si="5"/>
        <v>2218.8000000000002</v>
      </c>
      <c r="I55" s="363">
        <f t="shared" si="7"/>
        <v>2218.8000000000002</v>
      </c>
      <c r="K55" s="72"/>
      <c r="O55" s="75"/>
    </row>
    <row r="56" spans="1:15" s="304" customFormat="1" ht="19.95" customHeight="1" x14ac:dyDescent="0.25">
      <c r="A56" s="368">
        <f>'MM CALC'!A61</f>
        <v>3</v>
      </c>
      <c r="B56" s="433" t="s">
        <v>258</v>
      </c>
      <c r="C56" s="433"/>
      <c r="D56" s="433"/>
      <c r="E56" s="433"/>
      <c r="F56" s="433"/>
      <c r="G56" s="433"/>
      <c r="H56" s="434"/>
      <c r="I56" s="349">
        <f>I57+I62+I64+I70+I77</f>
        <v>147646.74722000002</v>
      </c>
      <c r="K56" s="305">
        <v>142175.74</v>
      </c>
      <c r="O56" s="306"/>
    </row>
    <row r="57" spans="1:15" s="354" customFormat="1" ht="19.95" customHeight="1" x14ac:dyDescent="0.25">
      <c r="A57" s="360" t="str">
        <f>'MM CALC'!A62</f>
        <v>3.1</v>
      </c>
      <c r="B57" s="360"/>
      <c r="C57" s="360"/>
      <c r="D57" s="365" t="str">
        <f>'MM CALC'!D62</f>
        <v xml:space="preserve">SERVIÇOS PRELIMINARES </v>
      </c>
      <c r="E57" s="360"/>
      <c r="F57" s="366"/>
      <c r="G57" s="367"/>
      <c r="H57" s="367"/>
      <c r="I57" s="367">
        <f>SUM(I58:I61)</f>
        <v>16830.18722</v>
      </c>
      <c r="K57" s="355"/>
      <c r="O57" s="356"/>
    </row>
    <row r="58" spans="1:15" s="31" customFormat="1" ht="19.95" customHeight="1" x14ac:dyDescent="0.25">
      <c r="A58" s="29" t="str">
        <f>'MM CALC'!A64</f>
        <v>3.1.2</v>
      </c>
      <c r="B58" s="29" t="str">
        <f>'MM CALC'!B64</f>
        <v>COMP.</v>
      </c>
      <c r="C58" s="29" t="str">
        <f>'MM CALC'!C64</f>
        <v>001</v>
      </c>
      <c r="D58" s="44" t="str">
        <f>'MM CALC'!D64</f>
        <v>ENTRADA DE ENERGIA PARA PONTE</v>
      </c>
      <c r="E58" s="29" t="str">
        <f>'MM CALC'!E64</f>
        <v>UNID.</v>
      </c>
      <c r="F58" s="68">
        <f>'MM CALC'!F64</f>
        <v>1</v>
      </c>
      <c r="G58" s="30">
        <f>COMPOSIÇÕES!G8</f>
        <v>11311.460000000001</v>
      </c>
      <c r="H58" s="291">
        <f t="shared" ref="H58:H69" si="8">ROUND((G58*(1+$H$9)),2)</f>
        <v>14646.08</v>
      </c>
      <c r="I58" s="30">
        <f t="shared" ref="I58:I69" si="9">ROUND((F58*H58),2)</f>
        <v>14646.08</v>
      </c>
      <c r="K58" s="72"/>
      <c r="O58" s="75"/>
    </row>
    <row r="59" spans="1:15" s="31" customFormat="1" ht="30" customHeight="1" x14ac:dyDescent="0.25">
      <c r="A59" s="29" t="str">
        <f>'MM CALC'!A66</f>
        <v>3.1.4</v>
      </c>
      <c r="B59" s="29" t="str">
        <f>'MM CALC'!B66</f>
        <v>SEINFRA</v>
      </c>
      <c r="C59" s="29" t="str">
        <f>'MM CALC'!C66</f>
        <v xml:space="preserve">ED-50703  </v>
      </c>
      <c r="D59" s="342" t="str">
        <f>'MM CALC'!D66</f>
        <v>LIMPEZA DE TERRENO, INCLUSIVE CAPINA, RASTELAMENTO COM AFASTAMENTO ATÉ VINTE (20) METROS E QUEIMA CONTROLADA</v>
      </c>
      <c r="E59" s="29" t="str">
        <f>'MM CALC'!E66</f>
        <v>M2</v>
      </c>
      <c r="F59" s="68">
        <f>'MM CALC'!F66</f>
        <v>2.8800000000000003</v>
      </c>
      <c r="G59" s="30">
        <f>G19</f>
        <v>2.48</v>
      </c>
      <c r="H59" s="30">
        <f>H19</f>
        <v>3.21</v>
      </c>
      <c r="I59" s="30">
        <f t="shared" si="9"/>
        <v>9.24</v>
      </c>
      <c r="K59" s="72"/>
      <c r="O59" s="75"/>
    </row>
    <row r="60" spans="1:15" s="31" customFormat="1" ht="40.049999999999997" customHeight="1" x14ac:dyDescent="0.25">
      <c r="A60" s="29" t="str">
        <f>'MM CALC'!A67</f>
        <v>3.1.5</v>
      </c>
      <c r="B60" s="29" t="str">
        <f>'MM CALC'!B67</f>
        <v>SEINFRA</v>
      </c>
      <c r="C60" s="29" t="str">
        <f>'MM CALC'!C67</f>
        <v xml:space="preserve">ED-29823 </v>
      </c>
      <c r="D60" s="44" t="str">
        <f>'MM CALC'!D67</f>
        <v>TAPUME FIXO DE PROTEÇÃO PARA FECHAMENTO DE OBRA EM TELHA METÁLICA GALVANIZADA, TIPO TRAPEZOIDAL, ESP. 0,5MM, COM MÓDULO NA DIMENSÃO DE (300X220)CM, COM REAPROVEITAMENTO, EXCLUSIVE PINTURA ESMALTE, INCLUSIVE PONTALETE E FIXAÇÃO</v>
      </c>
      <c r="E60" s="29" t="str">
        <f>'MM CALC'!E67</f>
        <v>M2</v>
      </c>
      <c r="F60" s="68">
        <f>'MM CALC'!F67</f>
        <v>22</v>
      </c>
      <c r="G60" s="30">
        <f>G20</f>
        <v>61.38</v>
      </c>
      <c r="H60" s="291">
        <f t="shared" si="8"/>
        <v>79.47</v>
      </c>
      <c r="I60" s="30">
        <f t="shared" si="9"/>
        <v>1748.34</v>
      </c>
      <c r="K60" s="72"/>
      <c r="O60" s="75"/>
    </row>
    <row r="61" spans="1:15" s="31" customFormat="1" ht="30" customHeight="1" x14ac:dyDescent="0.25">
      <c r="A61" s="29" t="e">
        <f>'MM CALC'!#REF!</f>
        <v>#REF!</v>
      </c>
      <c r="B61" s="29" t="e">
        <f>'MM CALC'!#REF!</f>
        <v>#REF!</v>
      </c>
      <c r="C61" s="29" t="e">
        <f>'MM CALC'!#REF!</f>
        <v>#REF!</v>
      </c>
      <c r="D61" s="342" t="e">
        <f>'MM CALC'!#REF!</f>
        <v>#REF!</v>
      </c>
      <c r="E61" s="29" t="e">
        <f>'MM CALC'!#REF!</f>
        <v>#REF!</v>
      </c>
      <c r="F61" s="381">
        <v>3.0000000000000001E-3</v>
      </c>
      <c r="G61" s="435">
        <f>K56</f>
        <v>142175.74</v>
      </c>
      <c r="H61" s="436"/>
      <c r="I61" s="30">
        <f>F61*G61</f>
        <v>426.52722</v>
      </c>
      <c r="K61" s="72"/>
      <c r="O61" s="75"/>
    </row>
    <row r="62" spans="1:15" s="354" customFormat="1" ht="19.95" customHeight="1" x14ac:dyDescent="0.25">
      <c r="A62" s="350" t="str">
        <f>'MM CALC'!A69</f>
        <v>3.2</v>
      </c>
      <c r="B62" s="350"/>
      <c r="C62" s="350"/>
      <c r="D62" s="351" t="str">
        <f>'MM CALC'!D69</f>
        <v>REMOÇÕES E DEMOLIÇÕES</v>
      </c>
      <c r="E62" s="350"/>
      <c r="F62" s="352"/>
      <c r="G62" s="353"/>
      <c r="H62" s="353"/>
      <c r="I62" s="353">
        <f>SUM(I63)</f>
        <v>4516.91</v>
      </c>
      <c r="K62" s="355"/>
      <c r="O62" s="356"/>
    </row>
    <row r="63" spans="1:15" s="31" customFormat="1" ht="30" customHeight="1" x14ac:dyDescent="0.25">
      <c r="A63" s="29" t="str">
        <f>'MM CALC'!A70</f>
        <v>3.2.1</v>
      </c>
      <c r="B63" s="29" t="str">
        <f>'MM CALC'!B70</f>
        <v>SEINFRA</v>
      </c>
      <c r="C63" s="29" t="str">
        <f>'MM CALC'!C70</f>
        <v xml:space="preserve">ED-48443 </v>
      </c>
      <c r="D63" s="44" t="str">
        <f>'MM CALC'!D70</f>
        <v>DEMOLIÇÃO MECANIZADA DE CONCRETO ARMADO, COM EQUIPAMENTO ELÉTRICO, INCLUSIVE AFASTAMENTO E EMPILHAMENTO, EXCLUSIVE TRANSPORTE E RETIRADA DO MATERIAL DEMOLIDO</v>
      </c>
      <c r="E63" s="29" t="str">
        <f>'MM CALC'!E70</f>
        <v>M3</v>
      </c>
      <c r="F63" s="68">
        <f>'MM CALC'!F70</f>
        <v>20.02</v>
      </c>
      <c r="G63" s="30">
        <v>174.25</v>
      </c>
      <c r="H63" s="291">
        <f t="shared" si="8"/>
        <v>225.62</v>
      </c>
      <c r="I63" s="30">
        <f t="shared" si="9"/>
        <v>4516.91</v>
      </c>
      <c r="K63" s="72"/>
      <c r="O63" s="75"/>
    </row>
    <row r="64" spans="1:15" s="354" customFormat="1" ht="19.95" customHeight="1" x14ac:dyDescent="0.25">
      <c r="A64" s="350" t="str">
        <f>'MM CALC'!A73</f>
        <v>3.3</v>
      </c>
      <c r="B64" s="350"/>
      <c r="C64" s="350"/>
      <c r="D64" s="351" t="str">
        <f>'MM CALC'!D73</f>
        <v>INFRAESTRUTURA E MESOESTRUTURA</v>
      </c>
      <c r="E64" s="350"/>
      <c r="F64" s="352"/>
      <c r="G64" s="353"/>
      <c r="H64" s="353"/>
      <c r="I64" s="353">
        <f>SUM(I65:I69)</f>
        <v>5915.58</v>
      </c>
      <c r="K64" s="355"/>
      <c r="O64" s="356"/>
    </row>
    <row r="65" spans="1:15" s="292" customFormat="1" ht="30" customHeight="1" x14ac:dyDescent="0.25">
      <c r="A65" s="271" t="str">
        <f>'MM CALC'!A76</f>
        <v>3.3.3</v>
      </c>
      <c r="B65" s="271" t="str">
        <f>'MM CALC'!B76</f>
        <v>SINAPI</v>
      </c>
      <c r="C65" s="271">
        <f>'MM CALC'!C76</f>
        <v>96523</v>
      </c>
      <c r="D65" s="160" t="str">
        <f>'MM CALC'!D76</f>
        <v>ESCAVAÇÃO MANUAL PARA BLOCO DE COROAMENTO OU SAPATA (INCLUINDO ESCAVAÇÃO PARA COLOCAÇÃO DE FÔRMAS). AF_01/2024</v>
      </c>
      <c r="E65" s="271" t="str">
        <f>'MM CALC'!E76</f>
        <v>M³</v>
      </c>
      <c r="F65" s="375">
        <f>'MM CALC'!F76</f>
        <v>0.88</v>
      </c>
      <c r="G65" s="291">
        <f>G30</f>
        <v>83.02</v>
      </c>
      <c r="H65" s="291">
        <f t="shared" si="8"/>
        <v>107.49</v>
      </c>
      <c r="I65" s="291">
        <f t="shared" si="9"/>
        <v>94.59</v>
      </c>
      <c r="K65" s="293"/>
      <c r="O65" s="294"/>
    </row>
    <row r="66" spans="1:15" s="292" customFormat="1" ht="30" customHeight="1" x14ac:dyDescent="0.25">
      <c r="A66" s="271" t="str">
        <f>'MM CALC'!A77</f>
        <v>3.3.4</v>
      </c>
      <c r="B66" s="271" t="str">
        <f>'MM CALC'!B77</f>
        <v>SINAPI</v>
      </c>
      <c r="C66" s="271">
        <f>'MM CALC'!C77</f>
        <v>101175</v>
      </c>
      <c r="D66" s="160" t="str">
        <f>'MM CALC'!D77</f>
        <v>ESTACA BROCA DE CONCRETO, DIÂMETRO DE 30CM, ESCAVAÇÃO MANUAL COM TRADO CONCHA, COM ARMADURA DE ARRANQUE. AF_05/2020</v>
      </c>
      <c r="E66" s="271" t="str">
        <f>'MM CALC'!E77</f>
        <v>M</v>
      </c>
      <c r="F66" s="375">
        <f>'MM CALC'!F77</f>
        <v>18</v>
      </c>
      <c r="G66" s="291">
        <f>G31</f>
        <v>111.55</v>
      </c>
      <c r="H66" s="291">
        <f t="shared" si="8"/>
        <v>144.43</v>
      </c>
      <c r="I66" s="291">
        <f t="shared" si="9"/>
        <v>2599.7399999999998</v>
      </c>
      <c r="K66" s="293"/>
      <c r="O66" s="294"/>
    </row>
    <row r="67" spans="1:15" s="292" customFormat="1" ht="30" customHeight="1" x14ac:dyDescent="0.25">
      <c r="A67" s="271" t="str">
        <f>'MM CALC'!A78</f>
        <v>3.3.5</v>
      </c>
      <c r="B67" s="271" t="str">
        <f>'MM CALC'!B78</f>
        <v>SEINFRA</v>
      </c>
      <c r="C67" s="271" t="str">
        <f>'MM CALC'!C78</f>
        <v xml:space="preserve">ED-49810 </v>
      </c>
      <c r="D67" s="160" t="str">
        <f>'MM CALC'!D78</f>
        <v>FÔRMA E DESFORMA PARA VIGA-CINTA/BLOCO COM TÁBUA E SARRAFO, REAPROVEITAMENTO (3X) (FUNDAÇÃO)</v>
      </c>
      <c r="E67" s="271" t="str">
        <f>'MM CALC'!E78</f>
        <v>M²</v>
      </c>
      <c r="F67" s="375">
        <f>'MM CALC'!F78</f>
        <v>6.4</v>
      </c>
      <c r="G67" s="291">
        <f>G33</f>
        <v>70.069999999999993</v>
      </c>
      <c r="H67" s="291">
        <f t="shared" si="8"/>
        <v>90.73</v>
      </c>
      <c r="I67" s="291">
        <f t="shared" si="9"/>
        <v>580.66999999999996</v>
      </c>
      <c r="K67" s="293"/>
      <c r="O67" s="294"/>
    </row>
    <row r="68" spans="1:15" s="292" customFormat="1" ht="30" customHeight="1" x14ac:dyDescent="0.25">
      <c r="A68" s="271" t="str">
        <f>'MM CALC'!A79</f>
        <v>3.3.6</v>
      </c>
      <c r="B68" s="271" t="str">
        <f>'MM CALC'!B79</f>
        <v>SINAPI</v>
      </c>
      <c r="C68" s="271">
        <f>'MM CALC'!C79</f>
        <v>96557</v>
      </c>
      <c r="D68" s="160" t="str">
        <f>'MM CALC'!D79</f>
        <v>CONCRETAGEM DE BLOCO DE COROAMENTO OU VIGA BALDRAME, FCK 30 MPA, COM USO DE BOMBA - LANÇAMENTO, ADENSAMENTO E ACABAMENTO. AF_01/2024</v>
      </c>
      <c r="E68" s="271" t="str">
        <f>'MM CALC'!E79</f>
        <v>M³</v>
      </c>
      <c r="F68" s="375">
        <f>'MM CALC'!F79</f>
        <v>1.1519999999999999</v>
      </c>
      <c r="G68" s="291">
        <f>G34</f>
        <v>822.94</v>
      </c>
      <c r="H68" s="291">
        <f t="shared" si="8"/>
        <v>1065.54</v>
      </c>
      <c r="I68" s="291">
        <f t="shared" si="9"/>
        <v>1227.5</v>
      </c>
      <c r="K68" s="293"/>
      <c r="O68" s="294"/>
    </row>
    <row r="69" spans="1:15" s="31" customFormat="1" ht="19.95" customHeight="1" x14ac:dyDescent="0.25">
      <c r="A69" s="29" t="str">
        <f>'MM CALC'!A80</f>
        <v>3.3.7</v>
      </c>
      <c r="B69" s="29" t="str">
        <f>'MM CALC'!B80</f>
        <v>SEINFRA</v>
      </c>
      <c r="C69" s="29" t="str">
        <f>'MM CALC'!C80</f>
        <v xml:space="preserve">ED-48295 </v>
      </c>
      <c r="D69" s="44" t="str">
        <f>'MM CALC'!D80</f>
        <v>CORTE, DOBRA E MONTAGEM DE AÇO CA-50, DIÂMETRO (6,3MM A 12,5MM), INCLUSIVE ESPAÇADOR</v>
      </c>
      <c r="E69" s="29" t="str">
        <f>'MM CALC'!E80</f>
        <v>KG</v>
      </c>
      <c r="F69" s="68">
        <f>'MM CALC'!F80</f>
        <v>80.38</v>
      </c>
      <c r="G69" s="30">
        <f>G40</f>
        <v>13.58</v>
      </c>
      <c r="H69" s="291">
        <f t="shared" si="8"/>
        <v>17.579999999999998</v>
      </c>
      <c r="I69" s="30">
        <f t="shared" si="9"/>
        <v>1413.08</v>
      </c>
      <c r="K69" s="72"/>
      <c r="O69" s="75"/>
    </row>
    <row r="70" spans="1:15" s="354" customFormat="1" ht="19.95" customHeight="1" x14ac:dyDescent="0.25">
      <c r="A70" s="350" t="str">
        <f>'MM CALC'!A81</f>
        <v>3.4</v>
      </c>
      <c r="B70" s="350"/>
      <c r="C70" s="350"/>
      <c r="D70" s="351" t="str">
        <f>'MM CALC'!D81</f>
        <v>SUPERESTRUTURA</v>
      </c>
      <c r="E70" s="350"/>
      <c r="F70" s="352"/>
      <c r="G70" s="353"/>
      <c r="H70" s="353"/>
      <c r="I70" s="353">
        <f>SUM(I71:I76)</f>
        <v>78637.33</v>
      </c>
      <c r="K70" s="355"/>
      <c r="O70" s="356"/>
    </row>
    <row r="71" spans="1:15" s="292" customFormat="1" ht="30" customHeight="1" x14ac:dyDescent="0.25">
      <c r="A71" s="271" t="str">
        <f>'MM CALC'!A82</f>
        <v>3.4.1</v>
      </c>
      <c r="B71" s="271" t="str">
        <f>'MM CALC'!B82</f>
        <v>COMP.</v>
      </c>
      <c r="C71" s="271" t="str">
        <f>'MM CALC'!C82</f>
        <v>008</v>
      </c>
      <c r="D71" s="160" t="str">
        <f>'MM CALC'!D82</f>
        <v>MONTAGEM DE ESTRUTURA EM AÇO ASTM-A36/A572 GRAU 50, SEM PINTURA (VIGAS E CHAPA DE AÇO FORNECIDAS PELA PREFEITURA MUNICIPAL)</v>
      </c>
      <c r="E71" s="271" t="str">
        <f>'MM CALC'!E82</f>
        <v>VB</v>
      </c>
      <c r="F71" s="375">
        <f>'MM CALC'!F82</f>
        <v>1</v>
      </c>
      <c r="G71" s="291">
        <f>COMPOSIÇÕES!G65</f>
        <v>10218.1378866</v>
      </c>
      <c r="H71" s="291">
        <f t="shared" ref="H71:H80" si="10">ROUND((G71*(1+$H$9)),2)</f>
        <v>13230.44</v>
      </c>
      <c r="I71" s="291">
        <f t="shared" ref="I71:I76" si="11">ROUND((F71*H71),2)</f>
        <v>13230.44</v>
      </c>
      <c r="K71" s="293"/>
      <c r="O71" s="294"/>
    </row>
    <row r="72" spans="1:15" s="31" customFormat="1" ht="19.95" customHeight="1" x14ac:dyDescent="0.25">
      <c r="A72" s="29" t="str">
        <f>'MM CALC'!A83</f>
        <v>3.4.2</v>
      </c>
      <c r="B72" s="29" t="str">
        <f>'MM CALC'!B83</f>
        <v>COMP.</v>
      </c>
      <c r="C72" s="29" t="str">
        <f>'MM CALC'!C83</f>
        <v>009</v>
      </c>
      <c r="D72" s="309" t="str">
        <f>'MM CALC'!D83</f>
        <v xml:space="preserve">LAJE MACIÇA COM FORMA STEEL DECK, FORNECIMENTO E EXECUÇÃO, INCLUSO CONCRETAGEM, FORMAS (STEEL DECK) E ARMAÇÃO </v>
      </c>
      <c r="E72" s="29" t="str">
        <f>'MM CALC'!E83</f>
        <v>M2</v>
      </c>
      <c r="F72" s="68">
        <f>'MM CALC'!F83</f>
        <v>56.64</v>
      </c>
      <c r="G72" s="30">
        <f>COMPOSIÇÕES!G71</f>
        <v>505.99576990466107</v>
      </c>
      <c r="H72" s="291">
        <f t="shared" si="10"/>
        <v>655.16</v>
      </c>
      <c r="I72" s="30">
        <f t="shared" si="11"/>
        <v>37108.26</v>
      </c>
      <c r="K72" s="72"/>
      <c r="O72" s="75"/>
    </row>
    <row r="73" spans="1:15" s="292" customFormat="1" ht="30" customHeight="1" x14ac:dyDescent="0.25">
      <c r="A73" s="271" t="str">
        <f>'MM CALC'!A84</f>
        <v>3.4.3</v>
      </c>
      <c r="B73" s="271" t="str">
        <f>'MM CALC'!B84</f>
        <v>SEINFRA</v>
      </c>
      <c r="C73" s="271" t="str">
        <f>'MM CALC'!C84</f>
        <v xml:space="preserve">ED-29091 </v>
      </c>
      <c r="D73" s="160" t="str">
        <f>'MM CALC'!D84</f>
        <v>TRANSPORTE DE VIGA OU TABULEIRO PARA PONTE (CUSTO FIXO), INCLUSIVE CARGA, EXCLUSIVE FORNECIMENTO , DESCARGA E TRANSPORTE EM QUILÔMETRO RODADO (CUSTO VARIÁVEL)</v>
      </c>
      <c r="E73" s="271" t="str">
        <f>'MM CALC'!E84</f>
        <v>UNID.</v>
      </c>
      <c r="F73" s="68">
        <f>'MM CALC'!F84</f>
        <v>3</v>
      </c>
      <c r="G73" s="291">
        <v>2335.17</v>
      </c>
      <c r="H73" s="291">
        <f t="shared" si="10"/>
        <v>3023.58</v>
      </c>
      <c r="I73" s="30">
        <f t="shared" si="11"/>
        <v>9070.74</v>
      </c>
      <c r="K73" s="293"/>
      <c r="O73" s="294"/>
    </row>
    <row r="74" spans="1:15" s="31" customFormat="1" ht="40.049999999999997" customHeight="1" x14ac:dyDescent="0.25">
      <c r="A74" s="29" t="str">
        <f>'MM CALC'!A86</f>
        <v>3.4.5</v>
      </c>
      <c r="B74" s="29" t="str">
        <f>'MM CALC'!B86</f>
        <v>SINAPI</v>
      </c>
      <c r="C74" s="29">
        <f>'MM CALC'!C86</f>
        <v>5928</v>
      </c>
      <c r="D74" s="342" t="str">
        <f>'MM CALC'!D86</f>
        <v>GUINDAUTO HIDRÁULICO, CAPACIDADE MÁXIMA DE CARGA 6200 KG, MOMENTO MÁXIMO DE CARGA 11,7 TM, ALCANCE MÁXIMO HORIZONTAL 9,70 M, INCLUSIVE CAMINHÃO TOCO PBT 16.000 KG, POTÊNCIA DE 189 CV - CHP DIURNO. AF_06/2014</v>
      </c>
      <c r="E74" s="29" t="str">
        <f>'MM CALC'!E86</f>
        <v>CHP</v>
      </c>
      <c r="F74" s="68">
        <f>'MM CALC'!F86</f>
        <v>16</v>
      </c>
      <c r="G74" s="30">
        <f>G26</f>
        <v>272.79000000000002</v>
      </c>
      <c r="H74" s="30">
        <f>H26</f>
        <v>353.21</v>
      </c>
      <c r="I74" s="30">
        <f t="shared" si="11"/>
        <v>5651.36</v>
      </c>
      <c r="K74" s="72"/>
      <c r="O74" s="75"/>
    </row>
    <row r="75" spans="1:15" s="31" customFormat="1" ht="30" customHeight="1" x14ac:dyDescent="0.25">
      <c r="A75" s="29" t="str">
        <f>'MM CALC'!A87</f>
        <v>3.4.6</v>
      </c>
      <c r="B75" s="29" t="str">
        <f>'MM CALC'!B87</f>
        <v>SINAPI</v>
      </c>
      <c r="C75" s="29">
        <f>'MM CALC'!C87</f>
        <v>89272</v>
      </c>
      <c r="D75" s="342" t="str">
        <f>'MM CALC'!D87</f>
        <v>GUINDASTE HIDRÁULICO AUTOPROPELIDO, COM LANÇA TELESCÓPICA 28,80 M, CAPACIDADE MÁXIMA 30 T, POTÊNCIA 97 KW, TRAÇÃO 4 X 4 - CHP DIURNO. AF_11/2014</v>
      </c>
      <c r="E75" s="29" t="str">
        <f>'MM CALC'!E87</f>
        <v>CHP</v>
      </c>
      <c r="F75" s="68">
        <f>'MM CALC'!F87</f>
        <v>40</v>
      </c>
      <c r="G75" s="30">
        <f>G45</f>
        <v>223.06</v>
      </c>
      <c r="H75" s="291">
        <f t="shared" si="10"/>
        <v>288.82</v>
      </c>
      <c r="I75" s="30">
        <f t="shared" si="11"/>
        <v>11552.8</v>
      </c>
      <c r="K75" s="72"/>
      <c r="O75" s="75"/>
    </row>
    <row r="76" spans="1:15" s="31" customFormat="1" ht="30" customHeight="1" x14ac:dyDescent="0.25">
      <c r="A76" s="29" t="str">
        <f>'MM CALC'!A88</f>
        <v>3.4.7</v>
      </c>
      <c r="B76" s="29" t="str">
        <f>'MM CALC'!B88</f>
        <v>SICRO</v>
      </c>
      <c r="C76" s="29">
        <f>'MM CALC'!C88</f>
        <v>307732</v>
      </c>
      <c r="D76" s="342" t="str">
        <f>'MM CALC'!D88</f>
        <v>APARELHO DE APOIO DE NEOPRENE FRETADO PARA ESTRUTURAS PRÉ-MOLDADAS - FORNECIMENTO E INSTALAÇÃO</v>
      </c>
      <c r="E76" s="29" t="str">
        <f>'MM CALC'!E88</f>
        <v xml:space="preserve"> DM3</v>
      </c>
      <c r="F76" s="68">
        <f>'MM CALC'!F88</f>
        <v>13.95</v>
      </c>
      <c r="G76" s="30">
        <f>G46</f>
        <v>112.04</v>
      </c>
      <c r="H76" s="291">
        <f t="shared" si="10"/>
        <v>145.07</v>
      </c>
      <c r="I76" s="30">
        <f t="shared" si="11"/>
        <v>2023.73</v>
      </c>
      <c r="K76" s="72"/>
      <c r="O76" s="75"/>
    </row>
    <row r="77" spans="1:15" s="354" customFormat="1" ht="19.95" customHeight="1" x14ac:dyDescent="0.25">
      <c r="A77" s="350" t="str">
        <f>'MM CALC'!A89</f>
        <v>3.5</v>
      </c>
      <c r="B77" s="350"/>
      <c r="C77" s="350"/>
      <c r="D77" s="351" t="str">
        <f>'MM CALC'!D89</f>
        <v>SERVIÇOS COMPLEMENTARES</v>
      </c>
      <c r="E77" s="350"/>
      <c r="F77" s="352"/>
      <c r="G77" s="353"/>
      <c r="H77" s="353"/>
      <c r="I77" s="353">
        <f>SUM(I78:I80)</f>
        <v>41746.740000000005</v>
      </c>
      <c r="K77" s="355"/>
      <c r="O77" s="356"/>
    </row>
    <row r="78" spans="1:15" s="31" customFormat="1" ht="40.049999999999997" customHeight="1" x14ac:dyDescent="0.25">
      <c r="A78" s="29" t="str">
        <f>'MM CALC'!A90</f>
        <v>3.5.1</v>
      </c>
      <c r="B78" s="29" t="str">
        <f>'MM CALC'!B90</f>
        <v>SINAPI</v>
      </c>
      <c r="C78" s="29">
        <f>'MM CALC'!C90</f>
        <v>99837</v>
      </c>
      <c r="D78" s="342" t="str">
        <f>'MM CALC'!D90</f>
        <v>GUARDA-CORPO DE AÇO GALVANIZADO DE 1,10M, MONTANTES TUBULARES DE 1.1/4 " ESPAÇADOS DE 1,20M, TRAVESSA SUPERIOR DE 1.1/2", GRADIL FORMADO POR TUBOS HORIZONTAIS DE 1" E VERTICAIS DE 3/4", FIXADO COM CHUMBADOR MECÂNICO. AF_04/2019_PS</v>
      </c>
      <c r="E78" s="29" t="str">
        <f>'MM CALC'!E90</f>
        <v>M</v>
      </c>
      <c r="F78" s="68">
        <f>'MM CALC'!F90</f>
        <v>33.150000000000006</v>
      </c>
      <c r="G78" s="30">
        <f>G51</f>
        <v>606.16999999999996</v>
      </c>
      <c r="H78" s="291">
        <f t="shared" si="10"/>
        <v>784.87</v>
      </c>
      <c r="I78" s="30">
        <f t="shared" ref="I78:I80" si="12">ROUND((F78*H78),2)</f>
        <v>26018.44</v>
      </c>
      <c r="K78" s="72"/>
      <c r="O78" s="75"/>
    </row>
    <row r="79" spans="1:15" s="33" customFormat="1" ht="30" customHeight="1" x14ac:dyDescent="0.25">
      <c r="A79" s="29" t="str">
        <f>'MM CALC'!A91</f>
        <v>3.5.2</v>
      </c>
      <c r="B79" s="29" t="str">
        <f>'MM CALC'!B91</f>
        <v>COMP.</v>
      </c>
      <c r="C79" s="29" t="str">
        <f>'MM CALC'!C91</f>
        <v>010</v>
      </c>
      <c r="D79" s="342" t="str">
        <f>'MM CALC'!D91</f>
        <v>ILUMINAÇÃO PONTE, INCLUSO 6 POSTES COM 2 LUMINÁRIAS DE LED PARA ILUMINAÇÃO PUBLICA DE 51W A 67W CADA, ELETRODUTO E REDE (CONFORME DETALHAMENTO)</v>
      </c>
      <c r="E79" s="29" t="str">
        <f>'MM CALC'!E91</f>
        <v>UNID.</v>
      </c>
      <c r="F79" s="68">
        <f>'MM CALC'!F91</f>
        <v>1</v>
      </c>
      <c r="G79" s="30">
        <f>COMPOSIÇÕES!G79</f>
        <v>10433.660000000002</v>
      </c>
      <c r="H79" s="291">
        <f t="shared" si="10"/>
        <v>13509.5</v>
      </c>
      <c r="I79" s="30">
        <f t="shared" si="12"/>
        <v>13509.5</v>
      </c>
      <c r="K79" s="372">
        <f>1336901.25-I84</f>
        <v>-50974.566419999814</v>
      </c>
      <c r="O79" s="373"/>
    </row>
    <row r="80" spans="1:15" s="31" customFormat="1" ht="19.95" customHeight="1" x14ac:dyDescent="0.25">
      <c r="A80" s="29" t="str">
        <f>'MM CALC'!A92</f>
        <v>3.5.3</v>
      </c>
      <c r="B80" s="29" t="str">
        <f>'MM CALC'!B92</f>
        <v>SEINFRA</v>
      </c>
      <c r="C80" s="29" t="str">
        <f>'MM CALC'!C92</f>
        <v xml:space="preserve">ED-50635 </v>
      </c>
      <c r="D80" s="44" t="str">
        <f>'MM CALC'!D92</f>
        <v>PLACA DE ALUMÍNIO FUNDIDO, DIMENSÃO (85X50)CM, PARA INAUGURAÇÃO, INCLUSIVE FIXAÇÃO</v>
      </c>
      <c r="E80" s="29" t="str">
        <f>'MM CALC'!E92</f>
        <v>UNID.</v>
      </c>
      <c r="F80" s="68">
        <f>'MM CALC'!F92</f>
        <v>1</v>
      </c>
      <c r="G80" s="30">
        <f>G55</f>
        <v>1713.62</v>
      </c>
      <c r="H80" s="291">
        <f t="shared" si="10"/>
        <v>2218.8000000000002</v>
      </c>
      <c r="I80" s="30">
        <f t="shared" si="12"/>
        <v>2218.8000000000002</v>
      </c>
      <c r="K80" s="72"/>
      <c r="O80" s="75"/>
    </row>
    <row r="81" spans="1:15" s="304" customFormat="1" ht="19.95" customHeight="1" x14ac:dyDescent="0.25">
      <c r="A81" s="368">
        <f>'MM CALC'!A8</f>
        <v>1</v>
      </c>
      <c r="B81" s="433" t="s">
        <v>336</v>
      </c>
      <c r="C81" s="433"/>
      <c r="D81" s="433"/>
      <c r="E81" s="433"/>
      <c r="F81" s="433"/>
      <c r="G81" s="433"/>
      <c r="H81" s="434"/>
      <c r="I81" s="349">
        <f>SUM(I82:I83)</f>
        <v>68222.16</v>
      </c>
      <c r="K81" s="386">
        <f>1*(I84/K83)</f>
        <v>1.0381288942769706</v>
      </c>
      <c r="O81" s="306"/>
    </row>
    <row r="82" spans="1:15" s="31" customFormat="1" ht="19.95" customHeight="1" x14ac:dyDescent="0.25">
      <c r="A82" s="29" t="str">
        <f>'MM CALC'!A9</f>
        <v>1.1.1</v>
      </c>
      <c r="B82" s="29" t="str">
        <f>'MM CALC'!B9</f>
        <v>SINAPI</v>
      </c>
      <c r="C82" s="29" t="str">
        <f>'MM CALC'!C9</f>
        <v xml:space="preserve">90779 </v>
      </c>
      <c r="D82" s="44" t="str">
        <f>'MM CALC'!D9</f>
        <v xml:space="preserve">ENGENHEIRO CIVIL DE OBRA SENIOR COM ENCARGOS COMPLEMENTARES </v>
      </c>
      <c r="E82" s="29" t="str">
        <f>'MM CALC'!E9</f>
        <v>H</v>
      </c>
      <c r="F82" s="68">
        <f>'MM CALC'!F9</f>
        <v>72</v>
      </c>
      <c r="G82" s="30">
        <v>132.63</v>
      </c>
      <c r="H82" s="291">
        <f t="shared" ref="H82:H83" si="13">ROUND((G82*(1+$H$9)),2)</f>
        <v>171.73</v>
      </c>
      <c r="I82" s="30">
        <f t="shared" ref="I82:I83" si="14">ROUND((F82*H82),2)</f>
        <v>12364.56</v>
      </c>
      <c r="K82" s="72"/>
      <c r="O82" s="75"/>
    </row>
    <row r="83" spans="1:15" s="31" customFormat="1" ht="19.95" customHeight="1" x14ac:dyDescent="0.25">
      <c r="A83" s="29" t="str">
        <f>'MM CALC'!A10</f>
        <v>1.1.2</v>
      </c>
      <c r="B83" s="29" t="str">
        <f>'MM CALC'!B10</f>
        <v>SINAPI</v>
      </c>
      <c r="C83" s="29">
        <f>'MM CALC'!C10</f>
        <v>90776</v>
      </c>
      <c r="D83" s="44" t="str">
        <f>'MM CALC'!D10</f>
        <v>ENCARREGADO GERAL COM ENCARGOS COMPLEMENTARES</v>
      </c>
      <c r="E83" s="29" t="str">
        <f>'MM CALC'!E10</f>
        <v>H</v>
      </c>
      <c r="F83" s="68">
        <f>'MM CALC'!F10</f>
        <v>864</v>
      </c>
      <c r="G83" s="30">
        <v>49.93</v>
      </c>
      <c r="H83" s="291">
        <f t="shared" si="13"/>
        <v>64.650000000000006</v>
      </c>
      <c r="I83" s="30">
        <f t="shared" si="14"/>
        <v>55857.599999999999</v>
      </c>
      <c r="K83" s="72">
        <f>1336901.25-I86</f>
        <v>1336901.25</v>
      </c>
      <c r="O83" s="75"/>
    </row>
    <row r="84" spans="1:15" s="31" customFormat="1" ht="19.95" customHeight="1" x14ac:dyDescent="0.25">
      <c r="A84" s="141"/>
      <c r="B84" s="142"/>
      <c r="C84" s="142"/>
      <c r="D84" s="136"/>
      <c r="E84" s="142"/>
      <c r="F84" s="143"/>
      <c r="G84" s="144"/>
      <c r="H84" s="145" t="s">
        <v>8</v>
      </c>
      <c r="I84" s="374">
        <f>I56+I13+I81</f>
        <v>1387875.8164199998</v>
      </c>
      <c r="K84" s="120">
        <f>K83-I84</f>
        <v>-50974.566419999814</v>
      </c>
      <c r="L84" s="33"/>
      <c r="O84" s="75"/>
    </row>
    <row r="85" spans="1:15" s="31" customFormat="1" ht="19.95" customHeight="1" x14ac:dyDescent="0.25">
      <c r="A85" s="376"/>
      <c r="B85" s="48"/>
      <c r="C85" s="48"/>
      <c r="D85" s="377"/>
      <c r="E85" s="48"/>
      <c r="F85" s="49"/>
      <c r="G85" s="378"/>
      <c r="H85" s="379"/>
      <c r="I85" s="380"/>
      <c r="K85" s="120"/>
      <c r="L85" s="33"/>
      <c r="O85" s="75"/>
    </row>
    <row r="86" spans="1:15" x14ac:dyDescent="0.25">
      <c r="A86" s="18"/>
      <c r="D86" s="38"/>
      <c r="E86" s="13"/>
      <c r="F86" s="116"/>
      <c r="G86" s="120"/>
      <c r="H86" s="120"/>
      <c r="I86" s="117"/>
      <c r="K86" s="257"/>
      <c r="L86" s="13"/>
    </row>
    <row r="87" spans="1:15" ht="15" customHeight="1" x14ac:dyDescent="0.25">
      <c r="A87" s="18"/>
      <c r="D87" s="38"/>
      <c r="E87" s="13"/>
      <c r="F87" s="116"/>
      <c r="G87" s="120"/>
      <c r="H87" s="120"/>
      <c r="I87" s="117"/>
    </row>
    <row r="88" spans="1:15" x14ac:dyDescent="0.25">
      <c r="A88" s="108"/>
      <c r="B88" s="109"/>
      <c r="C88" s="48"/>
      <c r="D88" s="48" t="s">
        <v>19</v>
      </c>
      <c r="E88" s="48"/>
      <c r="F88" s="49"/>
      <c r="G88" s="48" t="s">
        <v>104</v>
      </c>
      <c r="H88" s="140"/>
      <c r="I88" s="117"/>
    </row>
    <row r="89" spans="1:15" x14ac:dyDescent="0.25">
      <c r="A89" s="108"/>
      <c r="B89" s="109"/>
      <c r="C89" s="109"/>
      <c r="D89" s="109" t="s">
        <v>49</v>
      </c>
      <c r="E89" s="48"/>
      <c r="F89" s="418" t="str">
        <f>'MM CALC'!G95</f>
        <v xml:space="preserve">José Francisco Matos e Silva </v>
      </c>
      <c r="G89" s="418"/>
      <c r="H89" s="418"/>
      <c r="I89" s="117"/>
    </row>
    <row r="90" spans="1:15" ht="13.8" x14ac:dyDescent="0.25">
      <c r="A90" s="110"/>
      <c r="D90" s="3" t="s">
        <v>50</v>
      </c>
      <c r="E90" s="419" t="str">
        <f>'MM CALC'!G96</f>
        <v>Prefeito Municipal de Bom Jardim de Minas</v>
      </c>
      <c r="F90" s="419"/>
      <c r="G90" s="419"/>
      <c r="H90" s="419"/>
      <c r="I90" s="117"/>
    </row>
    <row r="91" spans="1:15" x14ac:dyDescent="0.25">
      <c r="A91" s="253"/>
      <c r="B91" s="16"/>
      <c r="C91" s="16"/>
      <c r="D91" s="139"/>
      <c r="E91" s="16"/>
      <c r="F91" s="254"/>
      <c r="G91" s="255"/>
      <c r="H91" s="255"/>
      <c r="I91" s="256"/>
    </row>
  </sheetData>
  <autoFilter ref="A11:O84" xr:uid="{00000000-0009-0000-0000-000000000000}"/>
  <mergeCells count="12">
    <mergeCell ref="E90:H90"/>
    <mergeCell ref="A3:I3"/>
    <mergeCell ref="E7:F7"/>
    <mergeCell ref="G7:H8"/>
    <mergeCell ref="I7:I9"/>
    <mergeCell ref="A8:D9"/>
    <mergeCell ref="B13:H13"/>
    <mergeCell ref="G21:H21"/>
    <mergeCell ref="B56:H56"/>
    <mergeCell ref="G61:H61"/>
    <mergeCell ref="B81:H81"/>
    <mergeCell ref="F89:H89"/>
  </mergeCells>
  <printOptions horizontalCentered="1"/>
  <pageMargins left="0" right="0" top="0.39370078740157483" bottom="0" header="0" footer="0"/>
  <pageSetup paperSize="9" scale="81" fitToHeight="16" orientation="landscape" r:id="rId1"/>
  <headerFooter alignWithMargins="0">
    <oddFooter>&amp;C
Página &amp;P de &amp;N</oddFooter>
  </headerFooter>
  <rowBreaks count="4" manualBreakCount="4">
    <brk id="26" max="8" man="1"/>
    <brk id="41" max="8" man="1"/>
    <brk id="55" max="8" man="1"/>
    <brk id="69" max="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09"/>
  <sheetViews>
    <sheetView showGridLines="0" view="pageBreakPreview" zoomScale="115" zoomScaleNormal="75" zoomScaleSheetLayoutView="115" workbookViewId="0">
      <pane ySplit="7" topLeftCell="A78" activePane="bottomLeft" state="frozen"/>
      <selection pane="bottomLeft" activeCell="A5" sqref="A5"/>
    </sheetView>
  </sheetViews>
  <sheetFormatPr defaultColWidth="9.109375" defaultRowHeight="13.2" x14ac:dyDescent="0.25"/>
  <cols>
    <col min="1" max="1" width="6.44140625" style="35" customWidth="1"/>
    <col min="2" max="2" width="8.88671875" style="34" customWidth="1"/>
    <col min="3" max="3" width="9" style="34" customWidth="1"/>
    <col min="4" max="4" width="55.6640625" style="11" customWidth="1"/>
    <col min="5" max="5" width="8.6640625" style="34" customWidth="1"/>
    <col min="6" max="6" width="7.88671875" style="36" bestFit="1" customWidth="1"/>
    <col min="7" max="7" width="80.5546875" style="14" customWidth="1"/>
    <col min="8" max="8" width="20.6640625" style="59" bestFit="1" customWidth="1"/>
    <col min="9" max="9" width="41.5546875" style="59" customWidth="1"/>
    <col min="10" max="10" width="18.88671875" style="14" bestFit="1" customWidth="1"/>
    <col min="11" max="16384" width="9.109375" style="14"/>
  </cols>
  <sheetData>
    <row r="1" spans="1:10" ht="19.95" customHeight="1" x14ac:dyDescent="0.25">
      <c r="A1" s="437" t="s">
        <v>26</v>
      </c>
      <c r="B1" s="437"/>
      <c r="C1" s="437"/>
      <c r="D1" s="437"/>
      <c r="E1" s="437"/>
      <c r="F1" s="437"/>
      <c r="G1" s="437"/>
    </row>
    <row r="2" spans="1:10" ht="5.0999999999999996" customHeight="1" x14ac:dyDescent="0.25">
      <c r="A2" s="125"/>
      <c r="B2" s="126"/>
      <c r="C2" s="126"/>
      <c r="D2" s="195"/>
      <c r="E2" s="126"/>
      <c r="F2" s="130"/>
      <c r="G2" s="131"/>
    </row>
    <row r="3" spans="1:10" s="156" customFormat="1" ht="19.95" customHeight="1" x14ac:dyDescent="0.25">
      <c r="A3" s="150" t="s">
        <v>127</v>
      </c>
      <c r="B3" s="153"/>
      <c r="C3" s="151"/>
      <c r="D3" s="152"/>
      <c r="E3" s="153" t="s">
        <v>426</v>
      </c>
      <c r="F3" s="154"/>
      <c r="G3" s="155"/>
      <c r="H3" s="54"/>
      <c r="I3" s="54"/>
    </row>
    <row r="4" spans="1:10" s="156" customFormat="1" ht="19.95" customHeight="1" x14ac:dyDescent="0.25">
      <c r="A4" s="150" t="s">
        <v>341</v>
      </c>
      <c r="B4" s="153"/>
      <c r="C4" s="151"/>
      <c r="D4" s="152"/>
      <c r="E4" s="151"/>
      <c r="F4" s="154"/>
      <c r="G4" s="155"/>
      <c r="H4" s="54"/>
      <c r="I4" s="260"/>
    </row>
    <row r="5" spans="1:10" s="156" customFormat="1" ht="19.95" customHeight="1" x14ac:dyDescent="0.25">
      <c r="A5" s="150" t="s">
        <v>337</v>
      </c>
      <c r="B5" s="153"/>
      <c r="C5" s="151"/>
      <c r="D5" s="152"/>
      <c r="E5" s="151"/>
      <c r="F5" s="157"/>
      <c r="G5" s="155"/>
      <c r="H5" s="54"/>
      <c r="I5" s="54"/>
    </row>
    <row r="6" spans="1:10" ht="5.0999999999999996" customHeight="1" x14ac:dyDescent="0.25">
      <c r="A6" s="132"/>
      <c r="B6" s="199"/>
      <c r="C6" s="133"/>
      <c r="D6" s="195"/>
      <c r="E6" s="133"/>
      <c r="F6" s="130"/>
      <c r="G6" s="131"/>
    </row>
    <row r="7" spans="1:10" s="34" customFormat="1" ht="26.4" x14ac:dyDescent="0.25">
      <c r="A7" s="197" t="s">
        <v>0</v>
      </c>
      <c r="B7" s="274" t="s">
        <v>9</v>
      </c>
      <c r="C7" s="274" t="s">
        <v>2</v>
      </c>
      <c r="D7" s="274" t="s">
        <v>1</v>
      </c>
      <c r="E7" s="274" t="s">
        <v>6</v>
      </c>
      <c r="F7" s="5" t="s">
        <v>7</v>
      </c>
      <c r="G7" s="274" t="s">
        <v>15</v>
      </c>
      <c r="H7" s="58" t="s">
        <v>108</v>
      </c>
      <c r="I7" s="264" t="s">
        <v>109</v>
      </c>
      <c r="J7" s="273" t="s">
        <v>110</v>
      </c>
    </row>
    <row r="8" spans="1:10" s="42" customFormat="1" ht="20.399999999999999" customHeight="1" x14ac:dyDescent="0.25">
      <c r="A8" s="358">
        <v>1</v>
      </c>
      <c r="B8" s="7" t="s">
        <v>322</v>
      </c>
      <c r="C8" s="7"/>
      <c r="D8" s="7"/>
      <c r="E8" s="7"/>
      <c r="F8" s="7"/>
      <c r="G8" s="243"/>
      <c r="H8" s="277"/>
      <c r="I8" s="266"/>
      <c r="J8" s="272"/>
    </row>
    <row r="9" spans="1:10" s="313" customFormat="1" ht="30" customHeight="1" x14ac:dyDescent="0.25">
      <c r="A9" s="311" t="s">
        <v>285</v>
      </c>
      <c r="B9" s="162" t="s">
        <v>112</v>
      </c>
      <c r="C9" s="271" t="s">
        <v>331</v>
      </c>
      <c r="D9" s="160" t="s">
        <v>332</v>
      </c>
      <c r="E9" s="161" t="s">
        <v>35</v>
      </c>
      <c r="F9" s="159">
        <f>2*4*9</f>
        <v>72</v>
      </c>
      <c r="G9" s="160" t="s">
        <v>333</v>
      </c>
      <c r="H9" s="312"/>
      <c r="I9" s="160"/>
      <c r="J9" s="158"/>
    </row>
    <row r="10" spans="1:10" s="313" customFormat="1" ht="30" customHeight="1" x14ac:dyDescent="0.25">
      <c r="A10" s="311" t="s">
        <v>286</v>
      </c>
      <c r="B10" s="162" t="s">
        <v>112</v>
      </c>
      <c r="C10" s="271">
        <v>90776</v>
      </c>
      <c r="D10" s="160" t="s">
        <v>335</v>
      </c>
      <c r="E10" s="161" t="s">
        <v>35</v>
      </c>
      <c r="F10" s="159">
        <f>24*4*9</f>
        <v>864</v>
      </c>
      <c r="G10" s="160" t="s">
        <v>386</v>
      </c>
      <c r="H10" s="312"/>
      <c r="I10" s="160"/>
      <c r="J10" s="158"/>
    </row>
    <row r="11" spans="1:10" s="42" customFormat="1" ht="36" customHeight="1" x14ac:dyDescent="0.25">
      <c r="A11" s="134" t="s">
        <v>287</v>
      </c>
      <c r="B11" s="43" t="s">
        <v>21</v>
      </c>
      <c r="C11" s="29" t="s">
        <v>324</v>
      </c>
      <c r="D11" s="44" t="s">
        <v>327</v>
      </c>
      <c r="E11" s="28" t="s">
        <v>325</v>
      </c>
      <c r="F11" s="129">
        <v>0.3</v>
      </c>
      <c r="G11" s="160" t="s">
        <v>326</v>
      </c>
      <c r="H11" s="277"/>
      <c r="I11" s="266"/>
      <c r="J11" s="272"/>
    </row>
    <row r="12" spans="1:10" s="42" customFormat="1" ht="5.0999999999999996" customHeight="1" x14ac:dyDescent="0.25">
      <c r="A12" s="134"/>
      <c r="B12" s="394"/>
      <c r="C12" s="135"/>
      <c r="D12" s="136"/>
      <c r="E12" s="135"/>
      <c r="F12" s="137"/>
      <c r="G12" s="138"/>
      <c r="H12" s="276"/>
      <c r="I12" s="265"/>
    </row>
    <row r="13" spans="1:10" s="42" customFormat="1" ht="20.399999999999999" customHeight="1" x14ac:dyDescent="0.25">
      <c r="A13" s="358">
        <v>2</v>
      </c>
      <c r="B13" s="7" t="s">
        <v>424</v>
      </c>
      <c r="C13" s="7"/>
      <c r="D13" s="7"/>
      <c r="E13" s="7"/>
      <c r="F13" s="7"/>
      <c r="G13" s="243"/>
      <c r="H13" s="277"/>
      <c r="I13" s="266"/>
      <c r="J13" s="272"/>
    </row>
    <row r="14" spans="1:10" s="47" customFormat="1" ht="15" customHeight="1" x14ac:dyDescent="0.25">
      <c r="A14" s="198" t="s">
        <v>11</v>
      </c>
      <c r="B14" s="46"/>
      <c r="C14" s="41"/>
      <c r="D14" s="45" t="s">
        <v>24</v>
      </c>
      <c r="E14" s="41"/>
      <c r="F14" s="32"/>
      <c r="G14" s="107" t="s">
        <v>20</v>
      </c>
      <c r="H14" s="276"/>
      <c r="I14" s="265"/>
      <c r="J14" s="107"/>
    </row>
    <row r="15" spans="1:10" s="42" customFormat="1" ht="56.4" customHeight="1" x14ac:dyDescent="0.25">
      <c r="A15" s="134" t="s">
        <v>288</v>
      </c>
      <c r="B15" s="43" t="s">
        <v>21</v>
      </c>
      <c r="C15" s="28" t="s">
        <v>128</v>
      </c>
      <c r="D15" s="44" t="s">
        <v>129</v>
      </c>
      <c r="E15" s="28" t="s">
        <v>64</v>
      </c>
      <c r="F15" s="128">
        <v>1</v>
      </c>
      <c r="G15" s="158" t="s">
        <v>48</v>
      </c>
      <c r="H15" s="277"/>
      <c r="I15" s="265"/>
      <c r="J15" s="272"/>
    </row>
    <row r="16" spans="1:10" s="42" customFormat="1" ht="40.799999999999997" customHeight="1" x14ac:dyDescent="0.25">
      <c r="A16" s="134" t="s">
        <v>289</v>
      </c>
      <c r="B16" s="43" t="s">
        <v>21</v>
      </c>
      <c r="C16" s="28" t="s">
        <v>130</v>
      </c>
      <c r="D16" s="44" t="s">
        <v>131</v>
      </c>
      <c r="E16" s="28" t="s">
        <v>65</v>
      </c>
      <c r="F16" s="129">
        <v>1</v>
      </c>
      <c r="G16" s="160" t="s">
        <v>132</v>
      </c>
      <c r="H16" s="277" t="s">
        <v>82</v>
      </c>
      <c r="I16" s="266" t="s">
        <v>111</v>
      </c>
      <c r="J16" s="272"/>
    </row>
    <row r="17" spans="1:10" s="42" customFormat="1" ht="19.95" customHeight="1" x14ac:dyDescent="0.25">
      <c r="A17" s="134" t="s">
        <v>328</v>
      </c>
      <c r="B17" s="29" t="s">
        <v>217</v>
      </c>
      <c r="C17" s="341" t="s">
        <v>69</v>
      </c>
      <c r="D17" s="342" t="str">
        <f>COMPOSIÇÕES!C8</f>
        <v>ENTRADA DE ENERGIA PARA PONTE</v>
      </c>
      <c r="E17" s="28" t="s">
        <v>65</v>
      </c>
      <c r="F17" s="129">
        <v>1</v>
      </c>
      <c r="G17" s="160" t="s">
        <v>132</v>
      </c>
      <c r="H17" s="277"/>
      <c r="I17" s="266"/>
      <c r="J17" s="272"/>
    </row>
    <row r="18" spans="1:10" s="42" customFormat="1" ht="48.6" customHeight="1" x14ac:dyDescent="0.25">
      <c r="A18" s="134" t="s">
        <v>329</v>
      </c>
      <c r="B18" s="43" t="s">
        <v>21</v>
      </c>
      <c r="C18" s="29" t="s">
        <v>153</v>
      </c>
      <c r="D18" s="44" t="s">
        <v>154</v>
      </c>
      <c r="E18" s="28" t="s">
        <v>65</v>
      </c>
      <c r="F18" s="129">
        <v>1</v>
      </c>
      <c r="G18" s="160" t="s">
        <v>132</v>
      </c>
      <c r="H18" s="277"/>
      <c r="I18" s="266"/>
      <c r="J18" s="272"/>
    </row>
    <row r="19" spans="1:10" s="42" customFormat="1" ht="36" customHeight="1" x14ac:dyDescent="0.25">
      <c r="A19" s="134" t="s">
        <v>345</v>
      </c>
      <c r="B19" s="43" t="s">
        <v>21</v>
      </c>
      <c r="C19" s="29" t="s">
        <v>155</v>
      </c>
      <c r="D19" s="44" t="s">
        <v>156</v>
      </c>
      <c r="E19" s="28" t="s">
        <v>64</v>
      </c>
      <c r="F19" s="129">
        <f>2*((8*16)-(7.25-4))</f>
        <v>249.5</v>
      </c>
      <c r="G19" s="160" t="s">
        <v>158</v>
      </c>
      <c r="H19" s="277"/>
      <c r="I19" s="266"/>
      <c r="J19" s="272"/>
    </row>
    <row r="20" spans="1:10" s="42" customFormat="1" ht="48" customHeight="1" x14ac:dyDescent="0.25">
      <c r="A20" s="134" t="s">
        <v>346</v>
      </c>
      <c r="B20" s="43" t="s">
        <v>21</v>
      </c>
      <c r="C20" s="29" t="s">
        <v>163</v>
      </c>
      <c r="D20" s="44" t="s">
        <v>164</v>
      </c>
      <c r="E20" s="28" t="s">
        <v>64</v>
      </c>
      <c r="F20" s="129">
        <f>(10.4+9.85+(1*4))*2.2</f>
        <v>53.35</v>
      </c>
      <c r="G20" s="160" t="s">
        <v>259</v>
      </c>
      <c r="H20" s="277"/>
      <c r="I20" s="266"/>
      <c r="J20" s="272"/>
    </row>
    <row r="21" spans="1:10" s="42" customFormat="1" ht="48" customHeight="1" x14ac:dyDescent="0.25">
      <c r="A21" s="134" t="s">
        <v>400</v>
      </c>
      <c r="B21" s="43" t="s">
        <v>21</v>
      </c>
      <c r="C21" s="29" t="s">
        <v>401</v>
      </c>
      <c r="D21" s="44" t="s">
        <v>402</v>
      </c>
      <c r="E21" s="28" t="s">
        <v>64</v>
      </c>
      <c r="F21" s="129">
        <f>1.5*2.2</f>
        <v>3.3000000000000003</v>
      </c>
      <c r="G21" s="160" t="s">
        <v>403</v>
      </c>
      <c r="H21" s="395"/>
      <c r="I21" s="396"/>
    </row>
    <row r="23" spans="1:10" s="47" customFormat="1" ht="15" customHeight="1" x14ac:dyDescent="0.25">
      <c r="A23" s="198" t="s">
        <v>161</v>
      </c>
      <c r="B23" s="46"/>
      <c r="C23" s="41"/>
      <c r="D23" s="45" t="s">
        <v>44</v>
      </c>
      <c r="E23" s="41"/>
      <c r="F23" s="32"/>
      <c r="G23" s="107"/>
      <c r="H23" s="276"/>
      <c r="I23" s="265"/>
      <c r="J23" s="107"/>
    </row>
    <row r="24" spans="1:10" s="313" customFormat="1" ht="36" customHeight="1" x14ac:dyDescent="0.25">
      <c r="A24" s="311" t="s">
        <v>290</v>
      </c>
      <c r="B24" s="43" t="s">
        <v>21</v>
      </c>
      <c r="C24" s="271" t="s">
        <v>412</v>
      </c>
      <c r="D24" s="160" t="s">
        <v>413</v>
      </c>
      <c r="E24" s="161" t="s">
        <v>39</v>
      </c>
      <c r="F24" s="159">
        <f>112.79*0.15</f>
        <v>16.918500000000002</v>
      </c>
      <c r="G24" s="160" t="s">
        <v>275</v>
      </c>
      <c r="H24" s="312"/>
      <c r="I24" s="160"/>
      <c r="J24" s="158"/>
    </row>
    <row r="25" spans="1:10" s="313" customFormat="1" ht="36" customHeight="1" x14ac:dyDescent="0.25">
      <c r="A25" s="311" t="s">
        <v>347</v>
      </c>
      <c r="B25" s="162" t="s">
        <v>112</v>
      </c>
      <c r="C25" s="271">
        <v>104789</v>
      </c>
      <c r="D25" s="160" t="s">
        <v>168</v>
      </c>
      <c r="E25" s="161" t="s">
        <v>39</v>
      </c>
      <c r="F25" s="159">
        <f>(8.78+7.28+12.15)*0.05</f>
        <v>1.4105000000000001</v>
      </c>
      <c r="G25" s="160" t="s">
        <v>276</v>
      </c>
      <c r="H25" s="312"/>
      <c r="I25" s="160"/>
      <c r="J25" s="158"/>
    </row>
    <row r="26" spans="1:10" s="313" customFormat="1" ht="36" customHeight="1" x14ac:dyDescent="0.25">
      <c r="A26" s="311" t="s">
        <v>348</v>
      </c>
      <c r="B26" s="29" t="s">
        <v>21</v>
      </c>
      <c r="C26" s="271" t="s">
        <v>388</v>
      </c>
      <c r="D26" s="160" t="s">
        <v>389</v>
      </c>
      <c r="E26" s="161" t="s">
        <v>39</v>
      </c>
      <c r="F26" s="159">
        <f>(F25+F24)*1.3</f>
        <v>23.8277</v>
      </c>
      <c r="G26" s="160" t="s">
        <v>404</v>
      </c>
      <c r="H26" s="312"/>
      <c r="I26" s="160"/>
      <c r="J26" s="158"/>
    </row>
    <row r="27" spans="1:10" s="313" customFormat="1" ht="36" customHeight="1" x14ac:dyDescent="0.25">
      <c r="A27" s="311" t="s">
        <v>349</v>
      </c>
      <c r="B27" s="29" t="s">
        <v>21</v>
      </c>
      <c r="C27" s="271" t="s">
        <v>405</v>
      </c>
      <c r="D27" s="160" t="s">
        <v>406</v>
      </c>
      <c r="E27" s="161" t="s">
        <v>39</v>
      </c>
      <c r="F27" s="159">
        <f>F26</f>
        <v>23.8277</v>
      </c>
      <c r="G27" s="160" t="s">
        <v>404</v>
      </c>
      <c r="H27" s="312"/>
      <c r="I27" s="160"/>
      <c r="J27" s="158"/>
    </row>
    <row r="28" spans="1:10" s="313" customFormat="1" ht="36" customHeight="1" x14ac:dyDescent="0.25">
      <c r="A28" s="311" t="s">
        <v>390</v>
      </c>
      <c r="B28" s="29" t="s">
        <v>217</v>
      </c>
      <c r="C28" s="271" t="s">
        <v>197</v>
      </c>
      <c r="D28" s="160" t="str">
        <f>COMPOSIÇÕES!C16</f>
        <v>REMOÇÃO DE PISO DE BLOCO INTERTRAVADO  DE FORMA MANUAL, SEM REAPROVEITAMENTO.</v>
      </c>
      <c r="E28" s="161" t="s">
        <v>64</v>
      </c>
      <c r="F28" s="159">
        <f>43.42 + 36.12</f>
        <v>79.539999999999992</v>
      </c>
      <c r="G28" s="160" t="s">
        <v>277</v>
      </c>
      <c r="H28" s="312"/>
      <c r="I28" s="160"/>
      <c r="J28" s="158"/>
    </row>
    <row r="29" spans="1:10" s="42" customFormat="1" ht="45" customHeight="1" x14ac:dyDescent="0.25">
      <c r="A29" s="311" t="s">
        <v>407</v>
      </c>
      <c r="B29" s="43" t="s">
        <v>112</v>
      </c>
      <c r="C29" s="29">
        <v>5928</v>
      </c>
      <c r="D29" s="44" t="s">
        <v>165</v>
      </c>
      <c r="E29" s="28" t="s">
        <v>136</v>
      </c>
      <c r="F29" s="129">
        <v>16</v>
      </c>
      <c r="G29" s="160" t="s">
        <v>342</v>
      </c>
      <c r="H29" s="277"/>
      <c r="I29" s="266"/>
      <c r="J29" s="272"/>
    </row>
    <row r="30" spans="1:10" s="47" customFormat="1" ht="15" customHeight="1" x14ac:dyDescent="0.25">
      <c r="A30" s="198" t="s">
        <v>162</v>
      </c>
      <c r="B30" s="46"/>
      <c r="C30" s="41"/>
      <c r="D30" s="45" t="s">
        <v>167</v>
      </c>
      <c r="E30" s="41"/>
      <c r="F30" s="32"/>
      <c r="G30" s="107"/>
      <c r="H30" s="138"/>
      <c r="I30" s="272"/>
      <c r="J30" s="107"/>
    </row>
    <row r="31" spans="1:10" s="308" customFormat="1" ht="19.95" customHeight="1" x14ac:dyDescent="0.25">
      <c r="A31" s="134" t="s">
        <v>291</v>
      </c>
      <c r="B31" s="29" t="s">
        <v>21</v>
      </c>
      <c r="C31" s="29" t="s">
        <v>171</v>
      </c>
      <c r="D31" s="44" t="s">
        <v>170</v>
      </c>
      <c r="E31" s="29" t="s">
        <v>64</v>
      </c>
      <c r="F31" s="129">
        <f>2*4*1.5</f>
        <v>12</v>
      </c>
      <c r="G31" s="160" t="s">
        <v>343</v>
      </c>
      <c r="H31" s="276"/>
      <c r="I31" s="265"/>
      <c r="J31" s="307"/>
    </row>
    <row r="32" spans="1:10" s="308" customFormat="1" ht="19.95" customHeight="1" x14ac:dyDescent="0.25">
      <c r="A32" s="134" t="s">
        <v>292</v>
      </c>
      <c r="B32" s="271" t="s">
        <v>160</v>
      </c>
      <c r="C32" s="271">
        <v>2003864</v>
      </c>
      <c r="D32" s="160" t="s">
        <v>169</v>
      </c>
      <c r="E32" s="271" t="s">
        <v>35</v>
      </c>
      <c r="F32" s="129">
        <f>5*3*8</f>
        <v>120</v>
      </c>
      <c r="G32" s="160" t="s">
        <v>184</v>
      </c>
      <c r="H32" s="276"/>
      <c r="I32" s="265"/>
      <c r="J32" s="307"/>
    </row>
    <row r="33" spans="1:10" s="42" customFormat="1" ht="36" customHeight="1" x14ac:dyDescent="0.25">
      <c r="A33" s="134" t="s">
        <v>293</v>
      </c>
      <c r="B33" s="43" t="s">
        <v>112</v>
      </c>
      <c r="C33" s="29">
        <v>96523</v>
      </c>
      <c r="D33" s="44" t="s">
        <v>172</v>
      </c>
      <c r="E33" s="28" t="s">
        <v>39</v>
      </c>
      <c r="F33" s="129">
        <f>77.44+85.14</f>
        <v>162.57999999999998</v>
      </c>
      <c r="G33" s="160" t="s">
        <v>185</v>
      </c>
      <c r="H33" s="277"/>
      <c r="I33" s="266"/>
      <c r="J33" s="272"/>
    </row>
    <row r="34" spans="1:10" s="42" customFormat="1" ht="36" customHeight="1" x14ac:dyDescent="0.25">
      <c r="A34" s="134" t="s">
        <v>294</v>
      </c>
      <c r="B34" s="43" t="s">
        <v>112</v>
      </c>
      <c r="C34" s="29">
        <v>101175</v>
      </c>
      <c r="D34" s="44" t="s">
        <v>177</v>
      </c>
      <c r="E34" s="28" t="s">
        <v>56</v>
      </c>
      <c r="F34" s="129">
        <f>4*3*5</f>
        <v>60</v>
      </c>
      <c r="G34" s="160" t="s">
        <v>186</v>
      </c>
      <c r="H34" s="277"/>
      <c r="I34" s="266"/>
      <c r="J34" s="272"/>
    </row>
    <row r="35" spans="1:10" s="313" customFormat="1" ht="36" customHeight="1" x14ac:dyDescent="0.25">
      <c r="A35" s="134" t="s">
        <v>295</v>
      </c>
      <c r="B35" s="162" t="s">
        <v>21</v>
      </c>
      <c r="C35" s="271" t="s">
        <v>173</v>
      </c>
      <c r="D35" s="160" t="s">
        <v>174</v>
      </c>
      <c r="E35" s="161" t="s">
        <v>39</v>
      </c>
      <c r="F35" s="159">
        <f>((3.4*3.4*2)+(3*1.8*2)+(9.52+10.62+10.14+12.29))*0.05</f>
        <v>3.8245000000000005</v>
      </c>
      <c r="G35" s="160" t="s">
        <v>188</v>
      </c>
      <c r="H35" s="312"/>
      <c r="I35" s="160"/>
      <c r="J35" s="158"/>
    </row>
    <row r="36" spans="1:10" s="313" customFormat="1" ht="36" customHeight="1" x14ac:dyDescent="0.25">
      <c r="A36" s="134" t="s">
        <v>350</v>
      </c>
      <c r="B36" s="162" t="s">
        <v>21</v>
      </c>
      <c r="C36" s="271" t="s">
        <v>175</v>
      </c>
      <c r="D36" s="160" t="s">
        <v>176</v>
      </c>
      <c r="E36" s="161" t="s">
        <v>64</v>
      </c>
      <c r="F36" s="159">
        <f>(6.8*2)+(4.8*2)+(2.4*2)</f>
        <v>28</v>
      </c>
      <c r="G36" s="160" t="s">
        <v>278</v>
      </c>
      <c r="H36" s="312"/>
      <c r="I36" s="160"/>
      <c r="J36" s="158"/>
    </row>
    <row r="37" spans="1:10" s="313" customFormat="1" ht="36" customHeight="1" x14ac:dyDescent="0.25">
      <c r="A37" s="134" t="s">
        <v>351</v>
      </c>
      <c r="B37" s="162" t="s">
        <v>112</v>
      </c>
      <c r="C37" s="271">
        <v>96557</v>
      </c>
      <c r="D37" s="160" t="s">
        <v>178</v>
      </c>
      <c r="E37" s="271" t="s">
        <v>39</v>
      </c>
      <c r="F37" s="159">
        <f>(5.78*2)+(2.7*2)+(0.2*2)</f>
        <v>17.36</v>
      </c>
      <c r="G37" s="160" t="s">
        <v>279</v>
      </c>
      <c r="H37" s="312"/>
      <c r="I37" s="160"/>
      <c r="J37" s="158"/>
    </row>
    <row r="38" spans="1:10" s="313" customFormat="1" ht="62.4" customHeight="1" x14ac:dyDescent="0.25">
      <c r="A38" s="134" t="s">
        <v>352</v>
      </c>
      <c r="B38" s="162" t="s">
        <v>21</v>
      </c>
      <c r="C38" s="271" t="s">
        <v>179</v>
      </c>
      <c r="D38" s="160" t="s">
        <v>180</v>
      </c>
      <c r="E38" s="161" t="s">
        <v>64</v>
      </c>
      <c r="F38" s="159">
        <v>202.99</v>
      </c>
      <c r="G38" s="160" t="s">
        <v>280</v>
      </c>
      <c r="H38" s="312"/>
      <c r="I38" s="160"/>
      <c r="J38" s="158"/>
    </row>
    <row r="39" spans="1:10" s="313" customFormat="1" ht="36" customHeight="1" x14ac:dyDescent="0.25">
      <c r="A39" s="134" t="s">
        <v>353</v>
      </c>
      <c r="B39" s="162" t="s">
        <v>112</v>
      </c>
      <c r="C39" s="271">
        <v>100349</v>
      </c>
      <c r="D39" s="160" t="s">
        <v>183</v>
      </c>
      <c r="E39" s="161" t="s">
        <v>39</v>
      </c>
      <c r="F39" s="159">
        <v>53.49</v>
      </c>
      <c r="G39" s="160" t="s">
        <v>281</v>
      </c>
      <c r="H39" s="312"/>
      <c r="I39" s="160"/>
      <c r="J39" s="158"/>
    </row>
    <row r="40" spans="1:10" s="313" customFormat="1" ht="36" customHeight="1" x14ac:dyDescent="0.25">
      <c r="A40" s="134" t="s">
        <v>354</v>
      </c>
      <c r="B40" s="162" t="s">
        <v>112</v>
      </c>
      <c r="C40" s="271">
        <v>92417</v>
      </c>
      <c r="D40" s="160" t="s">
        <v>181</v>
      </c>
      <c r="E40" s="161" t="s">
        <v>64</v>
      </c>
      <c r="F40" s="159">
        <f>16.8*6</f>
        <v>100.80000000000001</v>
      </c>
      <c r="G40" s="160" t="s">
        <v>282</v>
      </c>
      <c r="H40" s="312"/>
      <c r="I40" s="160"/>
      <c r="J40" s="158"/>
    </row>
    <row r="41" spans="1:10" s="313" customFormat="1" ht="36" customHeight="1" x14ac:dyDescent="0.25">
      <c r="A41" s="134" t="s">
        <v>355</v>
      </c>
      <c r="B41" s="162" t="s">
        <v>112</v>
      </c>
      <c r="C41" s="271">
        <v>103672</v>
      </c>
      <c r="D41" s="160" t="s">
        <v>182</v>
      </c>
      <c r="E41" s="161" t="s">
        <v>39</v>
      </c>
      <c r="F41" s="159">
        <f>2.52*6</f>
        <v>15.120000000000001</v>
      </c>
      <c r="G41" s="160" t="s">
        <v>283</v>
      </c>
      <c r="H41" s="312"/>
      <c r="I41" s="160"/>
      <c r="J41" s="158"/>
    </row>
    <row r="42" spans="1:10" s="42" customFormat="1" ht="36" customHeight="1" x14ac:dyDescent="0.25">
      <c r="A42" s="134" t="s">
        <v>356</v>
      </c>
      <c r="B42" s="43" t="s">
        <v>21</v>
      </c>
      <c r="C42" s="29" t="s">
        <v>262</v>
      </c>
      <c r="D42" s="44" t="s">
        <v>263</v>
      </c>
      <c r="E42" s="28" t="s">
        <v>124</v>
      </c>
      <c r="F42" s="129">
        <v>1905.9</v>
      </c>
      <c r="G42" s="44" t="s">
        <v>266</v>
      </c>
      <c r="H42" s="357"/>
      <c r="I42" s="44"/>
      <c r="J42" s="272"/>
    </row>
    <row r="43" spans="1:10" s="42" customFormat="1" ht="36" customHeight="1" x14ac:dyDescent="0.25">
      <c r="A43" s="134" t="s">
        <v>357</v>
      </c>
      <c r="B43" s="43" t="s">
        <v>21</v>
      </c>
      <c r="C43" s="29" t="s">
        <v>264</v>
      </c>
      <c r="D43" s="44" t="s">
        <v>265</v>
      </c>
      <c r="E43" s="28" t="s">
        <v>124</v>
      </c>
      <c r="F43" s="129">
        <f>180 + 841.5 + 717.9 + 1362.4</f>
        <v>3101.8</v>
      </c>
      <c r="G43" s="44" t="s">
        <v>267</v>
      </c>
      <c r="H43" s="357"/>
      <c r="I43" s="44"/>
      <c r="J43" s="272"/>
    </row>
    <row r="44" spans="1:10" s="313" customFormat="1" ht="36" customHeight="1" x14ac:dyDescent="0.25">
      <c r="A44" s="134" t="s">
        <v>358</v>
      </c>
      <c r="B44" s="162" t="s">
        <v>112</v>
      </c>
      <c r="C44" s="271">
        <v>104737</v>
      </c>
      <c r="D44" s="160" t="s">
        <v>187</v>
      </c>
      <c r="E44" s="161" t="s">
        <v>39</v>
      </c>
      <c r="F44" s="159">
        <f>F33-((F37+((F41/7)*1))+((F39/2.5)*1.5))</f>
        <v>110.96599999999998</v>
      </c>
      <c r="G44" s="160" t="s">
        <v>189</v>
      </c>
      <c r="H44" s="312"/>
      <c r="I44" s="160"/>
      <c r="J44" s="158"/>
    </row>
    <row r="45" spans="1:10" s="47" customFormat="1" ht="15" customHeight="1" x14ac:dyDescent="0.25">
      <c r="A45" s="198" t="s">
        <v>166</v>
      </c>
      <c r="B45" s="46"/>
      <c r="C45" s="41"/>
      <c r="D45" s="45" t="str">
        <f>'PLAN ORÇ'!D48</f>
        <v>SUPERESTRUTURA</v>
      </c>
      <c r="E45" s="41"/>
      <c r="F45" s="32"/>
      <c r="G45" s="107"/>
      <c r="H45" s="138"/>
      <c r="I45" s="272"/>
      <c r="J45" s="107"/>
    </row>
    <row r="46" spans="1:10" s="313" customFormat="1" ht="36" customHeight="1" x14ac:dyDescent="0.25">
      <c r="A46" s="29" t="s">
        <v>296</v>
      </c>
      <c r="B46" s="29" t="s">
        <v>217</v>
      </c>
      <c r="C46" s="341" t="s">
        <v>234</v>
      </c>
      <c r="D46" s="342" t="str">
        <f>COMPOSIÇÕES!C22</f>
        <v>FORNECIMENTO E MONTAGEM DE ESTRUTURA EM AÇO ASTM-A36/A572 GRAU 50, SEM PINTURA</v>
      </c>
      <c r="E46" s="29" t="s">
        <v>208</v>
      </c>
      <c r="F46" s="159">
        <v>1</v>
      </c>
      <c r="G46" s="160" t="s">
        <v>219</v>
      </c>
      <c r="H46" s="312"/>
      <c r="I46" s="160"/>
      <c r="J46" s="158"/>
    </row>
    <row r="47" spans="1:10" s="313" customFormat="1" ht="40.049999999999997" customHeight="1" x14ac:dyDescent="0.25">
      <c r="A47" s="29" t="s">
        <v>302</v>
      </c>
      <c r="B47" s="29" t="s">
        <v>21</v>
      </c>
      <c r="C47" s="29" t="s">
        <v>319</v>
      </c>
      <c r="D47" s="44" t="s">
        <v>320</v>
      </c>
      <c r="E47" s="29" t="s">
        <v>65</v>
      </c>
      <c r="F47" s="159">
        <v>12</v>
      </c>
      <c r="G47" s="160" t="s">
        <v>422</v>
      </c>
      <c r="H47" s="312"/>
      <c r="I47" s="160"/>
      <c r="J47" s="158"/>
    </row>
    <row r="48" spans="1:10" s="313" customFormat="1" ht="40.049999999999997" customHeight="1" x14ac:dyDescent="0.25">
      <c r="A48" s="29" t="s">
        <v>303</v>
      </c>
      <c r="B48" s="29" t="s">
        <v>21</v>
      </c>
      <c r="C48" s="29" t="s">
        <v>397</v>
      </c>
      <c r="D48" s="44" t="s">
        <v>398</v>
      </c>
      <c r="E48" s="29" t="s">
        <v>65</v>
      </c>
      <c r="F48" s="159">
        <f>6+6</f>
        <v>12</v>
      </c>
      <c r="G48" s="160" t="s">
        <v>422</v>
      </c>
      <c r="H48" s="312"/>
      <c r="I48" s="160"/>
      <c r="J48" s="158"/>
    </row>
    <row r="49" spans="1:10" s="313" customFormat="1" ht="36" customHeight="1" x14ac:dyDescent="0.25">
      <c r="A49" s="29" t="s">
        <v>305</v>
      </c>
      <c r="B49" s="29" t="s">
        <v>217</v>
      </c>
      <c r="C49" s="341" t="s">
        <v>238</v>
      </c>
      <c r="D49" s="342" t="str">
        <f>COMPOSIÇÕES!C29</f>
        <v xml:space="preserve">LAJE MACIÇA COM FORMA STEEL DECK, FORNECIMENTO E EXECUÇÃO, INCLUSO CONCRETAGEM, FORMAS (STEEL DECK) E ARMAÇÃO </v>
      </c>
      <c r="E49" s="29" t="s">
        <v>64</v>
      </c>
      <c r="F49" s="159">
        <f>10.4*24.9</f>
        <v>258.95999999999998</v>
      </c>
      <c r="G49" s="160" t="s">
        <v>218</v>
      </c>
      <c r="H49" s="312"/>
      <c r="I49" s="160"/>
      <c r="J49" s="158"/>
    </row>
    <row r="50" spans="1:10" s="313" customFormat="1" ht="40.049999999999997" customHeight="1" x14ac:dyDescent="0.25">
      <c r="A50" s="29" t="s">
        <v>421</v>
      </c>
      <c r="B50" s="29" t="s">
        <v>112</v>
      </c>
      <c r="C50" s="29">
        <v>89272</v>
      </c>
      <c r="D50" s="44" t="s">
        <v>216</v>
      </c>
      <c r="E50" s="29" t="s">
        <v>136</v>
      </c>
      <c r="F50" s="159">
        <f>5*2*8</f>
        <v>80</v>
      </c>
      <c r="G50" s="160" t="s">
        <v>220</v>
      </c>
      <c r="H50" s="312"/>
      <c r="I50" s="160"/>
      <c r="J50" s="158"/>
    </row>
    <row r="51" spans="1:10" s="42" customFormat="1" ht="57" customHeight="1" x14ac:dyDescent="0.25">
      <c r="A51" s="29" t="s">
        <v>423</v>
      </c>
      <c r="B51" s="43" t="s">
        <v>160</v>
      </c>
      <c r="C51" s="29">
        <v>307732</v>
      </c>
      <c r="D51" s="44" t="s">
        <v>223</v>
      </c>
      <c r="E51" s="28" t="s">
        <v>273</v>
      </c>
      <c r="F51" s="129">
        <f>0.3*0.25*0.031*24*1000</f>
        <v>55.8</v>
      </c>
      <c r="G51" s="348" t="s">
        <v>224</v>
      </c>
      <c r="H51" s="277"/>
      <c r="I51" s="266"/>
      <c r="J51" s="272"/>
    </row>
    <row r="52" spans="1:10" s="47" customFormat="1" ht="15" customHeight="1" x14ac:dyDescent="0.25">
      <c r="A52" s="198" t="s">
        <v>307</v>
      </c>
      <c r="B52" s="46"/>
      <c r="C52" s="41"/>
      <c r="D52" s="45" t="str">
        <f>'PLAN ORÇ'!D55</f>
        <v>SERVIÇOS COMPLEMENTARES</v>
      </c>
      <c r="E52" s="41"/>
      <c r="F52" s="32"/>
      <c r="G52" s="107"/>
      <c r="H52" s="138"/>
      <c r="I52" s="272"/>
      <c r="J52" s="107"/>
    </row>
    <row r="53" spans="1:10" s="42" customFormat="1" ht="19.95" customHeight="1" x14ac:dyDescent="0.25">
      <c r="A53" s="134" t="s">
        <v>309</v>
      </c>
      <c r="B53" s="29" t="s">
        <v>112</v>
      </c>
      <c r="C53" s="341" t="s">
        <v>419</v>
      </c>
      <c r="D53" s="342" t="s">
        <v>435</v>
      </c>
      <c r="E53" s="28" t="s">
        <v>64</v>
      </c>
      <c r="F53" s="129">
        <f>((6.24*1.2)+(6.64*1.2)+(4.4*1.2)+(6.53*1.2))</f>
        <v>28.572000000000003</v>
      </c>
      <c r="G53" s="160" t="s">
        <v>420</v>
      </c>
      <c r="H53" s="277"/>
      <c r="I53" s="266"/>
      <c r="J53" s="272"/>
    </row>
    <row r="54" spans="1:10" s="42" customFormat="1" ht="49.95" customHeight="1" x14ac:dyDescent="0.25">
      <c r="A54" s="141" t="s">
        <v>310</v>
      </c>
      <c r="B54" s="29" t="s">
        <v>21</v>
      </c>
      <c r="C54" s="29" t="s">
        <v>410</v>
      </c>
      <c r="D54" s="44" t="s">
        <v>411</v>
      </c>
      <c r="E54" s="29" t="s">
        <v>64</v>
      </c>
      <c r="F54" s="159">
        <f>49.78 + 52.65</f>
        <v>102.43</v>
      </c>
      <c r="G54" s="160" t="s">
        <v>225</v>
      </c>
      <c r="H54" s="277"/>
      <c r="I54" s="266"/>
      <c r="J54" s="272"/>
    </row>
    <row r="55" spans="1:10" s="42" customFormat="1" ht="36" customHeight="1" x14ac:dyDescent="0.25">
      <c r="A55" s="141" t="s">
        <v>340</v>
      </c>
      <c r="B55" s="29" t="s">
        <v>112</v>
      </c>
      <c r="C55" s="29">
        <v>94273</v>
      </c>
      <c r="D55" s="44" t="s">
        <v>226</v>
      </c>
      <c r="E55" s="28" t="s">
        <v>56</v>
      </c>
      <c r="F55" s="129">
        <f>6.24 + 4.4 + 6.64+ 6.53</f>
        <v>23.810000000000002</v>
      </c>
      <c r="G55" s="160" t="s">
        <v>227</v>
      </c>
      <c r="H55" s="277"/>
      <c r="I55" s="266"/>
      <c r="J55" s="272"/>
    </row>
    <row r="56" spans="1:10" s="42" customFormat="1" ht="49.95" customHeight="1" x14ac:dyDescent="0.25">
      <c r="A56" s="141" t="s">
        <v>359</v>
      </c>
      <c r="B56" s="29" t="s">
        <v>112</v>
      </c>
      <c r="C56" s="29">
        <v>99837</v>
      </c>
      <c r="D56" s="44" t="s">
        <v>221</v>
      </c>
      <c r="E56" s="29" t="s">
        <v>56</v>
      </c>
      <c r="F56" s="159">
        <f>31.15+24.9+24.9+37.12</f>
        <v>118.07</v>
      </c>
      <c r="G56" s="160" t="s">
        <v>222</v>
      </c>
      <c r="H56" s="277"/>
      <c r="I56" s="266"/>
      <c r="J56" s="272"/>
    </row>
    <row r="57" spans="1:10" s="42" customFormat="1" ht="36" customHeight="1" x14ac:dyDescent="0.25">
      <c r="A57" s="141" t="s">
        <v>360</v>
      </c>
      <c r="B57" s="29" t="s">
        <v>217</v>
      </c>
      <c r="C57" s="341" t="s">
        <v>246</v>
      </c>
      <c r="D57" s="342" t="str">
        <f>COMPOSIÇÕES!C37</f>
        <v>RESTAURAÇÃO DE GUARDA-CORPO, INCLUI LIXAMENTO, FUNDO COM ZARCÃO, PINTURA COM TINTA ALQUÍDICA E SOLDA DE BARRAS DANIFICADAS.</v>
      </c>
      <c r="E57" s="28" t="s">
        <v>64</v>
      </c>
      <c r="F57" s="129">
        <f>80*1.2</f>
        <v>96</v>
      </c>
      <c r="G57" s="160" t="s">
        <v>235</v>
      </c>
      <c r="H57" s="277"/>
      <c r="I57" s="266"/>
      <c r="J57" s="272"/>
    </row>
    <row r="58" spans="1:10" s="42" customFormat="1" ht="36" customHeight="1" x14ac:dyDescent="0.25">
      <c r="A58" s="141" t="s">
        <v>361</v>
      </c>
      <c r="B58" s="29" t="s">
        <v>217</v>
      </c>
      <c r="C58" s="341" t="s">
        <v>268</v>
      </c>
      <c r="D58" s="342" t="str">
        <f>COMPOSIÇÕES!C45</f>
        <v>ILUMINAÇÃO PONTE, INCLUSO 12 POSTES COM 2 LUMINÁRIAS DE LED PARA ILUMINAÇÃO PUBLICA DE 51W A 67W CADA, ELETRODUTO E REDE (CONFORME DETALHAMENTO)</v>
      </c>
      <c r="E58" s="28" t="s">
        <v>65</v>
      </c>
      <c r="F58" s="129">
        <v>1</v>
      </c>
      <c r="G58" s="160" t="s">
        <v>270</v>
      </c>
      <c r="H58" s="277"/>
      <c r="I58" s="266"/>
      <c r="J58" s="272"/>
    </row>
    <row r="59" spans="1:10" s="42" customFormat="1" ht="36" customHeight="1" x14ac:dyDescent="0.25">
      <c r="A59" s="141" t="s">
        <v>362</v>
      </c>
      <c r="B59" s="29" t="s">
        <v>217</v>
      </c>
      <c r="C59" s="341" t="s">
        <v>268</v>
      </c>
      <c r="D59" s="342" t="str">
        <f>COMPOSIÇÕES!C55</f>
        <v>ILUMINAÇÃO PASSARELA (GUARDA CORPO), INCLUSO 32 POSTES COM DIÂMETRO DE 4", COM 2 LUMINÁRIAS DE LED PARA ILUMINAÇÃO PUBLICA DE 51W A 67W CADA, ELETRODUTO E REDE (CONFORME DETALHAMENTO)</v>
      </c>
      <c r="E59" s="28" t="s">
        <v>65</v>
      </c>
      <c r="F59" s="129">
        <v>1</v>
      </c>
      <c r="G59" s="160" t="s">
        <v>270</v>
      </c>
      <c r="H59" s="277"/>
      <c r="I59" s="266"/>
      <c r="J59" s="272"/>
    </row>
    <row r="60" spans="1:10" s="42" customFormat="1" ht="36" customHeight="1" x14ac:dyDescent="0.25">
      <c r="A60" s="141" t="s">
        <v>363</v>
      </c>
      <c r="B60" s="29" t="s">
        <v>21</v>
      </c>
      <c r="C60" s="341" t="s">
        <v>338</v>
      </c>
      <c r="D60" s="342" t="s">
        <v>339</v>
      </c>
      <c r="E60" s="28" t="s">
        <v>65</v>
      </c>
      <c r="F60" s="129">
        <v>1</v>
      </c>
      <c r="G60" s="160" t="s">
        <v>270</v>
      </c>
      <c r="H60" s="277"/>
      <c r="I60" s="266"/>
      <c r="J60" s="272"/>
    </row>
    <row r="61" spans="1:10" s="42" customFormat="1" ht="20.399999999999999" customHeight="1" x14ac:dyDescent="0.25">
      <c r="A61" s="358">
        <v>3</v>
      </c>
      <c r="B61" s="7" t="s">
        <v>344</v>
      </c>
      <c r="C61" s="7"/>
      <c r="D61" s="7"/>
      <c r="E61" s="7"/>
      <c r="F61" s="7"/>
      <c r="G61" s="243"/>
      <c r="H61" s="277"/>
      <c r="I61" s="266"/>
      <c r="J61" s="272"/>
    </row>
    <row r="62" spans="1:10" s="47" customFormat="1" ht="15" customHeight="1" x14ac:dyDescent="0.25">
      <c r="A62" s="198" t="s">
        <v>364</v>
      </c>
      <c r="B62" s="46"/>
      <c r="C62" s="41"/>
      <c r="D62" s="45" t="s">
        <v>24</v>
      </c>
      <c r="E62" s="41"/>
      <c r="F62" s="32"/>
      <c r="G62" s="107" t="s">
        <v>20</v>
      </c>
      <c r="H62" s="276"/>
      <c r="I62" s="265"/>
      <c r="J62" s="107"/>
    </row>
    <row r="63" spans="1:10" s="42" customFormat="1" ht="48" customHeight="1" x14ac:dyDescent="0.25">
      <c r="A63" s="134" t="s">
        <v>323</v>
      </c>
      <c r="B63" s="43" t="s">
        <v>21</v>
      </c>
      <c r="C63" s="29" t="s">
        <v>130</v>
      </c>
      <c r="D63" s="44" t="s">
        <v>131</v>
      </c>
      <c r="E63" s="28" t="s">
        <v>65</v>
      </c>
      <c r="F63" s="129">
        <v>1</v>
      </c>
      <c r="G63" s="160" t="s">
        <v>132</v>
      </c>
      <c r="H63" s="277"/>
      <c r="I63" s="266"/>
      <c r="J63" s="272"/>
    </row>
    <row r="64" spans="1:10" s="42" customFormat="1" ht="19.95" customHeight="1" x14ac:dyDescent="0.25">
      <c r="A64" s="134" t="s">
        <v>334</v>
      </c>
      <c r="B64" s="29" t="s">
        <v>217</v>
      </c>
      <c r="C64" s="341" t="s">
        <v>69</v>
      </c>
      <c r="D64" s="342" t="str">
        <f>COMPOSIÇÕES!C8</f>
        <v>ENTRADA DE ENERGIA PARA PONTE</v>
      </c>
      <c r="E64" s="28" t="s">
        <v>65</v>
      </c>
      <c r="F64" s="129">
        <v>1</v>
      </c>
      <c r="G64" s="160" t="s">
        <v>132</v>
      </c>
      <c r="H64" s="277"/>
      <c r="I64" s="266"/>
      <c r="J64" s="272"/>
    </row>
    <row r="65" spans="1:10" s="42" customFormat="1" ht="48" customHeight="1" x14ac:dyDescent="0.25">
      <c r="A65" s="134" t="s">
        <v>365</v>
      </c>
      <c r="B65" s="43" t="s">
        <v>21</v>
      </c>
      <c r="C65" s="29" t="s">
        <v>153</v>
      </c>
      <c r="D65" s="44" t="s">
        <v>154</v>
      </c>
      <c r="E65" s="28" t="s">
        <v>65</v>
      </c>
      <c r="F65" s="129">
        <v>1</v>
      </c>
      <c r="G65" s="160" t="s">
        <v>132</v>
      </c>
      <c r="H65" s="277"/>
      <c r="I65" s="266"/>
      <c r="J65" s="272"/>
    </row>
    <row r="66" spans="1:10" s="42" customFormat="1" ht="30" customHeight="1" x14ac:dyDescent="0.25">
      <c r="A66" s="134" t="s">
        <v>366</v>
      </c>
      <c r="B66" s="29" t="s">
        <v>21</v>
      </c>
      <c r="C66" s="29" t="s">
        <v>155</v>
      </c>
      <c r="D66" s="44" t="s">
        <v>156</v>
      </c>
      <c r="E66" s="28" t="s">
        <v>64</v>
      </c>
      <c r="F66" s="129">
        <f>2*(0.4*3.6)</f>
        <v>2.8800000000000003</v>
      </c>
      <c r="G66" s="160" t="s">
        <v>330</v>
      </c>
      <c r="H66" s="277"/>
      <c r="I66" s="266"/>
      <c r="J66" s="272"/>
    </row>
    <row r="67" spans="1:10" s="42" customFormat="1" ht="48" customHeight="1" x14ac:dyDescent="0.25">
      <c r="A67" s="134" t="s">
        <v>387</v>
      </c>
      <c r="B67" s="43" t="s">
        <v>21</v>
      </c>
      <c r="C67" s="29" t="s">
        <v>163</v>
      </c>
      <c r="D67" s="44" t="s">
        <v>164</v>
      </c>
      <c r="E67" s="28" t="s">
        <v>64</v>
      </c>
      <c r="F67" s="129">
        <f>5*2*2.2</f>
        <v>22</v>
      </c>
      <c r="G67" s="160" t="s">
        <v>260</v>
      </c>
      <c r="H67" s="277"/>
      <c r="I67" s="266"/>
      <c r="J67" s="272"/>
    </row>
    <row r="68" spans="1:10" s="42" customFormat="1" ht="48" customHeight="1" x14ac:dyDescent="0.25">
      <c r="A68" s="134" t="s">
        <v>409</v>
      </c>
      <c r="B68" s="43" t="s">
        <v>21</v>
      </c>
      <c r="C68" s="29" t="s">
        <v>401</v>
      </c>
      <c r="D68" s="44" t="s">
        <v>402</v>
      </c>
      <c r="E68" s="28" t="s">
        <v>64</v>
      </c>
      <c r="F68" s="129">
        <f>1.5*2.2</f>
        <v>3.3000000000000003</v>
      </c>
      <c r="G68" s="160" t="s">
        <v>403</v>
      </c>
      <c r="H68" s="277"/>
      <c r="I68" s="266"/>
      <c r="J68" s="272"/>
    </row>
    <row r="69" spans="1:10" s="47" customFormat="1" ht="15" customHeight="1" x14ac:dyDescent="0.25">
      <c r="A69" s="198" t="s">
        <v>367</v>
      </c>
      <c r="B69" s="46"/>
      <c r="C69" s="41"/>
      <c r="D69" s="45" t="s">
        <v>44</v>
      </c>
      <c r="E69" s="41"/>
      <c r="F69" s="32"/>
      <c r="G69" s="107"/>
      <c r="H69" s="276"/>
      <c r="I69" s="265"/>
      <c r="J69" s="107"/>
    </row>
    <row r="70" spans="1:10" s="42" customFormat="1" ht="48" customHeight="1" x14ac:dyDescent="0.25">
      <c r="A70" s="134" t="s">
        <v>368</v>
      </c>
      <c r="B70" s="43" t="s">
        <v>21</v>
      </c>
      <c r="C70" s="29" t="s">
        <v>412</v>
      </c>
      <c r="D70" s="44" t="s">
        <v>413</v>
      </c>
      <c r="E70" s="28" t="s">
        <v>39</v>
      </c>
      <c r="F70" s="129">
        <v>20.02</v>
      </c>
      <c r="G70" s="160" t="s">
        <v>261</v>
      </c>
      <c r="H70" s="277"/>
      <c r="I70" s="266"/>
      <c r="J70" s="272"/>
    </row>
    <row r="71" spans="1:10" s="42" customFormat="1" ht="30" customHeight="1" x14ac:dyDescent="0.25">
      <c r="A71" s="134" t="s">
        <v>394</v>
      </c>
      <c r="B71" s="29" t="s">
        <v>21</v>
      </c>
      <c r="C71" s="271" t="s">
        <v>388</v>
      </c>
      <c r="D71" s="160" t="s">
        <v>389</v>
      </c>
      <c r="E71" s="161" t="s">
        <v>39</v>
      </c>
      <c r="F71" s="159">
        <f>F70*1.3</f>
        <v>26.026</v>
      </c>
      <c r="G71" s="160" t="s">
        <v>391</v>
      </c>
      <c r="H71" s="277"/>
      <c r="I71" s="266"/>
      <c r="J71" s="272"/>
    </row>
    <row r="72" spans="1:10" s="42" customFormat="1" ht="30" customHeight="1" x14ac:dyDescent="0.25">
      <c r="A72" s="134" t="s">
        <v>408</v>
      </c>
      <c r="B72" s="29" t="s">
        <v>21</v>
      </c>
      <c r="C72" s="271" t="s">
        <v>405</v>
      </c>
      <c r="D72" s="160" t="s">
        <v>406</v>
      </c>
      <c r="E72" s="161" t="s">
        <v>39</v>
      </c>
      <c r="F72" s="159">
        <f>F71</f>
        <v>26.026</v>
      </c>
      <c r="G72" s="160" t="str">
        <f>G71</f>
        <v>Volume de demolição x fator de empolamento 30%</v>
      </c>
      <c r="H72" s="277"/>
      <c r="I72" s="266"/>
      <c r="J72" s="272"/>
    </row>
    <row r="73" spans="1:10" s="47" customFormat="1" ht="15" customHeight="1" x14ac:dyDescent="0.25">
      <c r="A73" s="198" t="s">
        <v>369</v>
      </c>
      <c r="B73" s="46"/>
      <c r="C73" s="41"/>
      <c r="D73" s="45" t="s">
        <v>167</v>
      </c>
      <c r="E73" s="41"/>
      <c r="F73" s="32"/>
      <c r="G73" s="107"/>
      <c r="H73" s="138"/>
      <c r="I73" s="272"/>
      <c r="J73" s="107"/>
    </row>
    <row r="74" spans="1:10" s="47" customFormat="1" ht="19.95" customHeight="1" x14ac:dyDescent="0.25">
      <c r="A74" s="311" t="s">
        <v>370</v>
      </c>
      <c r="B74" s="29" t="s">
        <v>21</v>
      </c>
      <c r="C74" s="29" t="s">
        <v>171</v>
      </c>
      <c r="D74" s="44" t="s">
        <v>170</v>
      </c>
      <c r="E74" s="29" t="s">
        <v>64</v>
      </c>
      <c r="F74" s="129">
        <f>2*5*1.5</f>
        <v>15</v>
      </c>
      <c r="G74" s="160" t="s">
        <v>395</v>
      </c>
      <c r="H74" s="138"/>
      <c r="I74" s="272"/>
      <c r="J74" s="107"/>
    </row>
    <row r="75" spans="1:10" s="47" customFormat="1" ht="19.95" customHeight="1" x14ac:dyDescent="0.25">
      <c r="A75" s="311" t="s">
        <v>371</v>
      </c>
      <c r="B75" s="271" t="s">
        <v>160</v>
      </c>
      <c r="C75" s="271">
        <v>2003864</v>
      </c>
      <c r="D75" s="160" t="s">
        <v>169</v>
      </c>
      <c r="E75" s="271" t="s">
        <v>35</v>
      </c>
      <c r="F75" s="129">
        <f>5*1*8</f>
        <v>40</v>
      </c>
      <c r="G75" s="160" t="s">
        <v>396</v>
      </c>
      <c r="H75" s="138"/>
      <c r="I75" s="272"/>
      <c r="J75" s="107"/>
    </row>
    <row r="76" spans="1:10" s="313" customFormat="1" ht="30" customHeight="1" x14ac:dyDescent="0.25">
      <c r="A76" s="311" t="s">
        <v>372</v>
      </c>
      <c r="B76" s="162" t="s">
        <v>112</v>
      </c>
      <c r="C76" s="271">
        <v>96523</v>
      </c>
      <c r="D76" s="160" t="s">
        <v>172</v>
      </c>
      <c r="E76" s="161" t="s">
        <v>159</v>
      </c>
      <c r="F76" s="159">
        <f>0.88</f>
        <v>0.88</v>
      </c>
      <c r="G76" s="160" t="s">
        <v>274</v>
      </c>
      <c r="H76" s="312"/>
      <c r="I76" s="160"/>
      <c r="J76" s="158"/>
    </row>
    <row r="77" spans="1:10" s="313" customFormat="1" ht="36" customHeight="1" x14ac:dyDescent="0.25">
      <c r="A77" s="311" t="s">
        <v>373</v>
      </c>
      <c r="B77" s="162" t="s">
        <v>112</v>
      </c>
      <c r="C77" s="271">
        <v>101175</v>
      </c>
      <c r="D77" s="160" t="s">
        <v>177</v>
      </c>
      <c r="E77" s="161" t="s">
        <v>56</v>
      </c>
      <c r="F77" s="159">
        <f>3*3*2</f>
        <v>18</v>
      </c>
      <c r="G77" s="160" t="s">
        <v>314</v>
      </c>
      <c r="H77" s="312"/>
      <c r="I77" s="160"/>
      <c r="J77" s="158"/>
    </row>
    <row r="78" spans="1:10" s="313" customFormat="1" ht="36" customHeight="1" x14ac:dyDescent="0.25">
      <c r="A78" s="311" t="s">
        <v>374</v>
      </c>
      <c r="B78" s="162" t="s">
        <v>21</v>
      </c>
      <c r="C78" s="271" t="s">
        <v>175</v>
      </c>
      <c r="D78" s="160" t="s">
        <v>176</v>
      </c>
      <c r="E78" s="161" t="s">
        <v>157</v>
      </c>
      <c r="F78" s="159">
        <v>6.4</v>
      </c>
      <c r="G78" s="160" t="s">
        <v>315</v>
      </c>
      <c r="H78" s="312"/>
      <c r="I78" s="160"/>
      <c r="J78" s="158"/>
    </row>
    <row r="79" spans="1:10" s="42" customFormat="1" ht="36" customHeight="1" x14ac:dyDescent="0.25">
      <c r="A79" s="311" t="s">
        <v>392</v>
      </c>
      <c r="B79" s="43" t="s">
        <v>112</v>
      </c>
      <c r="C79" s="29">
        <v>96557</v>
      </c>
      <c r="D79" s="44" t="s">
        <v>178</v>
      </c>
      <c r="E79" s="29" t="s">
        <v>159</v>
      </c>
      <c r="F79" s="129">
        <v>1.1519999999999999</v>
      </c>
      <c r="G79" s="44" t="s">
        <v>316</v>
      </c>
      <c r="H79" s="357"/>
      <c r="I79" s="44"/>
      <c r="J79" s="272"/>
    </row>
    <row r="80" spans="1:10" s="313" customFormat="1" ht="36" customHeight="1" x14ac:dyDescent="0.25">
      <c r="A80" s="311" t="s">
        <v>393</v>
      </c>
      <c r="B80" s="162" t="s">
        <v>21</v>
      </c>
      <c r="C80" s="271" t="s">
        <v>264</v>
      </c>
      <c r="D80" s="160" t="s">
        <v>265</v>
      </c>
      <c r="E80" s="161" t="s">
        <v>124</v>
      </c>
      <c r="F80" s="159">
        <f>16.82 + 63.56</f>
        <v>80.38</v>
      </c>
      <c r="G80" s="160" t="s">
        <v>284</v>
      </c>
      <c r="H80" s="312"/>
      <c r="I80" s="160"/>
      <c r="J80" s="158"/>
    </row>
    <row r="81" spans="1:10" s="47" customFormat="1" ht="15" customHeight="1" x14ac:dyDescent="0.25">
      <c r="A81" s="198" t="s">
        <v>375</v>
      </c>
      <c r="B81" s="46"/>
      <c r="C81" s="41"/>
      <c r="D81" s="45" t="s">
        <v>190</v>
      </c>
      <c r="E81" s="41"/>
      <c r="F81" s="32"/>
      <c r="G81" s="107"/>
      <c r="H81" s="138"/>
      <c r="I81" s="272"/>
      <c r="J81" s="107"/>
    </row>
    <row r="82" spans="1:10" s="313" customFormat="1" ht="36" customHeight="1" x14ac:dyDescent="0.25">
      <c r="A82" s="311" t="s">
        <v>376</v>
      </c>
      <c r="B82" s="271" t="s">
        <v>217</v>
      </c>
      <c r="C82" s="370" t="s">
        <v>299</v>
      </c>
      <c r="D82" s="371" t="str">
        <f>COMPOSIÇÕES!C65</f>
        <v>MONTAGEM DE ESTRUTURA EM AÇO ASTM-A36/A572 GRAU 50, SEM PINTURA (VIGAS E CHAPA DE AÇO FORNECIDAS PELA PREFEITURA MUNICIPAL)</v>
      </c>
      <c r="E82" s="271" t="s">
        <v>208</v>
      </c>
      <c r="F82" s="159">
        <v>1</v>
      </c>
      <c r="G82" s="160" t="s">
        <v>219</v>
      </c>
      <c r="H82" s="312"/>
      <c r="I82" s="160"/>
      <c r="J82" s="158"/>
    </row>
    <row r="83" spans="1:10" s="313" customFormat="1" ht="36" customHeight="1" x14ac:dyDescent="0.25">
      <c r="A83" s="311" t="s">
        <v>377</v>
      </c>
      <c r="B83" s="271" t="s">
        <v>217</v>
      </c>
      <c r="C83" s="370" t="s">
        <v>308</v>
      </c>
      <c r="D83" s="371" t="str">
        <f>COMPOSIÇÕES!C71</f>
        <v xml:space="preserve">LAJE MACIÇA COM FORMA STEEL DECK, FORNECIMENTO E EXECUÇÃO, INCLUSO CONCRETAGEM, FORMAS (STEEL DECK) E ARMAÇÃO </v>
      </c>
      <c r="E83" s="271" t="s">
        <v>64</v>
      </c>
      <c r="F83" s="159">
        <f>4.72*12</f>
        <v>56.64</v>
      </c>
      <c r="G83" s="160" t="s">
        <v>301</v>
      </c>
      <c r="H83" s="312"/>
      <c r="I83" s="160"/>
      <c r="J83" s="158"/>
    </row>
    <row r="84" spans="1:10" s="313" customFormat="1" ht="40.049999999999997" customHeight="1" x14ac:dyDescent="0.25">
      <c r="A84" s="311" t="s">
        <v>378</v>
      </c>
      <c r="B84" s="271" t="s">
        <v>21</v>
      </c>
      <c r="C84" s="370" t="s">
        <v>319</v>
      </c>
      <c r="D84" s="371" t="s">
        <v>320</v>
      </c>
      <c r="E84" s="271" t="s">
        <v>65</v>
      </c>
      <c r="F84" s="159">
        <v>3</v>
      </c>
      <c r="G84" s="160" t="s">
        <v>321</v>
      </c>
      <c r="H84" s="312"/>
      <c r="I84" s="160"/>
      <c r="J84" s="158"/>
    </row>
    <row r="85" spans="1:10" s="313" customFormat="1" ht="40.049999999999997" customHeight="1" x14ac:dyDescent="0.25">
      <c r="A85" s="311" t="s">
        <v>379</v>
      </c>
      <c r="B85" s="271" t="s">
        <v>21</v>
      </c>
      <c r="C85" s="370" t="s">
        <v>397</v>
      </c>
      <c r="D85" s="371" t="s">
        <v>398</v>
      </c>
      <c r="E85" s="271" t="s">
        <v>65</v>
      </c>
      <c r="F85" s="159">
        <v>3</v>
      </c>
      <c r="G85" s="160" t="s">
        <v>321</v>
      </c>
      <c r="H85" s="312"/>
      <c r="I85" s="160"/>
      <c r="J85" s="158"/>
    </row>
    <row r="86" spans="1:10" s="313" customFormat="1" ht="49.95" customHeight="1" x14ac:dyDescent="0.25">
      <c r="A86" s="311" t="s">
        <v>380</v>
      </c>
      <c r="B86" s="43" t="s">
        <v>112</v>
      </c>
      <c r="C86" s="29">
        <v>5928</v>
      </c>
      <c r="D86" s="44" t="s">
        <v>165</v>
      </c>
      <c r="E86" s="28" t="s">
        <v>136</v>
      </c>
      <c r="F86" s="129">
        <v>16</v>
      </c>
      <c r="G86" s="160" t="s">
        <v>342</v>
      </c>
      <c r="H86" s="312"/>
      <c r="I86" s="160"/>
      <c r="J86" s="158"/>
    </row>
    <row r="87" spans="1:10" s="313" customFormat="1" ht="40.049999999999997" customHeight="1" x14ac:dyDescent="0.25">
      <c r="A87" s="311" t="s">
        <v>381</v>
      </c>
      <c r="B87" s="271" t="s">
        <v>112</v>
      </c>
      <c r="C87" s="370">
        <v>89272</v>
      </c>
      <c r="D87" s="371" t="s">
        <v>216</v>
      </c>
      <c r="E87" s="271" t="s">
        <v>136</v>
      </c>
      <c r="F87" s="159">
        <f>1*5*8</f>
        <v>40</v>
      </c>
      <c r="G87" s="160" t="s">
        <v>304</v>
      </c>
      <c r="H87" s="312"/>
      <c r="I87" s="160"/>
      <c r="J87" s="158"/>
    </row>
    <row r="88" spans="1:10" s="42" customFormat="1" ht="54" customHeight="1" x14ac:dyDescent="0.25">
      <c r="A88" s="311" t="s">
        <v>399</v>
      </c>
      <c r="B88" s="43" t="s">
        <v>160</v>
      </c>
      <c r="C88" s="29">
        <v>307732</v>
      </c>
      <c r="D88" s="44" t="s">
        <v>223</v>
      </c>
      <c r="E88" s="28" t="s">
        <v>273</v>
      </c>
      <c r="F88" s="129">
        <f>(0.3*0.25*0.031)*6*1000</f>
        <v>13.95</v>
      </c>
      <c r="G88" s="348" t="s">
        <v>306</v>
      </c>
      <c r="H88" s="277"/>
      <c r="I88" s="266"/>
      <c r="J88" s="272"/>
    </row>
    <row r="89" spans="1:10" s="47" customFormat="1" ht="15" customHeight="1" x14ac:dyDescent="0.25">
      <c r="A89" s="198" t="s">
        <v>382</v>
      </c>
      <c r="B89" s="46"/>
      <c r="C89" s="41"/>
      <c r="D89" s="45" t="str">
        <f>D52</f>
        <v>SERVIÇOS COMPLEMENTARES</v>
      </c>
      <c r="E89" s="41"/>
      <c r="F89" s="32"/>
      <c r="G89" s="107"/>
      <c r="H89" s="138"/>
      <c r="I89" s="272"/>
      <c r="J89" s="107"/>
    </row>
    <row r="90" spans="1:10" s="42" customFormat="1" ht="51" customHeight="1" x14ac:dyDescent="0.25">
      <c r="A90" s="311" t="s">
        <v>383</v>
      </c>
      <c r="B90" s="29" t="s">
        <v>112</v>
      </c>
      <c r="C90" s="29">
        <v>99837</v>
      </c>
      <c r="D90" s="44" t="s">
        <v>221</v>
      </c>
      <c r="E90" s="29" t="s">
        <v>56</v>
      </c>
      <c r="F90" s="159">
        <f>11.05*3</f>
        <v>33.150000000000006</v>
      </c>
      <c r="G90" s="160" t="s">
        <v>313</v>
      </c>
      <c r="H90" s="277"/>
      <c r="I90" s="266"/>
      <c r="J90" s="272"/>
    </row>
    <row r="91" spans="1:10" s="313" customFormat="1" ht="36" customHeight="1" x14ac:dyDescent="0.25">
      <c r="A91" s="311" t="s">
        <v>384</v>
      </c>
      <c r="B91" s="271" t="s">
        <v>217</v>
      </c>
      <c r="C91" s="370" t="s">
        <v>418</v>
      </c>
      <c r="D91" s="371" t="str">
        <f>COMPOSIÇÕES!C79</f>
        <v>ILUMINAÇÃO PONTE, INCLUSO 6 POSTES COM 2 LUMINÁRIAS DE LED PARA ILUMINAÇÃO PUBLICA DE 51W A 67W CADA, ELETRODUTO E REDE (CONFORME DETALHAMENTO)</v>
      </c>
      <c r="E91" s="161" t="s">
        <v>65</v>
      </c>
      <c r="F91" s="159">
        <v>1</v>
      </c>
      <c r="G91" s="160" t="s">
        <v>270</v>
      </c>
      <c r="H91" s="312"/>
      <c r="I91" s="160"/>
      <c r="J91" s="158"/>
    </row>
    <row r="92" spans="1:10" s="313" customFormat="1" ht="36" customHeight="1" x14ac:dyDescent="0.25">
      <c r="A92" s="311" t="s">
        <v>385</v>
      </c>
      <c r="B92" s="29" t="s">
        <v>21</v>
      </c>
      <c r="C92" s="341" t="s">
        <v>338</v>
      </c>
      <c r="D92" s="342" t="s">
        <v>339</v>
      </c>
      <c r="E92" s="28" t="s">
        <v>65</v>
      </c>
      <c r="F92" s="129">
        <v>1</v>
      </c>
      <c r="G92" s="160" t="s">
        <v>270</v>
      </c>
      <c r="H92" s="312"/>
      <c r="I92" s="160"/>
      <c r="J92" s="158"/>
    </row>
    <row r="93" spans="1:10" s="10" customFormat="1" ht="28.8" customHeight="1" x14ac:dyDescent="0.25">
      <c r="A93" s="110"/>
      <c r="B93" s="3"/>
      <c r="C93" s="2"/>
      <c r="D93" s="11"/>
      <c r="E93" s="3"/>
      <c r="F93" s="397"/>
      <c r="G93" s="111"/>
      <c r="H93" s="54"/>
      <c r="I93" s="54"/>
    </row>
    <row r="94" spans="1:10" s="10" customFormat="1" ht="28.8" customHeight="1" x14ac:dyDescent="0.25">
      <c r="A94" s="110"/>
      <c r="B94" s="13"/>
      <c r="C94" s="2"/>
      <c r="D94" s="48" t="s">
        <v>19</v>
      </c>
      <c r="E94" s="3"/>
      <c r="F94" s="397"/>
      <c r="G94" s="278" t="s">
        <v>104</v>
      </c>
      <c r="H94" s="54"/>
      <c r="I94" s="54"/>
    </row>
    <row r="95" spans="1:10" s="10" customFormat="1" ht="28.8" customHeight="1" x14ac:dyDescent="0.25">
      <c r="A95" s="17"/>
      <c r="B95" s="13"/>
      <c r="C95" s="13"/>
      <c r="D95" s="109" t="s">
        <v>49</v>
      </c>
      <c r="E95" s="3"/>
      <c r="F95" s="397"/>
      <c r="G95" s="279" t="s">
        <v>135</v>
      </c>
      <c r="H95" s="54"/>
      <c r="I95" s="54"/>
    </row>
    <row r="96" spans="1:10" s="10" customFormat="1" ht="28.8" customHeight="1" x14ac:dyDescent="0.25">
      <c r="A96" s="110"/>
      <c r="B96" s="3"/>
      <c r="C96" s="3"/>
      <c r="D96" s="3" t="s">
        <v>50</v>
      </c>
      <c r="E96" s="3"/>
      <c r="F96" s="397"/>
      <c r="G96" s="122" t="s">
        <v>133</v>
      </c>
      <c r="H96" s="54"/>
      <c r="I96" s="54"/>
    </row>
    <row r="97" spans="1:9" s="10" customFormat="1" ht="3" customHeight="1" x14ac:dyDescent="0.25">
      <c r="A97" s="112"/>
      <c r="B97" s="16"/>
      <c r="C97" s="16"/>
      <c r="D97" s="398"/>
      <c r="E97" s="16"/>
      <c r="F97" s="113"/>
      <c r="G97" s="399"/>
      <c r="H97" s="54"/>
      <c r="I97" s="54"/>
    </row>
    <row r="98" spans="1:9" s="10" customFormat="1" x14ac:dyDescent="0.25">
      <c r="A98" s="112"/>
      <c r="B98" s="16"/>
      <c r="C98" s="16"/>
      <c r="D98" s="139"/>
      <c r="E98" s="16"/>
      <c r="F98" s="113"/>
      <c r="G98" s="114"/>
      <c r="H98" s="54"/>
      <c r="I98" s="54"/>
    </row>
    <row r="107" spans="1:9" x14ac:dyDescent="0.25">
      <c r="G107" s="34"/>
    </row>
    <row r="108" spans="1:9" x14ac:dyDescent="0.25">
      <c r="G108" s="34"/>
    </row>
    <row r="109" spans="1:9" x14ac:dyDescent="0.25">
      <c r="G109" s="34"/>
    </row>
  </sheetData>
  <autoFilter ref="A7:J91" xr:uid="{00000000-0009-0000-0000-000001000000}"/>
  <mergeCells count="1">
    <mergeCell ref="A1:G1"/>
  </mergeCells>
  <phoneticPr fontId="21" type="noConversion"/>
  <printOptions horizontalCentered="1"/>
  <pageMargins left="0" right="0" top="0.59055118110236227" bottom="0" header="0" footer="0"/>
  <pageSetup paperSize="9" scale="74" fitToHeight="7" orientation="landscape" r:id="rId1"/>
  <headerFooter alignWithMargins="0">
    <oddFooter>&amp;CPágina &amp;P de &amp;N</oddFooter>
  </headerFooter>
  <rowBreaks count="5" manualBreakCount="5">
    <brk id="26" max="6" man="1"/>
    <brk id="41" max="6" man="1"/>
    <brk id="56" max="6" man="1"/>
    <brk id="72" max="6" man="1"/>
    <brk id="88" max="6"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7"/>
  <sheetViews>
    <sheetView showGridLines="0" view="pageBreakPreview" zoomScaleNormal="75" zoomScaleSheetLayoutView="100" workbookViewId="0">
      <pane xSplit="3" ySplit="9" topLeftCell="D37" activePane="bottomRight" state="frozen"/>
      <selection pane="topRight" activeCell="D1" sqref="D1"/>
      <selection pane="bottomLeft" activeCell="A10" sqref="A10"/>
      <selection pane="bottomRight" activeCell="E44" sqref="E44:G44"/>
    </sheetView>
  </sheetViews>
  <sheetFormatPr defaultColWidth="9.109375" defaultRowHeight="13.2" x14ac:dyDescent="0.25"/>
  <cols>
    <col min="1" max="1" width="6.109375" style="10" customWidth="1"/>
    <col min="2" max="2" width="47.44140625" style="40" customWidth="1"/>
    <col min="3" max="3" width="19.44140625" style="10" customWidth="1"/>
    <col min="4" max="12" width="15.77734375" style="10" customWidth="1"/>
    <col min="13" max="13" width="9.109375" style="10"/>
    <col min="14" max="14" width="15.88671875" style="10" customWidth="1"/>
    <col min="15" max="16384" width="9.109375" style="10"/>
  </cols>
  <sheetData>
    <row r="1" spans="1:13" ht="60" customHeight="1" x14ac:dyDescent="0.25">
      <c r="A1" s="22"/>
      <c r="B1" s="51"/>
      <c r="C1" s="50"/>
      <c r="D1" s="50"/>
      <c r="E1" s="50"/>
      <c r="F1" s="50"/>
      <c r="G1" s="50"/>
      <c r="H1" s="50"/>
      <c r="I1" s="50"/>
      <c r="J1" s="50"/>
      <c r="K1" s="50"/>
      <c r="L1" s="297"/>
    </row>
    <row r="2" spans="1:13" ht="3" customHeight="1" x14ac:dyDescent="0.25">
      <c r="A2" s="22"/>
      <c r="B2" s="51"/>
      <c r="C2" s="50"/>
      <c r="D2" s="50"/>
      <c r="E2" s="50"/>
      <c r="F2" s="50"/>
      <c r="G2" s="50"/>
      <c r="H2" s="50"/>
      <c r="I2" s="50"/>
      <c r="J2" s="50"/>
      <c r="K2" s="50"/>
      <c r="L2" s="297"/>
    </row>
    <row r="3" spans="1:13" x14ac:dyDescent="0.25">
      <c r="A3" s="453" t="s">
        <v>40</v>
      </c>
      <c r="B3" s="454"/>
      <c r="C3" s="454"/>
      <c r="D3" s="454"/>
      <c r="E3" s="454"/>
      <c r="F3" s="454"/>
      <c r="G3" s="454"/>
      <c r="H3" s="454"/>
      <c r="I3" s="454"/>
      <c r="J3" s="454"/>
      <c r="K3" s="454"/>
      <c r="L3" s="455"/>
      <c r="M3" s="13"/>
    </row>
    <row r="4" spans="1:13" ht="3" customHeight="1" x14ac:dyDescent="0.25">
      <c r="A4" s="23"/>
      <c r="B4" s="37"/>
      <c r="C4" s="1"/>
      <c r="D4" s="1"/>
      <c r="E4" s="1"/>
      <c r="F4" s="1"/>
      <c r="G4" s="1"/>
      <c r="H4" s="1"/>
      <c r="I4" s="1"/>
      <c r="J4" s="1"/>
      <c r="K4" s="1"/>
      <c r="L4" s="298"/>
      <c r="M4" s="13"/>
    </row>
    <row r="5" spans="1:13" ht="19.95" customHeight="1" x14ac:dyDescent="0.25">
      <c r="A5" s="23" t="str">
        <f>'PLAN ORÇ'!A5</f>
        <v>PREFEITURA MUNICIPAL DE BOM JARDIM DE MINAS</v>
      </c>
      <c r="B5" s="37"/>
      <c r="C5" s="243"/>
      <c r="D5" s="24"/>
      <c r="E5" s="413"/>
      <c r="F5" s="413"/>
      <c r="G5" s="413"/>
      <c r="H5" s="413"/>
      <c r="I5" s="413"/>
      <c r="J5" s="414" t="s">
        <v>10</v>
      </c>
      <c r="K5" s="459">
        <f>'PLAN ORÇ'!$I$96</f>
        <v>1504238.0765799999</v>
      </c>
      <c r="L5" s="460"/>
    </row>
    <row r="6" spans="1:13" ht="19.95" customHeight="1" x14ac:dyDescent="0.25">
      <c r="A6" s="456" t="str">
        <f>'MM CALC'!A4</f>
        <v xml:space="preserve">OBRA: REFORMA, AMPLIAÇÃO E REVITALIZAÇÃO DA PONTE NITEROI - (PONTE GENI GONÇALVES DE REZENDE RODRIGUES) E PONTE DA RUA MIZAEL MARCELINO DE ALMEIDA </v>
      </c>
      <c r="B6" s="457"/>
      <c r="C6" s="457"/>
      <c r="D6" s="457"/>
      <c r="E6" s="457"/>
      <c r="F6" s="457"/>
      <c r="G6" s="457"/>
      <c r="H6" s="457"/>
      <c r="I6" s="458"/>
      <c r="J6" s="453" t="str">
        <f>'MM CALC'!E3</f>
        <v>DATA: 11/06/2025</v>
      </c>
      <c r="K6" s="454"/>
      <c r="L6" s="455"/>
    </row>
    <row r="7" spans="1:13" ht="19.95" customHeight="1" x14ac:dyDescent="0.25">
      <c r="A7" s="23" t="str">
        <f>'MM CALC'!A5</f>
        <v>LOCAL: BAIRRO NITEROI E CANDEIAS - BOM JARDIM DE MINAS /MG</v>
      </c>
      <c r="B7" s="37"/>
      <c r="C7" s="1"/>
      <c r="D7" s="1"/>
      <c r="E7" s="1"/>
      <c r="F7" s="1"/>
      <c r="G7" s="1"/>
      <c r="H7" s="1"/>
      <c r="I7" s="1"/>
      <c r="J7" s="453" t="str">
        <f>COMPOSIÇÕES!A6</f>
        <v>PRAZO DE EXECUÇÃO 9 MESES</v>
      </c>
      <c r="K7" s="454"/>
      <c r="L7" s="455"/>
    </row>
    <row r="8" spans="1:13" ht="19.95" customHeight="1" x14ac:dyDescent="0.25">
      <c r="A8" s="451" t="s">
        <v>0</v>
      </c>
      <c r="B8" s="439" t="s">
        <v>1</v>
      </c>
      <c r="C8" s="451" t="s">
        <v>23</v>
      </c>
      <c r="D8" s="453" t="s">
        <v>22</v>
      </c>
      <c r="E8" s="454"/>
      <c r="F8" s="454"/>
      <c r="G8" s="454"/>
      <c r="H8" s="454"/>
      <c r="I8" s="454"/>
      <c r="J8" s="454"/>
      <c r="K8" s="454"/>
      <c r="L8" s="455"/>
    </row>
    <row r="9" spans="1:13" ht="19.95" customHeight="1" x14ac:dyDescent="0.25">
      <c r="A9" s="452"/>
      <c r="B9" s="440"/>
      <c r="C9" s="452"/>
      <c r="D9" s="274" t="s">
        <v>16</v>
      </c>
      <c r="E9" s="274" t="s">
        <v>17</v>
      </c>
      <c r="F9" s="274" t="s">
        <v>18</v>
      </c>
      <c r="G9" s="274" t="s">
        <v>427</v>
      </c>
      <c r="H9" s="274" t="s">
        <v>428</v>
      </c>
      <c r="I9" s="274" t="s">
        <v>429</v>
      </c>
      <c r="J9" s="274" t="s">
        <v>430</v>
      </c>
      <c r="K9" s="274" t="s">
        <v>431</v>
      </c>
      <c r="L9" s="274" t="s">
        <v>432</v>
      </c>
    </row>
    <row r="10" spans="1:13" ht="19.95" customHeight="1" x14ac:dyDescent="0.25">
      <c r="A10" s="438">
        <f>'PLAN ORÇ'!$A$12</f>
        <v>1</v>
      </c>
      <c r="B10" s="439" t="s">
        <v>433</v>
      </c>
      <c r="C10" s="21">
        <f>C11/$C$37</f>
        <v>4.8344326414963251E-2</v>
      </c>
      <c r="D10" s="21">
        <v>1</v>
      </c>
      <c r="E10" s="21"/>
      <c r="F10" s="21"/>
      <c r="G10" s="21"/>
      <c r="H10" s="21"/>
      <c r="I10" s="21"/>
      <c r="J10" s="21"/>
      <c r="K10" s="21"/>
      <c r="L10" s="21"/>
    </row>
    <row r="11" spans="1:13" ht="19.95" customHeight="1" x14ac:dyDescent="0.25">
      <c r="A11" s="438"/>
      <c r="B11" s="440"/>
      <c r="C11" s="19">
        <f>'PLAN ORÇ'!I12</f>
        <v>72721.376580000011</v>
      </c>
      <c r="D11" s="19">
        <f>C11*D10</f>
        <v>72721.376580000011</v>
      </c>
      <c r="E11" s="19"/>
      <c r="F11" s="19"/>
      <c r="G11" s="19"/>
      <c r="H11" s="19"/>
      <c r="I11" s="19"/>
      <c r="J11" s="19"/>
      <c r="K11" s="19"/>
      <c r="L11" s="19"/>
    </row>
    <row r="12" spans="1:13" ht="13.2" customHeight="1" x14ac:dyDescent="0.25">
      <c r="A12" s="451">
        <f>'PLAN ORÇ'!A17</f>
        <v>2</v>
      </c>
      <c r="B12" s="441" t="s">
        <v>434</v>
      </c>
      <c r="C12" s="442"/>
      <c r="D12" s="442"/>
      <c r="E12" s="442"/>
      <c r="F12" s="442"/>
      <c r="G12" s="442"/>
      <c r="H12" s="442"/>
      <c r="I12" s="442"/>
      <c r="J12" s="442"/>
      <c r="K12" s="442"/>
      <c r="L12" s="443"/>
    </row>
    <row r="13" spans="1:13" ht="12.6" customHeight="1" x14ac:dyDescent="0.25">
      <c r="A13" s="452"/>
      <c r="B13" s="444"/>
      <c r="C13" s="445"/>
      <c r="D13" s="445"/>
      <c r="E13" s="445"/>
      <c r="F13" s="445"/>
      <c r="G13" s="445"/>
      <c r="H13" s="445"/>
      <c r="I13" s="445"/>
      <c r="J13" s="445"/>
      <c r="K13" s="445"/>
      <c r="L13" s="446"/>
    </row>
    <row r="14" spans="1:13" ht="19.95" customHeight="1" x14ac:dyDescent="0.25">
      <c r="A14" s="438" t="str">
        <f>'PLAN ORÇ'!A18</f>
        <v>2.1</v>
      </c>
      <c r="B14" s="439" t="str">
        <f>'PLAN ORÇ'!D18</f>
        <v xml:space="preserve">SERVIÇOS PRELIMINARES </v>
      </c>
      <c r="C14" s="21">
        <f>C15/$C$37</f>
        <v>2.145179709409108E-2</v>
      </c>
      <c r="D14" s="21">
        <v>1</v>
      </c>
      <c r="E14" s="21"/>
      <c r="F14" s="21"/>
      <c r="G14" s="21"/>
      <c r="H14" s="21"/>
      <c r="I14" s="21"/>
      <c r="J14" s="21"/>
      <c r="K14" s="21"/>
      <c r="L14" s="21"/>
    </row>
    <row r="15" spans="1:13" ht="19.95" customHeight="1" x14ac:dyDescent="0.25">
      <c r="A15" s="438"/>
      <c r="B15" s="440"/>
      <c r="C15" s="19">
        <f>'PLAN ORÇ'!I18</f>
        <v>32268.61</v>
      </c>
      <c r="D15" s="19">
        <f>C15*D14</f>
        <v>32268.61</v>
      </c>
      <c r="E15" s="19"/>
      <c r="F15" s="19"/>
      <c r="G15" s="19"/>
      <c r="H15" s="19"/>
      <c r="I15" s="19"/>
      <c r="J15" s="19"/>
      <c r="K15" s="19"/>
      <c r="L15" s="19"/>
    </row>
    <row r="16" spans="1:13" ht="19.95" customHeight="1" x14ac:dyDescent="0.25">
      <c r="A16" s="438" t="str">
        <f>'PLAN ORÇ'!A26</f>
        <v>2.2</v>
      </c>
      <c r="B16" s="439" t="str">
        <f>'PLAN ORÇ'!D26</f>
        <v>REMOÇÕES E DEMOLIÇÕES</v>
      </c>
      <c r="C16" s="21">
        <f>C17/$C$37</f>
        <v>1.1210093842550856E-2</v>
      </c>
      <c r="D16" s="21">
        <v>1</v>
      </c>
      <c r="E16" s="21"/>
      <c r="F16" s="21"/>
      <c r="G16" s="21"/>
      <c r="H16" s="21"/>
      <c r="I16" s="21"/>
      <c r="J16" s="21"/>
      <c r="K16" s="21"/>
      <c r="L16" s="21"/>
    </row>
    <row r="17" spans="1:12" ht="19.95" customHeight="1" x14ac:dyDescent="0.25">
      <c r="A17" s="438"/>
      <c r="B17" s="440"/>
      <c r="C17" s="19">
        <f>'PLAN ORÇ'!I26</f>
        <v>16862.650000000001</v>
      </c>
      <c r="D17" s="19">
        <f>C17*D16</f>
        <v>16862.650000000001</v>
      </c>
      <c r="E17" s="19"/>
      <c r="F17" s="19"/>
      <c r="G17" s="19"/>
      <c r="H17" s="19"/>
      <c r="I17" s="19"/>
      <c r="J17" s="19"/>
      <c r="K17" s="19"/>
      <c r="L17" s="19"/>
    </row>
    <row r="18" spans="1:12" ht="19.95" customHeight="1" x14ac:dyDescent="0.25">
      <c r="A18" s="438" t="str">
        <f>'PLAN ORÇ'!A33</f>
        <v>2.3</v>
      </c>
      <c r="B18" s="439" t="str">
        <f>'PLAN ORÇ'!D33</f>
        <v>INFRAESTRUTURA E MESOESTRUTURA</v>
      </c>
      <c r="C18" s="21">
        <f>C19/$C$37</f>
        <v>0.17684713885505227</v>
      </c>
      <c r="D18" s="21">
        <v>0.1</v>
      </c>
      <c r="E18" s="21">
        <v>0.4</v>
      </c>
      <c r="F18" s="21">
        <v>0.4</v>
      </c>
      <c r="G18" s="21">
        <v>0.1</v>
      </c>
      <c r="H18" s="21"/>
      <c r="I18" s="21"/>
      <c r="J18" s="21"/>
      <c r="K18" s="21"/>
      <c r="L18" s="21"/>
    </row>
    <row r="19" spans="1:12" ht="19.95" customHeight="1" x14ac:dyDescent="0.25">
      <c r="A19" s="438"/>
      <c r="B19" s="440"/>
      <c r="C19" s="19">
        <f>'PLAN ORÇ'!I33</f>
        <v>266020.2</v>
      </c>
      <c r="D19" s="19">
        <f>C19*D18</f>
        <v>26602.020000000004</v>
      </c>
      <c r="E19" s="19">
        <f>$C$19*E18</f>
        <v>106408.08000000002</v>
      </c>
      <c r="F19" s="19">
        <f>$C$19*F18</f>
        <v>106408.08000000002</v>
      </c>
      <c r="G19" s="19">
        <f>$C$19*G18</f>
        <v>26602.020000000004</v>
      </c>
      <c r="H19" s="19"/>
      <c r="I19" s="19"/>
      <c r="J19" s="19"/>
      <c r="K19" s="19"/>
      <c r="L19" s="19"/>
    </row>
    <row r="20" spans="1:12" ht="19.95" customHeight="1" x14ac:dyDescent="0.25">
      <c r="A20" s="438" t="str">
        <f>'PLAN ORÇ'!A48</f>
        <v>2.4</v>
      </c>
      <c r="B20" s="439" t="str">
        <f>'PLAN ORÇ'!D48</f>
        <v>SUPERESTRUTURA</v>
      </c>
      <c r="C20" s="21">
        <f>C21/$C$37</f>
        <v>0.46548387579175954</v>
      </c>
      <c r="D20" s="21"/>
      <c r="E20" s="21">
        <v>0.1</v>
      </c>
      <c r="F20" s="21">
        <v>0.1</v>
      </c>
      <c r="G20" s="21">
        <v>0.2</v>
      </c>
      <c r="H20" s="21">
        <v>0.25</v>
      </c>
      <c r="I20" s="21">
        <v>0.2</v>
      </c>
      <c r="J20" s="21">
        <v>0.15</v>
      </c>
      <c r="K20" s="21"/>
      <c r="L20" s="21"/>
    </row>
    <row r="21" spans="1:12" ht="19.95" customHeight="1" x14ac:dyDescent="0.25">
      <c r="A21" s="438"/>
      <c r="B21" s="440"/>
      <c r="C21" s="19">
        <f>'PLAN ORÇ'!I48</f>
        <v>700198.57000000007</v>
      </c>
      <c r="D21" s="19"/>
      <c r="E21" s="19">
        <f t="shared" ref="E21:J21" si="0">$C$21*E20</f>
        <v>70019.857000000004</v>
      </c>
      <c r="F21" s="19">
        <f t="shared" si="0"/>
        <v>70019.857000000004</v>
      </c>
      <c r="G21" s="19">
        <f t="shared" si="0"/>
        <v>140039.71400000001</v>
      </c>
      <c r="H21" s="19">
        <f t="shared" si="0"/>
        <v>175049.64250000002</v>
      </c>
      <c r="I21" s="19">
        <f t="shared" si="0"/>
        <v>140039.71400000001</v>
      </c>
      <c r="J21" s="19">
        <f t="shared" si="0"/>
        <v>105029.78550000001</v>
      </c>
      <c r="K21" s="19"/>
      <c r="L21" s="19"/>
    </row>
    <row r="22" spans="1:12" ht="19.95" customHeight="1" x14ac:dyDescent="0.25">
      <c r="A22" s="438" t="str">
        <f>'PLAN ORÇ'!A55</f>
        <v>2.5</v>
      </c>
      <c r="B22" s="439" t="str">
        <f>'PLAN ORÇ'!D55</f>
        <v>SERVIÇOS COMPLEMENTARES</v>
      </c>
      <c r="C22" s="21">
        <f>C23/$C$37</f>
        <v>0.15377213461176351</v>
      </c>
      <c r="D22" s="21"/>
      <c r="E22" s="21"/>
      <c r="F22" s="21"/>
      <c r="G22" s="21"/>
      <c r="H22" s="21"/>
      <c r="I22" s="21">
        <v>0.3</v>
      </c>
      <c r="J22" s="21">
        <v>0.3</v>
      </c>
      <c r="K22" s="21">
        <v>0.4</v>
      </c>
      <c r="L22" s="21"/>
    </row>
    <row r="23" spans="1:12" ht="19.95" customHeight="1" x14ac:dyDescent="0.25">
      <c r="A23" s="438"/>
      <c r="B23" s="440"/>
      <c r="C23" s="19">
        <f>'PLAN ORÇ'!I55</f>
        <v>231309.9</v>
      </c>
      <c r="D23" s="19"/>
      <c r="E23" s="19"/>
      <c r="F23" s="19"/>
      <c r="G23" s="19"/>
      <c r="H23" s="19"/>
      <c r="I23" s="19">
        <f>$C$23*I22</f>
        <v>69392.97</v>
      </c>
      <c r="J23" s="19">
        <f>$C$23*J22</f>
        <v>69392.97</v>
      </c>
      <c r="K23" s="19">
        <f>$C$23*K22</f>
        <v>92523.96</v>
      </c>
      <c r="L23" s="19"/>
    </row>
    <row r="24" spans="1:12" ht="12.6" customHeight="1" x14ac:dyDescent="0.25">
      <c r="A24" s="438">
        <f>'PLAN ORÇ'!A64</f>
        <v>3</v>
      </c>
      <c r="B24" s="429" t="s">
        <v>344</v>
      </c>
      <c r="C24" s="430"/>
      <c r="D24" s="430"/>
      <c r="E24" s="430"/>
      <c r="F24" s="430"/>
      <c r="G24" s="430"/>
      <c r="H24" s="430"/>
      <c r="I24" s="430"/>
      <c r="J24" s="430"/>
      <c r="K24" s="430"/>
      <c r="L24" s="447"/>
    </row>
    <row r="25" spans="1:12" ht="12.6" customHeight="1" x14ac:dyDescent="0.25">
      <c r="A25" s="438"/>
      <c r="B25" s="448"/>
      <c r="C25" s="449"/>
      <c r="D25" s="449"/>
      <c r="E25" s="449"/>
      <c r="F25" s="449"/>
      <c r="G25" s="449"/>
      <c r="H25" s="449"/>
      <c r="I25" s="449"/>
      <c r="J25" s="449"/>
      <c r="K25" s="449"/>
      <c r="L25" s="450"/>
    </row>
    <row r="26" spans="1:12" ht="19.95" customHeight="1" x14ac:dyDescent="0.25">
      <c r="A26" s="438" t="str">
        <f>'PLAN ORÇ'!A65</f>
        <v>3.1</v>
      </c>
      <c r="B26" s="439" t="str">
        <f>'PLAN ORÇ'!D65</f>
        <v xml:space="preserve">SERVIÇOS PRELIMINARES </v>
      </c>
      <c r="C26" s="21">
        <f>C27/$C$37</f>
        <v>1.9043647708432747E-2</v>
      </c>
      <c r="D26" s="21"/>
      <c r="E26" s="21"/>
      <c r="F26" s="21"/>
      <c r="G26" s="21"/>
      <c r="H26" s="21"/>
      <c r="I26" s="21"/>
      <c r="J26" s="21"/>
      <c r="K26" s="21">
        <v>1</v>
      </c>
      <c r="L26" s="21"/>
    </row>
    <row r="27" spans="1:12" ht="19.95" customHeight="1" x14ac:dyDescent="0.25">
      <c r="A27" s="438"/>
      <c r="B27" s="440"/>
      <c r="C27" s="19">
        <f>'PLAN ORÇ'!I65</f>
        <v>28646.18</v>
      </c>
      <c r="D27" s="19"/>
      <c r="E27" s="19"/>
      <c r="F27" s="19"/>
      <c r="G27" s="19"/>
      <c r="H27" s="19"/>
      <c r="I27" s="19"/>
      <c r="J27" s="19"/>
      <c r="K27" s="19">
        <f>$C$27*K26</f>
        <v>28646.18</v>
      </c>
      <c r="L27" s="19"/>
    </row>
    <row r="28" spans="1:12" ht="19.95" customHeight="1" x14ac:dyDescent="0.25">
      <c r="A28" s="438" t="str">
        <f>'PLAN ORÇ'!A72</f>
        <v>3.2</v>
      </c>
      <c r="B28" s="439" t="str">
        <f>'PLAN ORÇ'!D72</f>
        <v>REMOÇÕES E DEMOLIÇÕES</v>
      </c>
      <c r="C28" s="21">
        <f>C29/$C$37</f>
        <v>7.2528678603887E-3</v>
      </c>
      <c r="D28" s="21"/>
      <c r="E28" s="21"/>
      <c r="F28" s="21"/>
      <c r="G28" s="21"/>
      <c r="H28" s="21"/>
      <c r="I28" s="21"/>
      <c r="J28" s="21"/>
      <c r="K28" s="21">
        <v>1</v>
      </c>
      <c r="L28" s="21"/>
    </row>
    <row r="29" spans="1:12" ht="19.95" customHeight="1" x14ac:dyDescent="0.25">
      <c r="A29" s="438"/>
      <c r="B29" s="440"/>
      <c r="C29" s="19">
        <f>'PLAN ORÇ'!I72</f>
        <v>10910.039999999999</v>
      </c>
      <c r="D29" s="19"/>
      <c r="E29" s="19"/>
      <c r="F29" s="19"/>
      <c r="G29" s="19"/>
      <c r="H29" s="19"/>
      <c r="I29" s="19"/>
      <c r="J29" s="19"/>
      <c r="K29" s="19">
        <f>$C$29*K28</f>
        <v>10910.039999999999</v>
      </c>
      <c r="L29" s="19"/>
    </row>
    <row r="30" spans="1:12" ht="19.95" customHeight="1" x14ac:dyDescent="0.25">
      <c r="A30" s="438" t="str">
        <f>'PLAN ORÇ'!A76</f>
        <v>3.3</v>
      </c>
      <c r="B30" s="439" t="str">
        <f>'PLAN ORÇ'!D76</f>
        <v>INFRAESTRUTURA E MESOESTRUTURA</v>
      </c>
      <c r="C30" s="21">
        <f>C31/$C$37</f>
        <v>7.043186956208221E-3</v>
      </c>
      <c r="D30" s="21"/>
      <c r="E30" s="21"/>
      <c r="F30" s="21"/>
      <c r="G30" s="21"/>
      <c r="H30" s="21"/>
      <c r="I30" s="21"/>
      <c r="J30" s="21"/>
      <c r="K30" s="21">
        <v>1</v>
      </c>
      <c r="L30" s="21"/>
    </row>
    <row r="31" spans="1:12" ht="19.95" customHeight="1" x14ac:dyDescent="0.25">
      <c r="A31" s="438"/>
      <c r="B31" s="440"/>
      <c r="C31" s="19">
        <f>'PLAN ORÇ'!I76</f>
        <v>10594.63</v>
      </c>
      <c r="D31" s="19"/>
      <c r="E31" s="19"/>
      <c r="F31" s="19"/>
      <c r="G31" s="19"/>
      <c r="H31" s="19"/>
      <c r="I31" s="19"/>
      <c r="J31" s="19"/>
      <c r="K31" s="19">
        <f>$C$31*K30</f>
        <v>10594.63</v>
      </c>
      <c r="L31" s="19"/>
    </row>
    <row r="32" spans="1:12" ht="19.95" customHeight="1" x14ac:dyDescent="0.25">
      <c r="A32" s="438" t="str">
        <f>'PLAN ORÇ'!A84</f>
        <v>3.4</v>
      </c>
      <c r="B32" s="439" t="str">
        <f>'PLAN ORÇ'!D84</f>
        <v>SUPERESTRUTURA</v>
      </c>
      <c r="C32" s="21">
        <f>C33/$C$37</f>
        <v>6.1798183045166488E-2</v>
      </c>
      <c r="D32" s="21"/>
      <c r="E32" s="21"/>
      <c r="F32" s="21"/>
      <c r="G32" s="21"/>
      <c r="H32" s="21"/>
      <c r="I32" s="21"/>
      <c r="J32" s="21"/>
      <c r="K32" s="21"/>
      <c r="L32" s="21">
        <v>1</v>
      </c>
    </row>
    <row r="33" spans="1:14" ht="19.95" customHeight="1" x14ac:dyDescent="0.25">
      <c r="A33" s="438"/>
      <c r="B33" s="440"/>
      <c r="C33" s="19">
        <f>'PLAN ORÇ'!I84</f>
        <v>92959.180000000008</v>
      </c>
      <c r="D33" s="19"/>
      <c r="E33" s="19"/>
      <c r="F33" s="19"/>
      <c r="G33" s="19"/>
      <c r="H33" s="19"/>
      <c r="I33" s="19"/>
      <c r="J33" s="19"/>
      <c r="K33" s="19"/>
      <c r="L33" s="19">
        <f>C33*L32</f>
        <v>92959.180000000008</v>
      </c>
    </row>
    <row r="34" spans="1:14" ht="19.95" customHeight="1" x14ac:dyDescent="0.25">
      <c r="A34" s="438" t="str">
        <f>'PLAN ORÇ'!A92</f>
        <v>3.5</v>
      </c>
      <c r="B34" s="439" t="str">
        <f>'PLAN ORÇ'!D92</f>
        <v>SERVIÇOS COMPLEMENTARES</v>
      </c>
      <c r="C34" s="21">
        <f>C35/$C$37</f>
        <v>2.7752747819623339E-2</v>
      </c>
      <c r="D34" s="21"/>
      <c r="E34" s="281"/>
      <c r="F34" s="281"/>
      <c r="G34" s="281"/>
      <c r="H34" s="281"/>
      <c r="I34" s="281"/>
      <c r="J34" s="281"/>
      <c r="K34" s="281"/>
      <c r="L34" s="21">
        <v>1</v>
      </c>
    </row>
    <row r="35" spans="1:14" ht="19.95" customHeight="1" x14ac:dyDescent="0.25">
      <c r="A35" s="438"/>
      <c r="B35" s="440"/>
      <c r="C35" s="19">
        <f>'PLAN ORÇ'!I92</f>
        <v>41746.740000000005</v>
      </c>
      <c r="D35" s="19"/>
      <c r="E35" s="282"/>
      <c r="F35" s="282"/>
      <c r="G35" s="282"/>
      <c r="H35" s="282"/>
      <c r="I35" s="282"/>
      <c r="J35" s="282"/>
      <c r="K35" s="282"/>
      <c r="L35" s="19">
        <f>C35*L34</f>
        <v>41746.740000000005</v>
      </c>
    </row>
    <row r="36" spans="1:14" ht="19.95" customHeight="1" x14ac:dyDescent="0.25">
      <c r="A36" s="461" t="s">
        <v>8</v>
      </c>
      <c r="B36" s="461"/>
      <c r="C36" s="280">
        <f>C34+C32+C30+C28+C26+C22+C20+C18+C16+C14+C10</f>
        <v>0.99999999999999989</v>
      </c>
      <c r="D36" s="280">
        <f>D37/$C$37</f>
        <v>9.869093123711041E-2</v>
      </c>
      <c r="E36" s="280">
        <f t="shared" ref="E36:L36" si="1">E37/$C$37</f>
        <v>0.11728724312119687</v>
      </c>
      <c r="F36" s="280">
        <f t="shared" si="1"/>
        <v>0.11728724312119687</v>
      </c>
      <c r="G36" s="280">
        <f t="shared" si="1"/>
        <v>0.11078148904385712</v>
      </c>
      <c r="H36" s="280">
        <f t="shared" si="1"/>
        <v>0.11637096894793988</v>
      </c>
      <c r="I36" s="280">
        <f t="shared" si="1"/>
        <v>0.13922841554188095</v>
      </c>
      <c r="J36" s="280">
        <f t="shared" si="1"/>
        <v>0.115954221752293</v>
      </c>
      <c r="K36" s="280">
        <f t="shared" si="1"/>
        <v>9.4848556369735063E-2</v>
      </c>
      <c r="L36" s="280">
        <f t="shared" si="1"/>
        <v>8.9550930864789824E-2</v>
      </c>
    </row>
    <row r="37" spans="1:14" ht="19.95" customHeight="1" x14ac:dyDescent="0.25">
      <c r="A37" s="462"/>
      <c r="B37" s="462"/>
      <c r="C37" s="415">
        <f>C35+C33+C31+C29+C27+C23+C21+C19+C17+C15+C11</f>
        <v>1504238.0765800001</v>
      </c>
      <c r="D37" s="20">
        <f t="shared" ref="D37:L37" si="2">D35+D33+D31+D29+D27+D23+D21+D19+D17+D15+D11</f>
        <v>148454.65658000001</v>
      </c>
      <c r="E37" s="20">
        <f t="shared" si="2"/>
        <v>176427.93700000003</v>
      </c>
      <c r="F37" s="20">
        <f t="shared" si="2"/>
        <v>176427.93700000003</v>
      </c>
      <c r="G37" s="20">
        <f t="shared" si="2"/>
        <v>166641.734</v>
      </c>
      <c r="H37" s="20">
        <f t="shared" si="2"/>
        <v>175049.64250000002</v>
      </c>
      <c r="I37" s="20">
        <f t="shared" si="2"/>
        <v>209432.68400000001</v>
      </c>
      <c r="J37" s="20">
        <f t="shared" si="2"/>
        <v>174422.75550000003</v>
      </c>
      <c r="K37" s="20">
        <f t="shared" si="2"/>
        <v>142674.81</v>
      </c>
      <c r="L37" s="20">
        <f t="shared" si="2"/>
        <v>134705.92000000001</v>
      </c>
    </row>
    <row r="38" spans="1:14" x14ac:dyDescent="0.25">
      <c r="A38" s="267"/>
      <c r="B38" s="268"/>
      <c r="C38" s="241"/>
      <c r="D38" s="269"/>
      <c r="E38" s="269"/>
      <c r="F38" s="269"/>
      <c r="G38" s="269"/>
      <c r="H38" s="269"/>
      <c r="I38" s="269"/>
      <c r="J38" s="269"/>
      <c r="K38" s="269"/>
      <c r="L38" s="270"/>
    </row>
    <row r="39" spans="1:14" x14ac:dyDescent="0.25">
      <c r="A39" s="108"/>
      <c r="B39" s="38"/>
      <c r="C39" s="115"/>
      <c r="D39" s="300"/>
      <c r="E39" s="300"/>
      <c r="F39" s="300"/>
      <c r="G39" s="300"/>
      <c r="H39" s="300"/>
      <c r="I39" s="300"/>
      <c r="J39" s="300"/>
      <c r="K39" s="300"/>
      <c r="L39" s="301"/>
    </row>
    <row r="40" spans="1:14" ht="54.75" customHeight="1" x14ac:dyDescent="0.25">
      <c r="A40" s="108"/>
      <c r="B40" s="38"/>
      <c r="C40" s="115"/>
      <c r="D40" s="300"/>
      <c r="E40" s="300"/>
      <c r="F40" s="300"/>
      <c r="G40" s="300"/>
      <c r="H40" s="300"/>
      <c r="I40" s="300"/>
      <c r="J40" s="300"/>
      <c r="K40" s="300"/>
      <c r="L40" s="301"/>
    </row>
    <row r="41" spans="1:14" x14ac:dyDescent="0.25">
      <c r="A41" s="108"/>
      <c r="B41" s="38"/>
      <c r="C41" s="115"/>
      <c r="D41" s="300"/>
      <c r="E41" s="300"/>
      <c r="F41" s="300"/>
      <c r="G41" s="300"/>
      <c r="H41" s="300"/>
      <c r="I41" s="300"/>
      <c r="J41" s="300"/>
      <c r="K41" s="300"/>
      <c r="L41" s="301"/>
    </row>
    <row r="42" spans="1:14" x14ac:dyDescent="0.25">
      <c r="A42" s="17"/>
      <c r="B42" s="48" t="s">
        <v>19</v>
      </c>
      <c r="C42" s="13"/>
      <c r="L42" s="279"/>
      <c r="N42" s="25"/>
    </row>
    <row r="43" spans="1:14" x14ac:dyDescent="0.25">
      <c r="A43" s="17"/>
      <c r="B43" s="109" t="s">
        <v>49</v>
      </c>
      <c r="E43" s="50"/>
      <c r="F43" s="299" t="str">
        <f>'MM CALC'!G95</f>
        <v xml:space="preserve">José Francisco Matos e Silva </v>
      </c>
      <c r="G43" s="50"/>
      <c r="L43" s="302"/>
    </row>
    <row r="44" spans="1:14" ht="13.8" x14ac:dyDescent="0.25">
      <c r="A44" s="17"/>
      <c r="B44" s="3" t="s">
        <v>50</v>
      </c>
      <c r="E44" s="419" t="s">
        <v>151</v>
      </c>
      <c r="F44" s="419"/>
      <c r="G44" s="419"/>
      <c r="H44" s="3"/>
      <c r="I44" s="3"/>
      <c r="J44" s="3"/>
      <c r="K44" s="3"/>
      <c r="L44" s="122"/>
    </row>
    <row r="45" spans="1:14" x14ac:dyDescent="0.25">
      <c r="A45" s="17"/>
      <c r="B45" s="3"/>
      <c r="C45" s="13"/>
      <c r="L45" s="122"/>
    </row>
    <row r="46" spans="1:14" x14ac:dyDescent="0.25">
      <c r="A46" s="26"/>
      <c r="B46" s="39"/>
      <c r="C46" s="27"/>
      <c r="D46" s="27"/>
      <c r="E46" s="27"/>
      <c r="F46" s="27"/>
      <c r="G46" s="27"/>
      <c r="H46" s="27"/>
      <c r="I46" s="27"/>
      <c r="J46" s="27"/>
      <c r="K46" s="27"/>
      <c r="L46" s="303"/>
      <c r="N46" s="25"/>
    </row>
    <row r="47" spans="1:14" x14ac:dyDescent="0.25">
      <c r="N47" s="25"/>
    </row>
  </sheetData>
  <mergeCells count="37">
    <mergeCell ref="A22:A23"/>
    <mergeCell ref="B22:B23"/>
    <mergeCell ref="A24:A25"/>
    <mergeCell ref="A26:A27"/>
    <mergeCell ref="B26:B27"/>
    <mergeCell ref="K5:L5"/>
    <mergeCell ref="A3:L3"/>
    <mergeCell ref="A14:A15"/>
    <mergeCell ref="B14:B15"/>
    <mergeCell ref="A16:A17"/>
    <mergeCell ref="B16:B17"/>
    <mergeCell ref="D8:L8"/>
    <mergeCell ref="C8:C9"/>
    <mergeCell ref="B8:B9"/>
    <mergeCell ref="A8:A9"/>
    <mergeCell ref="A10:A11"/>
    <mergeCell ref="B10:B11"/>
    <mergeCell ref="A12:A13"/>
    <mergeCell ref="J6:L6"/>
    <mergeCell ref="A6:I6"/>
    <mergeCell ref="J7:L7"/>
    <mergeCell ref="E44:G44"/>
    <mergeCell ref="A32:A33"/>
    <mergeCell ref="B32:B33"/>
    <mergeCell ref="B12:L13"/>
    <mergeCell ref="B24:L25"/>
    <mergeCell ref="A34:A35"/>
    <mergeCell ref="B34:B35"/>
    <mergeCell ref="A36:B37"/>
    <mergeCell ref="A18:A19"/>
    <mergeCell ref="B18:B19"/>
    <mergeCell ref="A28:A29"/>
    <mergeCell ref="B28:B29"/>
    <mergeCell ref="A30:A31"/>
    <mergeCell ref="B30:B31"/>
    <mergeCell ref="A20:A21"/>
    <mergeCell ref="B20:B21"/>
  </mergeCells>
  <phoneticPr fontId="55" type="noConversion"/>
  <printOptions horizontalCentered="1"/>
  <pageMargins left="0" right="0" top="0.39370078740157483" bottom="0" header="0" footer="0"/>
  <pageSetup paperSize="9" scale="66" orientation="landscape" horizontalDpi="1200" verticalDpi="1200" r:id="rId1"/>
  <ignoredErrors>
    <ignoredError sqref="D34:E34 C28 D30:D31 L15 E15 C16 C18 C30"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17"/>
  <sheetViews>
    <sheetView showGridLines="0" view="pageBreakPreview" zoomScaleNormal="100" zoomScaleSheetLayoutView="100" workbookViewId="0">
      <selection activeCell="H14" sqref="H14"/>
    </sheetView>
  </sheetViews>
  <sheetFormatPr defaultColWidth="8.88671875" defaultRowHeight="13.2" x14ac:dyDescent="0.25"/>
  <cols>
    <col min="1" max="1" width="8.88671875" style="10"/>
    <col min="2" max="2" width="10.44140625" style="3" customWidth="1"/>
    <col min="3" max="3" width="9.5546875" style="3" bestFit="1" customWidth="1"/>
    <col min="4" max="4" width="12.6640625" style="3" bestFit="1" customWidth="1"/>
    <col min="5" max="5" width="54" style="10" customWidth="1"/>
    <col min="6" max="6" width="13.33203125" style="10" bestFit="1" customWidth="1"/>
    <col min="7" max="7" width="10.109375" style="10" customWidth="1"/>
    <col min="8" max="8" width="9.5546875" style="25" bestFit="1" customWidth="1"/>
    <col min="9" max="9" width="9.44140625" style="25" customWidth="1"/>
    <col min="10" max="16384" width="8.88671875" style="10"/>
  </cols>
  <sheetData>
    <row r="2" spans="2:9" ht="15" customHeight="1" x14ac:dyDescent="0.25">
      <c r="B2" s="38" t="s">
        <v>41</v>
      </c>
    </row>
    <row r="3" spans="2:9" ht="15" customHeight="1" x14ac:dyDescent="0.25">
      <c r="B3" s="38" t="s">
        <v>43</v>
      </c>
    </row>
    <row r="4" spans="2:9" ht="15" customHeight="1" x14ac:dyDescent="0.25">
      <c r="B4" s="38" t="s">
        <v>42</v>
      </c>
    </row>
    <row r="5" spans="2:9" ht="15" customHeight="1" x14ac:dyDescent="0.25"/>
    <row r="6" spans="2:9" ht="15" customHeight="1" x14ac:dyDescent="0.25">
      <c r="B6" s="91" t="s">
        <v>45</v>
      </c>
      <c r="C6" s="85"/>
      <c r="D6" s="86"/>
      <c r="E6" s="87"/>
      <c r="F6" s="123" t="s">
        <v>27</v>
      </c>
      <c r="G6" s="98"/>
      <c r="H6" s="99"/>
      <c r="I6" s="100"/>
    </row>
    <row r="7" spans="2:9" ht="5.0999999999999996" customHeight="1" x14ac:dyDescent="0.25">
      <c r="B7" s="101"/>
      <c r="C7" s="102"/>
      <c r="D7" s="103"/>
      <c r="E7" s="104"/>
      <c r="F7" s="103"/>
      <c r="G7" s="98"/>
      <c r="H7" s="99"/>
      <c r="I7" s="100"/>
    </row>
    <row r="8" spans="2:9" ht="15" customHeight="1" x14ac:dyDescent="0.25">
      <c r="B8" s="78" t="s">
        <v>9</v>
      </c>
      <c r="C8" s="90" t="s">
        <v>28</v>
      </c>
      <c r="D8" s="90" t="s">
        <v>2</v>
      </c>
      <c r="E8" s="91" t="s">
        <v>1</v>
      </c>
      <c r="F8" s="90" t="s">
        <v>29</v>
      </c>
      <c r="G8" s="92" t="s">
        <v>30</v>
      </c>
      <c r="H8" s="93" t="s">
        <v>31</v>
      </c>
      <c r="I8" s="93" t="s">
        <v>8</v>
      </c>
    </row>
    <row r="9" spans="2:9" ht="15" customHeight="1" x14ac:dyDescent="0.25">
      <c r="B9" s="85" t="s">
        <v>21</v>
      </c>
      <c r="C9" s="86" t="s">
        <v>33</v>
      </c>
      <c r="D9" s="86" t="s">
        <v>37</v>
      </c>
      <c r="E9" s="87" t="s">
        <v>34</v>
      </c>
      <c r="F9" s="86" t="s">
        <v>35</v>
      </c>
      <c r="G9" s="88">
        <v>0.9</v>
      </c>
      <c r="H9" s="89">
        <v>14.1</v>
      </c>
      <c r="I9" s="89">
        <f t="shared" ref="I9:I10" si="0">H9*G9</f>
        <v>12.69</v>
      </c>
    </row>
    <row r="10" spans="2:9" ht="15" customHeight="1" x14ac:dyDescent="0.25">
      <c r="B10" s="85" t="s">
        <v>21</v>
      </c>
      <c r="C10" s="86" t="s">
        <v>33</v>
      </c>
      <c r="D10" s="86" t="s">
        <v>38</v>
      </c>
      <c r="E10" s="87" t="s">
        <v>36</v>
      </c>
      <c r="F10" s="86" t="s">
        <v>35</v>
      </c>
      <c r="G10" s="88">
        <v>0.1</v>
      </c>
      <c r="H10" s="89">
        <v>19.63</v>
      </c>
      <c r="I10" s="89">
        <f t="shared" si="0"/>
        <v>1.9630000000000001</v>
      </c>
    </row>
    <row r="11" spans="2:9" x14ac:dyDescent="0.25">
      <c r="B11" s="94"/>
      <c r="C11" s="95"/>
      <c r="D11" s="95"/>
      <c r="E11" s="96"/>
      <c r="F11" s="95"/>
      <c r="G11" s="97"/>
      <c r="H11" s="283" t="s">
        <v>8</v>
      </c>
      <c r="I11" s="93">
        <f>SUM(I9:I10)</f>
        <v>14.652999999999999</v>
      </c>
    </row>
    <row r="12" spans="2:9" x14ac:dyDescent="0.25">
      <c r="C12" s="82"/>
      <c r="D12" s="82"/>
      <c r="E12" s="81"/>
      <c r="F12" s="82"/>
      <c r="G12" s="83"/>
      <c r="H12" s="84"/>
      <c r="I12" s="84"/>
    </row>
    <row r="14" spans="2:9" x14ac:dyDescent="0.25">
      <c r="E14" s="48" t="s">
        <v>19</v>
      </c>
    </row>
    <row r="15" spans="2:9" x14ac:dyDescent="0.25">
      <c r="E15" s="109" t="s">
        <v>49</v>
      </c>
    </row>
    <row r="16" spans="2:9" ht="13.8" x14ac:dyDescent="0.25">
      <c r="E16" s="3" t="s">
        <v>50</v>
      </c>
    </row>
    <row r="17" spans="5:5" x14ac:dyDescent="0.25">
      <c r="E17" s="3"/>
    </row>
  </sheetData>
  <printOptions horizontalCentered="1"/>
  <pageMargins left="0.59055118110236227" right="0.39370078740157483" top="1.1811023622047245" bottom="0.78740157480314965"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2"/>
  <sheetViews>
    <sheetView showGridLines="0" view="pageBreakPreview" zoomScale="90" zoomScaleNormal="100" zoomScaleSheetLayoutView="90" workbookViewId="0">
      <selection activeCell="H14" sqref="H14"/>
    </sheetView>
  </sheetViews>
  <sheetFormatPr defaultColWidth="8.6640625" defaultRowHeight="13.2" x14ac:dyDescent="0.25"/>
  <cols>
    <col min="1" max="1" width="10.88671875" style="287" customWidth="1"/>
    <col min="2" max="2" width="10.88671875" style="287" bestFit="1" customWidth="1"/>
    <col min="3" max="3" width="14.33203125" style="287" customWidth="1"/>
    <col min="4" max="4" width="51.33203125" style="287" customWidth="1"/>
    <col min="5" max="5" width="8.6640625" style="287"/>
    <col min="6" max="6" width="10.5546875" style="200" bestFit="1" customWidth="1"/>
    <col min="7" max="7" width="11.33203125" style="200" customWidth="1"/>
    <col min="8" max="8" width="11.88671875" style="200" bestFit="1" customWidth="1"/>
    <col min="9" max="16384" width="8.6640625" style="287"/>
  </cols>
  <sheetData>
    <row r="1" spans="1:9" ht="15" customHeight="1" x14ac:dyDescent="0.25">
      <c r="A1" s="38" t="s">
        <v>41</v>
      </c>
      <c r="B1" s="3"/>
      <c r="C1" s="10"/>
      <c r="D1" s="10"/>
      <c r="E1" s="10"/>
      <c r="F1" s="3"/>
      <c r="G1" s="115"/>
      <c r="H1" s="115"/>
    </row>
    <row r="2" spans="1:9" ht="15" customHeight="1" x14ac:dyDescent="0.25">
      <c r="A2" s="38" t="s">
        <v>43</v>
      </c>
      <c r="B2" s="3"/>
      <c r="C2" s="10"/>
      <c r="D2" s="10"/>
      <c r="E2" s="10"/>
      <c r="F2" s="3"/>
      <c r="G2" s="115"/>
      <c r="H2" s="115"/>
    </row>
    <row r="3" spans="1:9" ht="15" customHeight="1" x14ac:dyDescent="0.25">
      <c r="A3" s="38" t="s">
        <v>42</v>
      </c>
      <c r="B3" s="3"/>
      <c r="C3" s="10"/>
      <c r="D3" s="10"/>
      <c r="E3" s="10"/>
      <c r="F3" s="3"/>
      <c r="G3" s="115"/>
      <c r="H3" s="115"/>
    </row>
    <row r="4" spans="1:9" ht="15" customHeight="1" x14ac:dyDescent="0.25">
      <c r="A4" s="3"/>
      <c r="B4" s="3"/>
      <c r="C4" s="10"/>
      <c r="D4" s="10"/>
      <c r="E4" s="10"/>
      <c r="F4" s="3"/>
      <c r="G4" s="115"/>
      <c r="H4" s="115"/>
    </row>
    <row r="5" spans="1:9" ht="30" customHeight="1" x14ac:dyDescent="0.25">
      <c r="A5" s="463" t="s">
        <v>117</v>
      </c>
      <c r="B5" s="464"/>
      <c r="C5" s="464"/>
      <c r="D5" s="465"/>
      <c r="E5" s="148" t="s">
        <v>65</v>
      </c>
      <c r="F5" s="220"/>
      <c r="G5" s="221"/>
      <c r="H5" s="222"/>
    </row>
    <row r="6" spans="1:9" ht="15" customHeight="1" x14ac:dyDescent="0.25">
      <c r="A6" s="149"/>
      <c r="B6" s="7"/>
      <c r="C6" s="104"/>
      <c r="D6" s="104"/>
      <c r="E6" s="103"/>
      <c r="F6" s="220"/>
      <c r="G6" s="221"/>
      <c r="H6" s="222"/>
    </row>
    <row r="7" spans="1:9" ht="15" customHeight="1" x14ac:dyDescent="0.25">
      <c r="A7" s="78" t="s">
        <v>9</v>
      </c>
      <c r="B7" s="90" t="s">
        <v>28</v>
      </c>
      <c r="C7" s="90" t="s">
        <v>2</v>
      </c>
      <c r="D7" s="90" t="s">
        <v>1</v>
      </c>
      <c r="E7" s="90" t="s">
        <v>29</v>
      </c>
      <c r="F7" s="105" t="s">
        <v>30</v>
      </c>
      <c r="G7" s="106" t="s">
        <v>31</v>
      </c>
      <c r="H7" s="106" t="s">
        <v>8</v>
      </c>
    </row>
    <row r="8" spans="1:9" ht="30" customHeight="1" x14ac:dyDescent="0.25">
      <c r="A8" s="85" t="s">
        <v>21</v>
      </c>
      <c r="B8" s="86" t="s">
        <v>98</v>
      </c>
      <c r="C8" s="86" t="s">
        <v>118</v>
      </c>
      <c r="D8" s="163" t="s">
        <v>119</v>
      </c>
      <c r="E8" s="86" t="s">
        <v>56</v>
      </c>
      <c r="F8" s="250">
        <v>0.08</v>
      </c>
      <c r="G8" s="224">
        <v>6.24</v>
      </c>
      <c r="H8" s="224">
        <f>G8*F8</f>
        <v>0.49920000000000003</v>
      </c>
      <c r="I8" s="252"/>
    </row>
    <row r="9" spans="1:9" ht="30" customHeight="1" x14ac:dyDescent="0.25">
      <c r="A9" s="85" t="s">
        <v>21</v>
      </c>
      <c r="B9" s="86" t="s">
        <v>98</v>
      </c>
      <c r="C9" s="86" t="s">
        <v>121</v>
      </c>
      <c r="D9" s="163" t="s">
        <v>120</v>
      </c>
      <c r="E9" s="86" t="s">
        <v>124</v>
      </c>
      <c r="F9" s="250">
        <v>0.02</v>
      </c>
      <c r="G9" s="224">
        <v>8.26</v>
      </c>
      <c r="H9" s="224">
        <f t="shared" ref="H9:H12" si="0">G9*F9</f>
        <v>0.16519999999999999</v>
      </c>
    </row>
    <row r="10" spans="1:9" ht="34.5" customHeight="1" x14ac:dyDescent="0.25">
      <c r="A10" s="85" t="s">
        <v>21</v>
      </c>
      <c r="B10" s="86" t="s">
        <v>98</v>
      </c>
      <c r="C10" s="86" t="s">
        <v>123</v>
      </c>
      <c r="D10" s="163" t="s">
        <v>122</v>
      </c>
      <c r="E10" s="86" t="s">
        <v>64</v>
      </c>
      <c r="F10" s="250">
        <v>0.05</v>
      </c>
      <c r="G10" s="224">
        <v>21.39</v>
      </c>
      <c r="H10" s="224">
        <f t="shared" si="0"/>
        <v>1.0695000000000001</v>
      </c>
    </row>
    <row r="11" spans="1:9" ht="29.25" customHeight="1" x14ac:dyDescent="0.25">
      <c r="A11" s="85" t="s">
        <v>21</v>
      </c>
      <c r="B11" s="86" t="s">
        <v>33</v>
      </c>
      <c r="C11" s="86" t="s">
        <v>126</v>
      </c>
      <c r="D11" s="290" t="s">
        <v>125</v>
      </c>
      <c r="E11" s="86" t="s">
        <v>35</v>
      </c>
      <c r="F11" s="223">
        <v>0.16</v>
      </c>
      <c r="G11" s="224">
        <v>19.63</v>
      </c>
      <c r="H11" s="224">
        <f t="shared" si="0"/>
        <v>3.1408</v>
      </c>
    </row>
    <row r="12" spans="1:9" ht="15" customHeight="1" x14ac:dyDescent="0.25">
      <c r="A12" s="85" t="s">
        <v>21</v>
      </c>
      <c r="B12" s="86" t="s">
        <v>33</v>
      </c>
      <c r="C12" s="86" t="s">
        <v>37</v>
      </c>
      <c r="D12" s="87" t="s">
        <v>34</v>
      </c>
      <c r="E12" s="86" t="s">
        <v>35</v>
      </c>
      <c r="F12" s="223">
        <v>0.16</v>
      </c>
      <c r="G12" s="224">
        <v>14.1</v>
      </c>
      <c r="H12" s="224">
        <f t="shared" si="0"/>
        <v>2.2559999999999998</v>
      </c>
    </row>
    <row r="13" spans="1:9" ht="15" customHeight="1" x14ac:dyDescent="0.25">
      <c r="A13" s="94"/>
      <c r="B13" s="94"/>
      <c r="C13" s="50"/>
      <c r="D13" s="50"/>
      <c r="E13" s="50"/>
      <c r="F13" s="94"/>
      <c r="G13" s="275" t="s">
        <v>8</v>
      </c>
      <c r="H13" s="286">
        <f>SUM(H8:H12)</f>
        <v>7.1307000000000009</v>
      </c>
    </row>
    <row r="14" spans="1:9" x14ac:dyDescent="0.25">
      <c r="A14" s="3"/>
      <c r="B14" s="3"/>
      <c r="C14" s="10"/>
      <c r="D14" s="10"/>
      <c r="E14" s="10"/>
      <c r="F14" s="3"/>
      <c r="G14" s="115"/>
      <c r="H14" s="115"/>
    </row>
    <row r="15" spans="1:9" x14ac:dyDescent="0.25">
      <c r="A15" s="3"/>
      <c r="B15" s="3"/>
      <c r="C15" s="10"/>
      <c r="D15" s="10"/>
      <c r="E15" s="10"/>
      <c r="F15" s="3"/>
      <c r="G15" s="115"/>
      <c r="H15" s="115"/>
    </row>
    <row r="16" spans="1:9" x14ac:dyDescent="0.25">
      <c r="A16" s="3"/>
      <c r="B16" s="3"/>
      <c r="C16" s="10"/>
      <c r="D16" s="10"/>
      <c r="E16" s="10"/>
      <c r="F16" s="3"/>
      <c r="G16" s="115"/>
      <c r="H16" s="115"/>
    </row>
    <row r="17" spans="1:8" x14ac:dyDescent="0.25">
      <c r="A17" s="3"/>
      <c r="B17" s="3"/>
      <c r="C17" s="10"/>
      <c r="D17" s="48" t="s">
        <v>19</v>
      </c>
      <c r="E17" s="10"/>
      <c r="F17" s="3"/>
      <c r="G17" s="115"/>
      <c r="H17" s="115"/>
    </row>
    <row r="18" spans="1:8" x14ac:dyDescent="0.25">
      <c r="A18" s="3"/>
      <c r="B18" s="3"/>
      <c r="C18" s="10"/>
      <c r="D18" s="109" t="s">
        <v>49</v>
      </c>
      <c r="E18" s="10"/>
      <c r="F18" s="3"/>
      <c r="G18" s="115"/>
      <c r="H18" s="115"/>
    </row>
    <row r="19" spans="1:8" ht="13.8" x14ac:dyDescent="0.25">
      <c r="A19" s="3"/>
      <c r="B19" s="3"/>
      <c r="C19" s="10"/>
      <c r="D19" s="3" t="s">
        <v>50</v>
      </c>
      <c r="E19" s="10"/>
      <c r="F19" s="3"/>
      <c r="G19" s="115"/>
      <c r="H19" s="115"/>
    </row>
    <row r="20" spans="1:8" x14ac:dyDescent="0.25">
      <c r="A20" s="3"/>
      <c r="B20" s="3"/>
      <c r="C20" s="10"/>
      <c r="D20" s="10"/>
      <c r="E20" s="10"/>
      <c r="F20" s="3"/>
      <c r="G20" s="115"/>
      <c r="H20" s="115"/>
    </row>
    <row r="21" spans="1:8" x14ac:dyDescent="0.25">
      <c r="A21" s="3"/>
      <c r="B21" s="3"/>
      <c r="C21" s="10"/>
      <c r="D21" s="10"/>
      <c r="E21" s="10"/>
      <c r="F21" s="3"/>
      <c r="G21" s="115"/>
      <c r="H21" s="115"/>
    </row>
    <row r="22" spans="1:8" x14ac:dyDescent="0.25">
      <c r="A22" s="3"/>
      <c r="B22" s="3"/>
      <c r="C22" s="10"/>
      <c r="D22" s="10"/>
      <c r="E22" s="10"/>
      <c r="F22" s="3"/>
      <c r="G22" s="115"/>
      <c r="H22" s="115"/>
    </row>
  </sheetData>
  <mergeCells count="1">
    <mergeCell ref="A5:D5"/>
  </mergeCells>
  <printOptions horizontalCentered="1"/>
  <pageMargins left="0.51181102362204722" right="0.51181102362204722" top="0.78740157480314965" bottom="0.78740157480314965" header="0.31496062992125984" footer="0.31496062992125984"/>
  <pageSetup paperSize="9" scale="99" orientation="landscape" r:id="rId1"/>
  <colBreaks count="1" manualBreakCount="1">
    <brk id="9" max="26"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4"/>
  <sheetViews>
    <sheetView showGridLines="0" view="pageBreakPreview" topLeftCell="A4" zoomScale="90" zoomScaleNormal="100" zoomScaleSheetLayoutView="90" workbookViewId="0">
      <selection activeCell="H14" sqref="H14"/>
    </sheetView>
  </sheetViews>
  <sheetFormatPr defaultColWidth="8.6640625" defaultRowHeight="13.2" x14ac:dyDescent="0.25"/>
  <cols>
    <col min="1" max="1" width="10.88671875" style="287" customWidth="1"/>
    <col min="2" max="3" width="10.88671875" style="287" bestFit="1" customWidth="1"/>
    <col min="4" max="4" width="51.33203125" style="287" customWidth="1"/>
    <col min="5" max="5" width="8.6640625" style="287"/>
    <col min="6" max="6" width="10.5546875" style="200" bestFit="1" customWidth="1"/>
    <col min="7" max="7" width="9.6640625" style="200" bestFit="1" customWidth="1"/>
    <col min="8" max="8" width="11.88671875" style="200" bestFit="1" customWidth="1"/>
    <col min="9" max="16384" width="8.6640625" style="287"/>
  </cols>
  <sheetData>
    <row r="1" spans="1:9" ht="15" customHeight="1" x14ac:dyDescent="0.25">
      <c r="A1" s="38" t="s">
        <v>41</v>
      </c>
      <c r="B1" s="3"/>
      <c r="C1" s="10"/>
      <c r="D1" s="10"/>
      <c r="E1" s="10"/>
      <c r="F1" s="3"/>
      <c r="G1" s="115"/>
      <c r="H1" s="115"/>
    </row>
    <row r="2" spans="1:9" ht="15" customHeight="1" x14ac:dyDescent="0.25">
      <c r="A2" s="38" t="s">
        <v>43</v>
      </c>
      <c r="B2" s="3"/>
      <c r="C2" s="10"/>
      <c r="D2" s="10"/>
      <c r="E2" s="10"/>
      <c r="F2" s="3"/>
      <c r="G2" s="115"/>
      <c r="H2" s="115"/>
    </row>
    <row r="3" spans="1:9" ht="15" customHeight="1" x14ac:dyDescent="0.25">
      <c r="A3" s="38" t="s">
        <v>42</v>
      </c>
      <c r="B3" s="3"/>
      <c r="C3" s="10"/>
      <c r="D3" s="10"/>
      <c r="E3" s="10"/>
      <c r="F3" s="3"/>
      <c r="G3" s="115"/>
      <c r="H3" s="115"/>
    </row>
    <row r="4" spans="1:9" ht="15" customHeight="1" x14ac:dyDescent="0.25">
      <c r="A4" s="3"/>
      <c r="B4" s="3"/>
      <c r="C4" s="10"/>
      <c r="D4" s="10"/>
      <c r="E4" s="10"/>
      <c r="F4" s="3"/>
      <c r="G4" s="115"/>
      <c r="H4" s="115"/>
    </row>
    <row r="5" spans="1:9" ht="30" customHeight="1" x14ac:dyDescent="0.25">
      <c r="A5" s="463" t="s">
        <v>113</v>
      </c>
      <c r="B5" s="464"/>
      <c r="C5" s="464"/>
      <c r="D5" s="465"/>
      <c r="E5" s="148" t="s">
        <v>65</v>
      </c>
      <c r="F5" s="220"/>
      <c r="G5" s="221"/>
      <c r="H5" s="222"/>
    </row>
    <row r="6" spans="1:9" ht="15" customHeight="1" x14ac:dyDescent="0.25">
      <c r="A6" s="149"/>
      <c r="B6" s="7"/>
      <c r="C6" s="104"/>
      <c r="D6" s="104"/>
      <c r="E6" s="103"/>
      <c r="F6" s="220"/>
      <c r="G6" s="221"/>
      <c r="H6" s="222"/>
    </row>
    <row r="7" spans="1:9" ht="15" customHeight="1" x14ac:dyDescent="0.25">
      <c r="A7" s="78" t="s">
        <v>9</v>
      </c>
      <c r="B7" s="90" t="s">
        <v>28</v>
      </c>
      <c r="C7" s="90" t="s">
        <v>2</v>
      </c>
      <c r="D7" s="90" t="s">
        <v>1</v>
      </c>
      <c r="E7" s="90" t="s">
        <v>29</v>
      </c>
      <c r="F7" s="105" t="s">
        <v>30</v>
      </c>
      <c r="G7" s="106" t="s">
        <v>31</v>
      </c>
      <c r="H7" s="106" t="s">
        <v>8</v>
      </c>
    </row>
    <row r="8" spans="1:9" ht="30" customHeight="1" x14ac:dyDescent="0.25">
      <c r="A8" s="85" t="s">
        <v>21</v>
      </c>
      <c r="B8" s="86" t="s">
        <v>98</v>
      </c>
      <c r="C8" s="86" t="s">
        <v>57</v>
      </c>
      <c r="D8" s="163" t="s">
        <v>52</v>
      </c>
      <c r="E8" s="86" t="s">
        <v>39</v>
      </c>
      <c r="F8" s="250">
        <f>(4.2+1.2)/2*1.8*0.1</f>
        <v>0.48600000000000004</v>
      </c>
      <c r="G8" s="224">
        <v>208.81</v>
      </c>
      <c r="H8" s="224">
        <f t="shared" ref="H8:H14" si="0">G8*F8</f>
        <v>101.48166000000001</v>
      </c>
      <c r="I8" s="252"/>
    </row>
    <row r="9" spans="1:9" ht="30" customHeight="1" x14ac:dyDescent="0.25">
      <c r="A9" s="85" t="s">
        <v>21</v>
      </c>
      <c r="B9" s="86" t="s">
        <v>98</v>
      </c>
      <c r="C9" s="86" t="s">
        <v>54</v>
      </c>
      <c r="D9" s="163" t="s">
        <v>55</v>
      </c>
      <c r="E9" s="86" t="s">
        <v>56</v>
      </c>
      <c r="F9" s="250">
        <f>1.5+1.5+1.2</f>
        <v>4.2</v>
      </c>
      <c r="G9" s="224">
        <v>27.5</v>
      </c>
      <c r="H9" s="224">
        <f t="shared" si="0"/>
        <v>115.5</v>
      </c>
    </row>
    <row r="10" spans="1:9" ht="15" customHeight="1" x14ac:dyDescent="0.25">
      <c r="A10" s="85" t="s">
        <v>21</v>
      </c>
      <c r="B10" s="86" t="s">
        <v>98</v>
      </c>
      <c r="C10" s="86" t="s">
        <v>58</v>
      </c>
      <c r="D10" s="163" t="s">
        <v>59</v>
      </c>
      <c r="E10" s="86" t="s">
        <v>39</v>
      </c>
      <c r="F10" s="250">
        <f>(((0.12+0.07)/2)*1.8*1.2)+(((0.07+0.12)/2)*1.5)*1.8</f>
        <v>0.46170000000000011</v>
      </c>
      <c r="G10" s="224">
        <v>47.94</v>
      </c>
      <c r="H10" s="224">
        <f t="shared" si="0"/>
        <v>22.133898000000006</v>
      </c>
    </row>
    <row r="11" spans="1:9" ht="60" customHeight="1" x14ac:dyDescent="0.25">
      <c r="A11" s="85" t="s">
        <v>21</v>
      </c>
      <c r="B11" s="86" t="s">
        <v>98</v>
      </c>
      <c r="C11" s="86" t="s">
        <v>60</v>
      </c>
      <c r="D11" s="163" t="s">
        <v>61</v>
      </c>
      <c r="E11" s="86" t="s">
        <v>39</v>
      </c>
      <c r="F11" s="250">
        <f>(4.2+1.2)/2*1.8*0.07</f>
        <v>0.34020000000000006</v>
      </c>
      <c r="G11" s="224">
        <v>501.6</v>
      </c>
      <c r="H11" s="224">
        <f t="shared" si="0"/>
        <v>170.64432000000005</v>
      </c>
    </row>
    <row r="12" spans="1:9" ht="69.900000000000006" customHeight="1" x14ac:dyDescent="0.25">
      <c r="A12" s="85" t="s">
        <v>21</v>
      </c>
      <c r="B12" s="86" t="s">
        <v>98</v>
      </c>
      <c r="C12" s="86" t="s">
        <v>62</v>
      </c>
      <c r="D12" s="163" t="s">
        <v>63</v>
      </c>
      <c r="E12" s="86" t="s">
        <v>64</v>
      </c>
      <c r="F12" s="223">
        <f>1.2*0.2</f>
        <v>0.24</v>
      </c>
      <c r="G12" s="224">
        <v>62.97</v>
      </c>
      <c r="H12" s="224">
        <f t="shared" si="0"/>
        <v>15.1128</v>
      </c>
    </row>
    <row r="13" spans="1:9" ht="15" customHeight="1" x14ac:dyDescent="0.25">
      <c r="A13" s="85" t="s">
        <v>21</v>
      </c>
      <c r="B13" s="86" t="s">
        <v>33</v>
      </c>
      <c r="C13" s="86" t="s">
        <v>38</v>
      </c>
      <c r="D13" s="87" t="s">
        <v>36</v>
      </c>
      <c r="E13" s="86" t="s">
        <v>35</v>
      </c>
      <c r="F13" s="223">
        <v>1.5</v>
      </c>
      <c r="G13" s="224">
        <v>19.63</v>
      </c>
      <c r="H13" s="224">
        <f t="shared" si="0"/>
        <v>29.445</v>
      </c>
    </row>
    <row r="14" spans="1:9" ht="15" customHeight="1" x14ac:dyDescent="0.25">
      <c r="A14" s="85" t="s">
        <v>21</v>
      </c>
      <c r="B14" s="86" t="s">
        <v>33</v>
      </c>
      <c r="C14" s="86" t="s">
        <v>37</v>
      </c>
      <c r="D14" s="87" t="s">
        <v>34</v>
      </c>
      <c r="E14" s="86" t="s">
        <v>35</v>
      </c>
      <c r="F14" s="223">
        <v>2</v>
      </c>
      <c r="G14" s="224">
        <v>14.1</v>
      </c>
      <c r="H14" s="224">
        <f t="shared" si="0"/>
        <v>28.2</v>
      </c>
    </row>
    <row r="15" spans="1:9" ht="15" customHeight="1" x14ac:dyDescent="0.25">
      <c r="A15" s="94"/>
      <c r="B15" s="94"/>
      <c r="C15" s="50"/>
      <c r="D15" s="50"/>
      <c r="E15" s="50"/>
      <c r="F15" s="94"/>
      <c r="G15" s="275" t="s">
        <v>8</v>
      </c>
      <c r="H15" s="286">
        <f>SUM(H8:H14)</f>
        <v>482.51767800000005</v>
      </c>
    </row>
    <row r="16" spans="1:9" x14ac:dyDescent="0.25">
      <c r="A16" s="3"/>
      <c r="B16" s="3"/>
      <c r="C16" s="10"/>
      <c r="D16" s="10"/>
      <c r="E16" s="10"/>
      <c r="F16" s="3"/>
      <c r="G16" s="115"/>
      <c r="H16" s="115"/>
    </row>
    <row r="17" spans="1:8" x14ac:dyDescent="0.25">
      <c r="A17" s="3"/>
      <c r="B17" s="3"/>
      <c r="C17" s="10"/>
      <c r="D17" s="10"/>
      <c r="E17" s="10"/>
      <c r="F17" s="3"/>
      <c r="G17" s="115"/>
      <c r="H17" s="115"/>
    </row>
    <row r="18" spans="1:8" x14ac:dyDescent="0.25">
      <c r="A18" s="3"/>
      <c r="B18" s="3"/>
      <c r="C18" s="10"/>
      <c r="D18" s="10"/>
      <c r="E18" s="10"/>
      <c r="F18" s="3"/>
      <c r="G18" s="115"/>
      <c r="H18" s="115"/>
    </row>
    <row r="19" spans="1:8" x14ac:dyDescent="0.25">
      <c r="A19" s="3"/>
      <c r="B19" s="3"/>
      <c r="C19" s="10"/>
      <c r="D19" s="48" t="s">
        <v>19</v>
      </c>
      <c r="E19" s="10"/>
      <c r="F19" s="3"/>
      <c r="G19" s="115"/>
      <c r="H19" s="115"/>
    </row>
    <row r="20" spans="1:8" x14ac:dyDescent="0.25">
      <c r="A20" s="3"/>
      <c r="B20" s="3"/>
      <c r="C20" s="10"/>
      <c r="D20" s="109" t="s">
        <v>49</v>
      </c>
      <c r="E20" s="10"/>
      <c r="F20" s="3"/>
      <c r="G20" s="115"/>
      <c r="H20" s="115"/>
    </row>
    <row r="21" spans="1:8" ht="13.8" x14ac:dyDescent="0.25">
      <c r="A21" s="3"/>
      <c r="B21" s="3"/>
      <c r="C21" s="10"/>
      <c r="D21" s="3" t="s">
        <v>50</v>
      </c>
      <c r="E21" s="10"/>
      <c r="F21" s="3"/>
      <c r="G21" s="115"/>
      <c r="H21" s="115"/>
    </row>
    <row r="22" spans="1:8" x14ac:dyDescent="0.25">
      <c r="A22" s="3"/>
      <c r="B22" s="3"/>
      <c r="C22" s="10"/>
      <c r="D22" s="10"/>
      <c r="E22" s="10"/>
      <c r="F22" s="3"/>
      <c r="G22" s="115"/>
      <c r="H22" s="115"/>
    </row>
    <row r="23" spans="1:8" x14ac:dyDescent="0.25">
      <c r="A23" s="3"/>
      <c r="B23" s="3"/>
      <c r="C23" s="10"/>
      <c r="D23" s="10"/>
      <c r="E23" s="10"/>
      <c r="F23" s="3"/>
      <c r="G23" s="115"/>
      <c r="H23" s="115"/>
    </row>
    <row r="24" spans="1:8" x14ac:dyDescent="0.25">
      <c r="A24" s="3"/>
      <c r="B24" s="3"/>
      <c r="C24" s="10"/>
      <c r="D24" s="10"/>
      <c r="E24" s="10"/>
      <c r="F24" s="3"/>
      <c r="G24" s="115"/>
      <c r="H24" s="115"/>
    </row>
  </sheetData>
  <mergeCells count="1">
    <mergeCell ref="A5:D5"/>
  </mergeCells>
  <printOptions horizontalCentered="1"/>
  <pageMargins left="0.51181102362204722" right="0.51181102362204722" top="0.78740157480314965" bottom="0.78740157480314965"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1"/>
  <sheetViews>
    <sheetView showGridLines="0" view="pageBreakPreview" zoomScale="75" zoomScaleNormal="100" zoomScaleSheetLayoutView="75" workbookViewId="0">
      <selection activeCell="H14" sqref="H14"/>
    </sheetView>
  </sheetViews>
  <sheetFormatPr defaultColWidth="8.6640625" defaultRowHeight="13.2" x14ac:dyDescent="0.25"/>
  <cols>
    <col min="1" max="1" width="10.88671875" style="287" customWidth="1"/>
    <col min="2" max="2" width="11.33203125" style="287" bestFit="1" customWidth="1"/>
    <col min="3" max="3" width="14.44140625" style="287" bestFit="1" customWidth="1"/>
    <col min="4" max="4" width="51.33203125" style="287" customWidth="1"/>
    <col min="5" max="5" width="15" style="287" bestFit="1" customWidth="1"/>
    <col min="6" max="6" width="14.33203125" style="200" bestFit="1" customWidth="1"/>
    <col min="7" max="7" width="15.6640625" style="200" bestFit="1" customWidth="1"/>
    <col min="8" max="8" width="12.88671875" style="200" bestFit="1" customWidth="1"/>
    <col min="9" max="16384" width="8.6640625" style="287"/>
  </cols>
  <sheetData>
    <row r="1" spans="1:9" ht="15" customHeight="1" x14ac:dyDescent="0.25">
      <c r="A1" s="38" t="s">
        <v>41</v>
      </c>
      <c r="B1" s="3"/>
      <c r="C1" s="10"/>
      <c r="D1" s="10"/>
      <c r="E1" s="10"/>
      <c r="F1" s="3"/>
      <c r="G1" s="115"/>
      <c r="H1" s="115"/>
    </row>
    <row r="2" spans="1:9" ht="15" customHeight="1" x14ac:dyDescent="0.25">
      <c r="A2" s="38" t="s">
        <v>43</v>
      </c>
      <c r="B2" s="3"/>
      <c r="C2" s="10"/>
      <c r="D2" s="10"/>
      <c r="E2" s="10"/>
      <c r="F2" s="3"/>
      <c r="G2" s="115"/>
      <c r="H2" s="115"/>
    </row>
    <row r="3" spans="1:9" ht="15" customHeight="1" x14ac:dyDescent="0.25">
      <c r="A3" s="38" t="s">
        <v>42</v>
      </c>
      <c r="B3" s="3"/>
      <c r="C3" s="10"/>
      <c r="D3" s="10"/>
      <c r="E3" s="10"/>
      <c r="F3" s="3"/>
      <c r="G3" s="115"/>
      <c r="H3" s="115"/>
    </row>
    <row r="4" spans="1:9" ht="15" customHeight="1" x14ac:dyDescent="0.25">
      <c r="A4" s="3"/>
      <c r="B4" s="3"/>
      <c r="C4" s="10"/>
      <c r="D4" s="10"/>
      <c r="E4" s="10"/>
      <c r="F4" s="3"/>
      <c r="G4" s="115"/>
      <c r="H4" s="115"/>
    </row>
    <row r="5" spans="1:9" ht="30" customHeight="1" x14ac:dyDescent="0.25">
      <c r="A5" s="463" t="s">
        <v>114</v>
      </c>
      <c r="B5" s="464"/>
      <c r="C5" s="464"/>
      <c r="D5" s="465"/>
      <c r="E5" s="148" t="s">
        <v>65</v>
      </c>
      <c r="F5" s="220"/>
      <c r="G5" s="221"/>
      <c r="H5" s="222"/>
    </row>
    <row r="6" spans="1:9" ht="15" customHeight="1" x14ac:dyDescent="0.25">
      <c r="A6" s="149"/>
      <c r="B6" s="7"/>
      <c r="C6" s="104"/>
      <c r="D6" s="104"/>
      <c r="E6" s="103"/>
      <c r="F6" s="220"/>
      <c r="G6" s="221"/>
      <c r="H6" s="222"/>
    </row>
    <row r="7" spans="1:9" ht="15" customHeight="1" x14ac:dyDescent="0.25">
      <c r="A7" s="78" t="s">
        <v>9</v>
      </c>
      <c r="B7" s="90" t="s">
        <v>28</v>
      </c>
      <c r="C7" s="90" t="s">
        <v>2</v>
      </c>
      <c r="D7" s="90" t="s">
        <v>1</v>
      </c>
      <c r="E7" s="90" t="s">
        <v>29</v>
      </c>
      <c r="F7" s="105" t="s">
        <v>30</v>
      </c>
      <c r="G7" s="106" t="s">
        <v>31</v>
      </c>
      <c r="H7" s="106" t="s">
        <v>8</v>
      </c>
    </row>
    <row r="8" spans="1:9" ht="26.4" x14ac:dyDescent="0.25">
      <c r="A8" s="85" t="s">
        <v>21</v>
      </c>
      <c r="B8" s="86" t="s">
        <v>53</v>
      </c>
      <c r="C8" s="86" t="s">
        <v>57</v>
      </c>
      <c r="D8" s="163" t="s">
        <v>52</v>
      </c>
      <c r="E8" s="86" t="s">
        <v>39</v>
      </c>
      <c r="F8" s="250">
        <f>((1.8+1.8+2)*1.05)*0.1</f>
        <v>0.58799999999999997</v>
      </c>
      <c r="G8" s="224">
        <v>208.81</v>
      </c>
      <c r="H8" s="224">
        <f t="shared" ref="H8:H14" si="0">G8*F8</f>
        <v>122.78027999999999</v>
      </c>
      <c r="I8" s="252"/>
    </row>
    <row r="9" spans="1:9" ht="30" customHeight="1" x14ac:dyDescent="0.25">
      <c r="A9" s="85" t="s">
        <v>21</v>
      </c>
      <c r="B9" s="86" t="s">
        <v>53</v>
      </c>
      <c r="C9" s="86" t="s">
        <v>54</v>
      </c>
      <c r="D9" s="163" t="s">
        <v>55</v>
      </c>
      <c r="E9" s="86" t="s">
        <v>56</v>
      </c>
      <c r="F9" s="250">
        <f>1.8+1.8+2</f>
        <v>5.6</v>
      </c>
      <c r="G9" s="224">
        <v>27.5</v>
      </c>
      <c r="H9" s="224">
        <f t="shared" si="0"/>
        <v>154</v>
      </c>
    </row>
    <row r="10" spans="1:9" ht="15" customHeight="1" x14ac:dyDescent="0.25">
      <c r="A10" s="85" t="s">
        <v>21</v>
      </c>
      <c r="B10" s="86" t="s">
        <v>53</v>
      </c>
      <c r="C10" s="86" t="s">
        <v>58</v>
      </c>
      <c r="D10" s="163" t="s">
        <v>59</v>
      </c>
      <c r="E10" s="86" t="s">
        <v>39</v>
      </c>
      <c r="F10" s="250">
        <f>(2*1.05*0.12)+(((0.07+0.12)/2*1.8*1.05)*2)</f>
        <v>0.61109999999999998</v>
      </c>
      <c r="G10" s="224">
        <v>47.94</v>
      </c>
      <c r="H10" s="224">
        <f t="shared" si="0"/>
        <v>29.296133999999999</v>
      </c>
    </row>
    <row r="11" spans="1:9" ht="60" customHeight="1" x14ac:dyDescent="0.25">
      <c r="A11" s="85" t="s">
        <v>21</v>
      </c>
      <c r="B11" s="86" t="s">
        <v>53</v>
      </c>
      <c r="C11" s="86" t="s">
        <v>60</v>
      </c>
      <c r="D11" s="163" t="s">
        <v>61</v>
      </c>
      <c r="E11" s="86" t="s">
        <v>39</v>
      </c>
      <c r="F11" s="250">
        <f>(1.8062*1.05*2*0.07)+(2*1.05*0.07)</f>
        <v>0.41251140000000008</v>
      </c>
      <c r="G11" s="224">
        <v>501.6</v>
      </c>
      <c r="H11" s="224">
        <f t="shared" si="0"/>
        <v>206.91571824000005</v>
      </c>
    </row>
    <row r="12" spans="1:9" ht="69.900000000000006" customHeight="1" x14ac:dyDescent="0.25">
      <c r="A12" s="85" t="s">
        <v>21</v>
      </c>
      <c r="B12" s="86" t="s">
        <v>53</v>
      </c>
      <c r="C12" s="86" t="s">
        <v>62</v>
      </c>
      <c r="D12" s="163" t="s">
        <v>63</v>
      </c>
      <c r="E12" s="86" t="s">
        <v>64</v>
      </c>
      <c r="F12" s="250">
        <f>4*0.2</f>
        <v>0.8</v>
      </c>
      <c r="G12" s="224">
        <v>62.97</v>
      </c>
      <c r="H12" s="224">
        <f t="shared" si="0"/>
        <v>50.376000000000005</v>
      </c>
    </row>
    <row r="13" spans="1:9" ht="15" customHeight="1" x14ac:dyDescent="0.25">
      <c r="A13" s="85" t="s">
        <v>21</v>
      </c>
      <c r="B13" s="86" t="s">
        <v>33</v>
      </c>
      <c r="C13" s="86" t="s">
        <v>38</v>
      </c>
      <c r="D13" s="87" t="s">
        <v>36</v>
      </c>
      <c r="E13" s="86" t="s">
        <v>35</v>
      </c>
      <c r="F13" s="250">
        <v>1.5</v>
      </c>
      <c r="G13" s="224">
        <v>19.63</v>
      </c>
      <c r="H13" s="224">
        <f t="shared" si="0"/>
        <v>29.445</v>
      </c>
    </row>
    <row r="14" spans="1:9" ht="15" customHeight="1" x14ac:dyDescent="0.25">
      <c r="A14" s="85" t="s">
        <v>21</v>
      </c>
      <c r="B14" s="86" t="s">
        <v>33</v>
      </c>
      <c r="C14" s="86" t="s">
        <v>37</v>
      </c>
      <c r="D14" s="87" t="s">
        <v>34</v>
      </c>
      <c r="E14" s="86" t="s">
        <v>35</v>
      </c>
      <c r="F14" s="250">
        <v>2</v>
      </c>
      <c r="G14" s="224">
        <v>14.1</v>
      </c>
      <c r="H14" s="224">
        <f t="shared" si="0"/>
        <v>28.2</v>
      </c>
    </row>
    <row r="15" spans="1:9" ht="15" customHeight="1" x14ac:dyDescent="0.25">
      <c r="A15" s="94"/>
      <c r="B15" s="94"/>
      <c r="C15" s="50"/>
      <c r="D15" s="50"/>
      <c r="E15" s="50"/>
      <c r="F15" s="94"/>
      <c r="G15" s="275" t="s">
        <v>8</v>
      </c>
      <c r="H15" s="286">
        <f>SUM(H8:H14)</f>
        <v>621.01313224000012</v>
      </c>
    </row>
    <row r="16" spans="1:9" x14ac:dyDescent="0.25">
      <c r="A16" s="3"/>
      <c r="B16" s="3"/>
      <c r="C16" s="10"/>
      <c r="D16" s="10"/>
      <c r="E16" s="10"/>
      <c r="F16" s="3"/>
      <c r="G16" s="115"/>
      <c r="H16" s="115"/>
    </row>
    <row r="17" spans="1:8" x14ac:dyDescent="0.25">
      <c r="A17" s="3"/>
      <c r="B17" s="3"/>
      <c r="C17" s="10"/>
      <c r="D17" s="10"/>
      <c r="E17" s="10"/>
      <c r="F17" s="3"/>
      <c r="G17" s="115"/>
      <c r="H17" s="115"/>
    </row>
    <row r="18" spans="1:8" x14ac:dyDescent="0.25">
      <c r="A18" s="3"/>
      <c r="B18" s="3"/>
      <c r="C18" s="10"/>
      <c r="D18" s="10"/>
      <c r="E18" s="10"/>
      <c r="F18" s="3"/>
      <c r="G18" s="115"/>
      <c r="H18" s="115"/>
    </row>
    <row r="19" spans="1:8" x14ac:dyDescent="0.25">
      <c r="A19" s="3"/>
      <c r="B19" s="3"/>
      <c r="C19" s="10"/>
      <c r="D19" s="48" t="s">
        <v>19</v>
      </c>
      <c r="E19" s="10"/>
      <c r="F19" s="3"/>
      <c r="G19" s="115"/>
      <c r="H19" s="115"/>
    </row>
    <row r="20" spans="1:8" x14ac:dyDescent="0.25">
      <c r="A20" s="3"/>
      <c r="B20" s="3"/>
      <c r="C20" s="10"/>
      <c r="D20" s="109" t="s">
        <v>49</v>
      </c>
      <c r="E20" s="10"/>
      <c r="F20" s="3"/>
      <c r="G20" s="115"/>
      <c r="H20" s="115"/>
    </row>
    <row r="21" spans="1:8" ht="13.8" x14ac:dyDescent="0.25">
      <c r="A21" s="3"/>
      <c r="B21" s="3"/>
      <c r="C21" s="10"/>
      <c r="D21" s="3" t="s">
        <v>50</v>
      </c>
      <c r="E21" s="10"/>
      <c r="F21" s="3"/>
      <c r="G21" s="115"/>
      <c r="H21" s="115"/>
    </row>
    <row r="22" spans="1:8" x14ac:dyDescent="0.25">
      <c r="A22" s="3"/>
      <c r="B22" s="3"/>
      <c r="C22" s="10"/>
      <c r="D22" s="10"/>
      <c r="E22" s="10"/>
      <c r="F22" s="3"/>
      <c r="G22" s="115"/>
      <c r="H22" s="115"/>
    </row>
    <row r="23" spans="1:8" x14ac:dyDescent="0.25">
      <c r="A23" s="3"/>
      <c r="B23" s="3"/>
      <c r="C23" s="10"/>
      <c r="D23" s="10"/>
      <c r="E23" s="10"/>
      <c r="F23" s="3"/>
      <c r="G23" s="115"/>
      <c r="H23" s="115"/>
    </row>
    <row r="24" spans="1:8" x14ac:dyDescent="0.25">
      <c r="A24" s="3"/>
      <c r="B24" s="3"/>
      <c r="C24" s="10"/>
      <c r="D24" s="10"/>
      <c r="E24" s="10"/>
      <c r="F24" s="3"/>
      <c r="G24" s="115"/>
      <c r="H24" s="115"/>
    </row>
    <row r="30" spans="1:8" x14ac:dyDescent="0.25">
      <c r="B30" s="202" t="s">
        <v>83</v>
      </c>
      <c r="C30" s="203" t="s">
        <v>84</v>
      </c>
      <c r="D30" s="203" t="s">
        <v>85</v>
      </c>
      <c r="E30" s="204" t="s">
        <v>86</v>
      </c>
      <c r="F30" s="225"/>
      <c r="G30" s="226"/>
      <c r="H30" s="227"/>
    </row>
    <row r="31" spans="1:8" x14ac:dyDescent="0.25">
      <c r="B31" s="205" t="s">
        <v>28</v>
      </c>
      <c r="C31" s="206" t="s">
        <v>2</v>
      </c>
      <c r="D31" s="206" t="s">
        <v>1</v>
      </c>
      <c r="E31" s="207" t="s">
        <v>29</v>
      </c>
      <c r="F31" s="228" t="s">
        <v>30</v>
      </c>
      <c r="G31" s="229" t="s">
        <v>31</v>
      </c>
      <c r="H31" s="230" t="s">
        <v>8</v>
      </c>
    </row>
    <row r="32" spans="1:8" x14ac:dyDescent="0.25">
      <c r="B32" s="208" t="s">
        <v>33</v>
      </c>
      <c r="C32" s="209" t="s">
        <v>87</v>
      </c>
      <c r="D32" s="210" t="s">
        <v>52</v>
      </c>
      <c r="E32" s="211" t="s">
        <v>39</v>
      </c>
      <c r="F32" s="231">
        <v>0.17</v>
      </c>
      <c r="G32" s="232">
        <v>177.68399999999997</v>
      </c>
      <c r="H32" s="233">
        <v>30.206279999999996</v>
      </c>
    </row>
    <row r="33" spans="2:8" x14ac:dyDescent="0.25">
      <c r="B33" s="208" t="s">
        <v>33</v>
      </c>
      <c r="C33" s="209" t="s">
        <v>88</v>
      </c>
      <c r="D33" s="210" t="s">
        <v>89</v>
      </c>
      <c r="E33" s="211" t="s">
        <v>39</v>
      </c>
      <c r="F33" s="231">
        <v>0.26</v>
      </c>
      <c r="G33" s="232">
        <v>386.96689200000003</v>
      </c>
      <c r="H33" s="233">
        <v>100.61139192000002</v>
      </c>
    </row>
    <row r="34" spans="2:8" x14ac:dyDescent="0.25">
      <c r="B34" s="208" t="s">
        <v>33</v>
      </c>
      <c r="C34" s="209" t="s">
        <v>90</v>
      </c>
      <c r="D34" s="210" t="s">
        <v>34</v>
      </c>
      <c r="E34" s="211" t="s">
        <v>35</v>
      </c>
      <c r="F34" s="231">
        <v>1.056</v>
      </c>
      <c r="G34" s="232">
        <v>11.989999999999998</v>
      </c>
      <c r="H34" s="233">
        <v>12.661439999999999</v>
      </c>
    </row>
    <row r="35" spans="2:8" x14ac:dyDescent="0.25">
      <c r="B35" s="208" t="s">
        <v>33</v>
      </c>
      <c r="C35" s="209" t="s">
        <v>91</v>
      </c>
      <c r="D35" s="210" t="s">
        <v>36</v>
      </c>
      <c r="E35" s="211" t="s">
        <v>35</v>
      </c>
      <c r="F35" s="231">
        <v>1.056</v>
      </c>
      <c r="G35" s="232">
        <v>16.78</v>
      </c>
      <c r="H35" s="233">
        <v>17.71968</v>
      </c>
    </row>
    <row r="36" spans="2:8" x14ac:dyDescent="0.25">
      <c r="B36" s="208" t="s">
        <v>33</v>
      </c>
      <c r="C36" s="209" t="s">
        <v>92</v>
      </c>
      <c r="D36" s="210" t="s">
        <v>93</v>
      </c>
      <c r="E36" s="211" t="s">
        <v>64</v>
      </c>
      <c r="F36" s="231">
        <v>1.2</v>
      </c>
      <c r="G36" s="232">
        <v>11.8688</v>
      </c>
      <c r="H36" s="233">
        <v>14.242559999999999</v>
      </c>
    </row>
    <row r="37" spans="2:8" x14ac:dyDescent="0.25">
      <c r="B37" s="208" t="s">
        <v>33</v>
      </c>
      <c r="C37" s="209" t="s">
        <v>94</v>
      </c>
      <c r="D37" s="210" t="s">
        <v>59</v>
      </c>
      <c r="E37" s="211" t="s">
        <v>39</v>
      </c>
      <c r="F37" s="231">
        <v>0.4</v>
      </c>
      <c r="G37" s="232">
        <v>40.765999999999991</v>
      </c>
      <c r="H37" s="233">
        <v>16.306399999999996</v>
      </c>
    </row>
    <row r="38" spans="2:8" x14ac:dyDescent="0.25">
      <c r="B38" s="208" t="s">
        <v>33</v>
      </c>
      <c r="C38" s="209" t="s">
        <v>95</v>
      </c>
      <c r="D38" s="210" t="s">
        <v>55</v>
      </c>
      <c r="E38" s="211" t="s">
        <v>56</v>
      </c>
      <c r="F38" s="231">
        <v>2.2000000000000002</v>
      </c>
      <c r="G38" s="232">
        <v>23.386769999999999</v>
      </c>
      <c r="H38" s="233">
        <v>51.450893999999998</v>
      </c>
    </row>
    <row r="39" spans="2:8" x14ac:dyDescent="0.25">
      <c r="B39" s="208" t="s">
        <v>33</v>
      </c>
      <c r="C39" s="209" t="s">
        <v>96</v>
      </c>
      <c r="D39" s="210" t="s">
        <v>97</v>
      </c>
      <c r="E39" s="211" t="s">
        <v>39</v>
      </c>
      <c r="F39" s="231">
        <v>0.4</v>
      </c>
      <c r="G39" s="232">
        <v>13.788499999999997</v>
      </c>
      <c r="H39" s="233">
        <v>5.5153999999999996</v>
      </c>
    </row>
    <row r="40" spans="2:8" x14ac:dyDescent="0.25">
      <c r="B40" s="212"/>
      <c r="C40" s="213"/>
      <c r="D40" s="214"/>
      <c r="E40" s="215"/>
      <c r="F40" s="234"/>
      <c r="G40" s="235"/>
      <c r="H40" s="236"/>
    </row>
    <row r="41" spans="2:8" x14ac:dyDescent="0.25">
      <c r="B41" s="216" t="s">
        <v>84</v>
      </c>
      <c r="C41" s="217"/>
      <c r="D41" s="218"/>
      <c r="E41" s="219"/>
      <c r="F41" s="237"/>
      <c r="G41" s="238"/>
      <c r="H41" s="239">
        <v>248.71404592000002</v>
      </c>
    </row>
  </sheetData>
  <autoFilter ref="A7:I7" xr:uid="{00000000-0009-0000-0000-000006000000}"/>
  <mergeCells count="1">
    <mergeCell ref="A5:D5"/>
  </mergeCells>
  <printOptions horizontalCentered="1"/>
  <pageMargins left="0.51181102362204722" right="0.51181102362204722" top="0.78740157480314965" bottom="0.78740157480314965" header="0.31496062992125984" footer="0.31496062992125984"/>
  <pageSetup paperSize="9" scale="9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I17"/>
  <sheetViews>
    <sheetView showGridLines="0" view="pageBreakPreview" zoomScale="75" zoomScaleNormal="100" zoomScaleSheetLayoutView="75" workbookViewId="0">
      <selection activeCell="H14" sqref="H14"/>
    </sheetView>
  </sheetViews>
  <sheetFormatPr defaultColWidth="8.6640625" defaultRowHeight="13.2" x14ac:dyDescent="0.25"/>
  <cols>
    <col min="1" max="1" width="8.6640625" style="10"/>
    <col min="2" max="2" width="10.88671875" style="3" customWidth="1"/>
    <col min="3" max="3" width="11.33203125" style="3" bestFit="1" customWidth="1"/>
    <col min="4" max="4" width="14.44140625" style="10" bestFit="1" customWidth="1"/>
    <col min="5" max="5" width="45.88671875" style="10" customWidth="1"/>
    <col min="6" max="6" width="15" style="3" bestFit="1" customWidth="1"/>
    <col min="7" max="7" width="14.33203125" style="3" bestFit="1" customWidth="1"/>
    <col min="8" max="8" width="15.6640625" style="115" bestFit="1" customWidth="1"/>
    <col min="9" max="9" width="12.88671875" style="115" bestFit="1" customWidth="1"/>
    <col min="10" max="16384" width="8.6640625" style="10"/>
  </cols>
  <sheetData>
    <row r="2" spans="2:9" ht="15" customHeight="1" x14ac:dyDescent="0.25">
      <c r="B2" s="38" t="s">
        <v>41</v>
      </c>
    </row>
    <row r="3" spans="2:9" ht="15" customHeight="1" x14ac:dyDescent="0.25">
      <c r="B3" s="38" t="s">
        <v>43</v>
      </c>
    </row>
    <row r="4" spans="2:9" ht="15" customHeight="1" x14ac:dyDescent="0.25">
      <c r="B4" s="38" t="s">
        <v>42</v>
      </c>
    </row>
    <row r="5" spans="2:9" ht="15" customHeight="1" x14ac:dyDescent="0.25"/>
    <row r="6" spans="2:9" ht="30" customHeight="1" x14ac:dyDescent="0.25">
      <c r="B6" s="463" t="s">
        <v>115</v>
      </c>
      <c r="C6" s="464"/>
      <c r="D6" s="464"/>
      <c r="E6" s="465"/>
      <c r="F6" s="148" t="s">
        <v>46</v>
      </c>
      <c r="G6" s="220"/>
      <c r="H6" s="221"/>
      <c r="I6" s="222"/>
    </row>
    <row r="7" spans="2:9" ht="15" customHeight="1" x14ac:dyDescent="0.25">
      <c r="B7" s="149"/>
      <c r="C7" s="7"/>
      <c r="D7" s="104"/>
      <c r="E7" s="104"/>
      <c r="F7" s="103"/>
      <c r="G7" s="220"/>
      <c r="H7" s="221"/>
      <c r="I7" s="222"/>
    </row>
    <row r="8" spans="2:9" s="109" customFormat="1" ht="15" customHeight="1" x14ac:dyDescent="0.25">
      <c r="B8" s="78" t="s">
        <v>9</v>
      </c>
      <c r="C8" s="90" t="s">
        <v>28</v>
      </c>
      <c r="D8" s="90" t="s">
        <v>2</v>
      </c>
      <c r="E8" s="90" t="s">
        <v>1</v>
      </c>
      <c r="F8" s="90" t="s">
        <v>29</v>
      </c>
      <c r="G8" s="105" t="s">
        <v>30</v>
      </c>
      <c r="H8" s="106" t="s">
        <v>31</v>
      </c>
      <c r="I8" s="106" t="s">
        <v>8</v>
      </c>
    </row>
    <row r="9" spans="2:9" ht="15" customHeight="1" x14ac:dyDescent="0.25">
      <c r="B9" s="285" t="s">
        <v>112</v>
      </c>
      <c r="C9" s="86" t="s">
        <v>32</v>
      </c>
      <c r="D9" s="86">
        <v>7253</v>
      </c>
      <c r="E9" s="87" t="s">
        <v>47</v>
      </c>
      <c r="F9" s="86" t="s">
        <v>39</v>
      </c>
      <c r="G9" s="284">
        <v>1</v>
      </c>
      <c r="H9" s="224">
        <v>162.85</v>
      </c>
      <c r="I9" s="224">
        <f>H9*G9</f>
        <v>162.85</v>
      </c>
    </row>
    <row r="10" spans="2:9" ht="15" customHeight="1" x14ac:dyDescent="0.25">
      <c r="B10" s="85" t="s">
        <v>21</v>
      </c>
      <c r="C10" s="86" t="s">
        <v>33</v>
      </c>
      <c r="D10" s="86" t="s">
        <v>37</v>
      </c>
      <c r="E10" s="87" t="s">
        <v>34</v>
      </c>
      <c r="F10" s="86" t="s">
        <v>35</v>
      </c>
      <c r="G10" s="284">
        <v>2</v>
      </c>
      <c r="H10" s="224">
        <v>14.1</v>
      </c>
      <c r="I10" s="224">
        <f>H10*G10</f>
        <v>28.2</v>
      </c>
    </row>
    <row r="11" spans="2:9" ht="15" customHeight="1" x14ac:dyDescent="0.25">
      <c r="B11" s="94"/>
      <c r="C11" s="94"/>
      <c r="D11" s="50"/>
      <c r="E11" s="50"/>
      <c r="F11" s="94"/>
      <c r="G11" s="94"/>
      <c r="H11" s="270" t="s">
        <v>8</v>
      </c>
      <c r="I11" s="286">
        <f>SUM(I9:I10)</f>
        <v>191.04999999999998</v>
      </c>
    </row>
    <row r="15" spans="2:9" x14ac:dyDescent="0.25">
      <c r="E15" s="48" t="s">
        <v>19</v>
      </c>
    </row>
    <row r="16" spans="2:9" x14ac:dyDescent="0.25">
      <c r="E16" s="109" t="s">
        <v>49</v>
      </c>
    </row>
    <row r="17" spans="5:5" ht="13.8" x14ac:dyDescent="0.25">
      <c r="E17" s="3" t="s">
        <v>50</v>
      </c>
    </row>
  </sheetData>
  <mergeCells count="1">
    <mergeCell ref="B6:E6"/>
  </mergeCells>
  <printOptions horizontalCentered="1"/>
  <pageMargins left="0.59055118110236227" right="0.39370078740157483" top="1.1811023622047245" bottom="0.78740157480314965" header="0.31496062992125984" footer="0.31496062992125984"/>
  <pageSetup paperSize="9" scale="9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J25"/>
  <sheetViews>
    <sheetView showGridLines="0" view="pageBreakPreview" zoomScale="110" zoomScaleNormal="100" zoomScaleSheetLayoutView="110" workbookViewId="0">
      <selection activeCell="H14" sqref="H14"/>
    </sheetView>
  </sheetViews>
  <sheetFormatPr defaultColWidth="8.6640625" defaultRowHeight="13.2" x14ac:dyDescent="0.25"/>
  <cols>
    <col min="1" max="1" width="8.6640625" style="10"/>
    <col min="2" max="2" width="10" style="3" customWidth="1"/>
    <col min="3" max="3" width="11.33203125" style="3" bestFit="1" customWidth="1"/>
    <col min="4" max="4" width="14.44140625" style="10" bestFit="1" customWidth="1"/>
    <col min="5" max="5" width="49.109375" style="10" bestFit="1" customWidth="1"/>
    <col min="6" max="6" width="14.109375" style="10" customWidth="1"/>
    <col min="7" max="7" width="14.44140625" style="251" customWidth="1"/>
    <col min="8" max="8" width="13.109375" style="25" customWidth="1"/>
    <col min="9" max="9" width="12.88671875" style="25" bestFit="1" customWidth="1"/>
    <col min="10" max="10" width="8.88671875" style="10" bestFit="1" customWidth="1"/>
    <col min="11" max="16384" width="8.6640625" style="10"/>
  </cols>
  <sheetData>
    <row r="2" spans="2:10" ht="15" customHeight="1" x14ac:dyDescent="0.25">
      <c r="B2" s="38" t="s">
        <v>41</v>
      </c>
    </row>
    <row r="3" spans="2:10" ht="15" customHeight="1" x14ac:dyDescent="0.25">
      <c r="B3" s="38" t="s">
        <v>43</v>
      </c>
    </row>
    <row r="4" spans="2:10" ht="15" customHeight="1" x14ac:dyDescent="0.25">
      <c r="B4" s="38" t="s">
        <v>42</v>
      </c>
    </row>
    <row r="5" spans="2:10" ht="15" customHeight="1" x14ac:dyDescent="0.25">
      <c r="B5" s="38"/>
    </row>
    <row r="6" spans="2:10" x14ac:dyDescent="0.25">
      <c r="B6" s="38"/>
      <c r="E6" s="240" t="s">
        <v>99</v>
      </c>
      <c r="F6" s="94"/>
      <c r="G6" s="247"/>
      <c r="H6" s="241"/>
      <c r="I6" s="242"/>
      <c r="J6" s="243"/>
    </row>
    <row r="7" spans="2:10" x14ac:dyDescent="0.25">
      <c r="B7" s="38"/>
      <c r="E7" s="244"/>
      <c r="F7" s="468" t="s">
        <v>100</v>
      </c>
      <c r="G7" s="469"/>
      <c r="H7" s="470"/>
      <c r="I7" s="471" t="s">
        <v>101</v>
      </c>
      <c r="J7" s="466" t="s">
        <v>102</v>
      </c>
    </row>
    <row r="8" spans="2:10" ht="39" x14ac:dyDescent="0.25">
      <c r="B8" s="38"/>
      <c r="E8" s="245" t="s">
        <v>1</v>
      </c>
      <c r="F8" s="201" t="s">
        <v>105</v>
      </c>
      <c r="G8" s="263" t="s">
        <v>106</v>
      </c>
      <c r="H8" s="201" t="s">
        <v>107</v>
      </c>
      <c r="I8" s="472"/>
      <c r="J8" s="467"/>
    </row>
    <row r="9" spans="2:10" x14ac:dyDescent="0.25">
      <c r="B9" s="38"/>
      <c r="E9" s="246" t="s">
        <v>103</v>
      </c>
      <c r="F9" s="288">
        <f>ORÇAMENTOS!G8</f>
        <v>3.6</v>
      </c>
      <c r="G9" s="289">
        <f>ORÇAMENTOS!G9</f>
        <v>4</v>
      </c>
      <c r="H9" s="288">
        <f>ORÇAMENTOS!G10</f>
        <v>4.5</v>
      </c>
      <c r="I9" s="261">
        <f>SUM(F9:H9)/3</f>
        <v>4.0333333333333332</v>
      </c>
      <c r="J9" s="262">
        <f>I9</f>
        <v>4.0333333333333332</v>
      </c>
    </row>
    <row r="10" spans="2:10" ht="15" customHeight="1" x14ac:dyDescent="0.25"/>
    <row r="11" spans="2:10" ht="60" customHeight="1" x14ac:dyDescent="0.25">
      <c r="B11" s="463" t="s">
        <v>116</v>
      </c>
      <c r="C11" s="464"/>
      <c r="D11" s="464"/>
      <c r="E11" s="465"/>
      <c r="F11" s="148" t="s">
        <v>65</v>
      </c>
      <c r="G11" s="249"/>
      <c r="H11" s="99"/>
      <c r="I11" s="100"/>
    </row>
    <row r="12" spans="2:10" ht="15" customHeight="1" x14ac:dyDescent="0.25">
      <c r="B12" s="149"/>
      <c r="C12" s="7"/>
      <c r="D12" s="104"/>
      <c r="E12" s="104"/>
      <c r="F12" s="103"/>
      <c r="G12" s="249"/>
      <c r="H12" s="99"/>
      <c r="I12" s="100"/>
    </row>
    <row r="13" spans="2:10" s="109" customFormat="1" ht="15" customHeight="1" x14ac:dyDescent="0.25">
      <c r="B13" s="78" t="s">
        <v>9</v>
      </c>
      <c r="C13" s="90" t="s">
        <v>28</v>
      </c>
      <c r="D13" s="90" t="s">
        <v>2</v>
      </c>
      <c r="E13" s="90" t="s">
        <v>1</v>
      </c>
      <c r="F13" s="90" t="s">
        <v>29</v>
      </c>
      <c r="G13" s="248" t="s">
        <v>30</v>
      </c>
      <c r="H13" s="106" t="s">
        <v>31</v>
      </c>
      <c r="I13" s="106" t="s">
        <v>8</v>
      </c>
    </row>
    <row r="14" spans="2:10" ht="27" customHeight="1" x14ac:dyDescent="0.25">
      <c r="B14" s="85" t="s">
        <v>77</v>
      </c>
      <c r="C14" s="86" t="s">
        <v>32</v>
      </c>
      <c r="D14" s="86" t="str">
        <f>ORÇAMENTOS!A6</f>
        <v>001</v>
      </c>
      <c r="E14" s="163" t="str">
        <f>E9</f>
        <v>BANCO EM CONCRETO COM ENCOSTO COMP. 1,50M X 0,40M X 0,45M</v>
      </c>
      <c r="F14" s="86" t="str">
        <f>ORÇAMENTOS!D6</f>
        <v>UNID.</v>
      </c>
      <c r="G14" s="250">
        <v>1</v>
      </c>
      <c r="H14" s="224">
        <f>J9</f>
        <v>4.0333333333333332</v>
      </c>
      <c r="I14" s="224">
        <f t="shared" ref="I14:I19" si="0">H14*G14</f>
        <v>4.0333333333333332</v>
      </c>
    </row>
    <row r="15" spans="2:10" ht="15" customHeight="1" x14ac:dyDescent="0.25">
      <c r="B15" s="85" t="s">
        <v>21</v>
      </c>
      <c r="C15" s="86" t="s">
        <v>98</v>
      </c>
      <c r="D15" s="86" t="s">
        <v>58</v>
      </c>
      <c r="E15" s="163" t="s">
        <v>59</v>
      </c>
      <c r="F15" s="86" t="s">
        <v>39</v>
      </c>
      <c r="G15" s="250">
        <v>5.3999999999999999E-2</v>
      </c>
      <c r="H15" s="224">
        <v>47.94</v>
      </c>
      <c r="I15" s="224">
        <f t="shared" si="0"/>
        <v>2.5887599999999997</v>
      </c>
    </row>
    <row r="16" spans="2:10" ht="60" customHeight="1" x14ac:dyDescent="0.25">
      <c r="B16" s="85" t="s">
        <v>21</v>
      </c>
      <c r="C16" s="86" t="s">
        <v>98</v>
      </c>
      <c r="D16" s="86" t="s">
        <v>78</v>
      </c>
      <c r="E16" s="163" t="s">
        <v>79</v>
      </c>
      <c r="F16" s="86" t="s">
        <v>39</v>
      </c>
      <c r="G16" s="250">
        <v>5.3999999999999999E-2</v>
      </c>
      <c r="H16" s="224">
        <v>460.71</v>
      </c>
      <c r="I16" s="224">
        <f t="shared" si="0"/>
        <v>24.878339999999998</v>
      </c>
    </row>
    <row r="17" spans="2:9" ht="15" customHeight="1" x14ac:dyDescent="0.25">
      <c r="B17" s="85" t="s">
        <v>21</v>
      </c>
      <c r="C17" s="86" t="s">
        <v>98</v>
      </c>
      <c r="D17" s="86" t="s">
        <v>80</v>
      </c>
      <c r="E17" s="87" t="s">
        <v>81</v>
      </c>
      <c r="F17" s="86" t="s">
        <v>39</v>
      </c>
      <c r="G17" s="250">
        <v>5.3999999999999999E-2</v>
      </c>
      <c r="H17" s="224">
        <v>30</v>
      </c>
      <c r="I17" s="224">
        <f t="shared" si="0"/>
        <v>1.6199999999999999</v>
      </c>
    </row>
    <row r="18" spans="2:9" ht="15" customHeight="1" x14ac:dyDescent="0.25">
      <c r="B18" s="85" t="s">
        <v>21</v>
      </c>
      <c r="C18" s="86" t="s">
        <v>33</v>
      </c>
      <c r="D18" s="86" t="s">
        <v>38</v>
      </c>
      <c r="E18" s="87" t="s">
        <v>36</v>
      </c>
      <c r="F18" s="86" t="s">
        <v>35</v>
      </c>
      <c r="G18" s="250">
        <v>2</v>
      </c>
      <c r="H18" s="224">
        <v>19.63</v>
      </c>
      <c r="I18" s="224">
        <f t="shared" si="0"/>
        <v>39.26</v>
      </c>
    </row>
    <row r="19" spans="2:9" ht="15" customHeight="1" x14ac:dyDescent="0.25">
      <c r="B19" s="85" t="s">
        <v>21</v>
      </c>
      <c r="C19" s="86" t="s">
        <v>33</v>
      </c>
      <c r="D19" s="86" t="s">
        <v>37</v>
      </c>
      <c r="E19" s="87" t="s">
        <v>34</v>
      </c>
      <c r="F19" s="86" t="s">
        <v>35</v>
      </c>
      <c r="G19" s="250">
        <v>2</v>
      </c>
      <c r="H19" s="224">
        <v>14.1</v>
      </c>
      <c r="I19" s="224">
        <f t="shared" si="0"/>
        <v>28.2</v>
      </c>
    </row>
    <row r="20" spans="2:9" ht="15" customHeight="1" x14ac:dyDescent="0.25">
      <c r="B20" s="94"/>
      <c r="C20" s="94"/>
      <c r="D20" s="50"/>
      <c r="E20" s="50"/>
      <c r="F20" s="50"/>
      <c r="G20" s="247"/>
      <c r="H20" s="275" t="s">
        <v>8</v>
      </c>
      <c r="I20" s="286">
        <f>SUM(I14:I19)</f>
        <v>100.58043333333333</v>
      </c>
    </row>
    <row r="23" spans="2:9" x14ac:dyDescent="0.25">
      <c r="E23" s="48" t="s">
        <v>19</v>
      </c>
    </row>
    <row r="24" spans="2:9" x14ac:dyDescent="0.25">
      <c r="E24" s="109" t="s">
        <v>49</v>
      </c>
    </row>
    <row r="25" spans="2:9" ht="13.8" x14ac:dyDescent="0.25">
      <c r="E25" s="3" t="s">
        <v>50</v>
      </c>
    </row>
  </sheetData>
  <mergeCells count="4">
    <mergeCell ref="J7:J8"/>
    <mergeCell ref="B11:E11"/>
    <mergeCell ref="F7:H7"/>
    <mergeCell ref="I7:I8"/>
  </mergeCells>
  <printOptions horizontalCentered="1"/>
  <pageMargins left="0.59055118110236227" right="0.39370078740157483" top="1.1811023622047245" bottom="0.78740157480314965" header="0.31496062992125984" footer="0.31496062992125984"/>
  <pageSetup paperSize="9" scale="9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12</vt:i4>
      </vt:variant>
      <vt:variant>
        <vt:lpstr>Intervalos Nomeados</vt:lpstr>
      </vt:variant>
      <vt:variant>
        <vt:i4>17</vt:i4>
      </vt:variant>
    </vt:vector>
  </HeadingPairs>
  <TitlesOfParts>
    <vt:vector size="29" baseType="lpstr">
      <vt:lpstr>PLAN ORÇ</vt:lpstr>
      <vt:lpstr>MM CALC</vt:lpstr>
      <vt:lpstr>CRON</vt:lpstr>
      <vt:lpstr>COMP 1</vt:lpstr>
      <vt:lpstr>COMP 2 </vt:lpstr>
      <vt:lpstr>COMP 3</vt:lpstr>
      <vt:lpstr>COMP 4</vt:lpstr>
      <vt:lpstr>COMP 5</vt:lpstr>
      <vt:lpstr>COMP 6</vt:lpstr>
      <vt:lpstr>ORÇAMENTOS</vt:lpstr>
      <vt:lpstr>COMPOSIÇÕES</vt:lpstr>
      <vt:lpstr>PLAN ORÇ 01</vt:lpstr>
      <vt:lpstr>'COMP 1'!Area_de_impressao</vt:lpstr>
      <vt:lpstr>'COMP 2 '!Area_de_impressao</vt:lpstr>
      <vt:lpstr>'COMP 3'!Area_de_impressao</vt:lpstr>
      <vt:lpstr>'COMP 4'!Area_de_impressao</vt:lpstr>
      <vt:lpstr>'COMP 5'!Area_de_impressao</vt:lpstr>
      <vt:lpstr>'COMP 6'!Area_de_impressao</vt:lpstr>
      <vt:lpstr>COMPOSIÇÕES!Area_de_impressao</vt:lpstr>
      <vt:lpstr>CRON!Area_de_impressao</vt:lpstr>
      <vt:lpstr>'MM CALC'!Area_de_impressao</vt:lpstr>
      <vt:lpstr>'PLAN ORÇ'!Area_de_impressao</vt:lpstr>
      <vt:lpstr>'PLAN ORÇ 01'!Area_de_impressao</vt:lpstr>
      <vt:lpstr>'PLAN ORÇ 01'!Fonte</vt:lpstr>
      <vt:lpstr>Fonte</vt:lpstr>
      <vt:lpstr>COMPOSIÇÕES!Titulos_de_impressao</vt:lpstr>
      <vt:lpstr>'MM CALC'!Titulos_de_impressao</vt:lpstr>
      <vt:lpstr>'PLAN ORÇ'!Titulos_de_impressao</vt:lpstr>
      <vt:lpstr>'PLAN ORÇ 01'!Titulos_de_impressao</vt:lpstr>
    </vt:vector>
  </TitlesOfParts>
  <Company>EMPRESARIAL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PRISCILA DE PAULA</cp:lastModifiedBy>
  <cp:lastPrinted>2025-06-11T14:49:37Z</cp:lastPrinted>
  <dcterms:created xsi:type="dcterms:W3CDTF">2010-03-02T12:32:19Z</dcterms:created>
  <dcterms:modified xsi:type="dcterms:W3CDTF">2025-06-11T15:39:39Z</dcterms:modified>
</cp:coreProperties>
</file>