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F:\OneDrive\NOTEBOOK DELL\HD DO NOTEBOOK\HD EXTERNO 2022\2024\PM_BOM JARDIM DE MINAS\ASFALTO TREVO DA ENTRADA\TRECHO 02\REV 02\"/>
    </mc:Choice>
  </mc:AlternateContent>
  <xr:revisionPtr revIDLastSave="0" documentId="13_ncr:1_{CB39E815-7BE7-4D65-B964-ED8349ED3B96}" xr6:coauthVersionLast="47" xr6:coauthVersionMax="47" xr10:uidLastSave="{00000000-0000-0000-0000-000000000000}"/>
  <bookViews>
    <workbookView xWindow="-108" yWindow="-108" windowWidth="23256" windowHeight="12456" tabRatio="595" xr2:uid="{00000000-000D-0000-FFFF-FFFF00000000}"/>
  </bookViews>
  <sheets>
    <sheet name="Planilha Orcamentária" sheetId="5" r:id="rId1"/>
    <sheet name="Memória de Cálculo" sheetId="9" r:id="rId2"/>
    <sheet name="Cronograma" sheetId="10" r:id="rId3"/>
    <sheet name="COMP.CUSTO" sheetId="19" r:id="rId4"/>
    <sheet name="COMP. BDI" sheetId="18" r:id="rId5"/>
  </sheets>
  <externalReferences>
    <externalReference r:id="rId6"/>
    <externalReference r:id="rId7"/>
    <externalReference r:id="rId8"/>
  </externalReferences>
  <definedNames>
    <definedName name="___sub1">#REF!</definedName>
    <definedName name="___sub2">#REF!</definedName>
    <definedName name="___sub3">#REF!</definedName>
    <definedName name="__sub1" localSheetId="1">#REF!</definedName>
    <definedName name="__sub2" localSheetId="1">#REF!</definedName>
    <definedName name="__sub3" localSheetId="1">#REF!</definedName>
    <definedName name="_xlnm._FilterDatabase" localSheetId="1" hidden="1">'Memória de Cálculo'!$T$5:$T$27</definedName>
    <definedName name="_sub1">#REF!</definedName>
    <definedName name="_sub2">#REF!</definedName>
    <definedName name="_sub3">#REF!</definedName>
    <definedName name="a" localSheetId="1">#REF!</definedName>
    <definedName name="a">#REF!</definedName>
    <definedName name="AA" localSheetId="1" hidden="1">{#N/A,#N/A,FALSE,"ALVENARIA";#N/A,#N/A,FALSE,"BLOCOS";#N/A,#N/A,FALSE,"CINTAS";#N/A,#N/A,FALSE,"CORTINA";#N/A,#N/A,FALSE,"LAJES";#N/A,#N/A,FALSE,"PILARES";#N/A,#N/A,FALSE,"VIGAS"}</definedName>
    <definedName name="AA" hidden="1">{#N/A,#N/A,FALSE,"ALVENARIA";#N/A,#N/A,FALSE,"BLOCOS";#N/A,#N/A,FALSE,"CINTAS";#N/A,#N/A,FALSE,"CORTINA";#N/A,#N/A,FALSE,"LAJES";#N/A,#N/A,FALSE,"PILARES";#N/A,#N/A,FALSE,"VIGAS"}</definedName>
    <definedName name="AREA" localSheetId="1">#REF!</definedName>
    <definedName name="AREA">#REF!</definedName>
    <definedName name="_xlnm.Print_Area" localSheetId="3">'COMP.CUSTO'!$A$1:$G$27</definedName>
    <definedName name="_xlnm.Print_Area" localSheetId="2">Cronograma!$A$1:$I$29</definedName>
    <definedName name="_xlnm.Print_Area" localSheetId="1">'Memória de Cálculo'!$A$1:$L$339</definedName>
    <definedName name="_xlnm.Print_Area" localSheetId="0">'Planilha Orcamentária'!$A$1:$I$63</definedName>
    <definedName name="B" localSheetId="1">#REF!</definedName>
    <definedName name="B">#REF!</definedName>
    <definedName name="_xlnm.Database" localSheetId="3">TEXT([1]Dados!$G$29,"mm-aaaa")</definedName>
    <definedName name="_xlnm.Database">TEXT([1]Dados!$G$29,"mm-aaaa")</definedName>
    <definedName name="BDI" localSheetId="1">#REF!</definedName>
    <definedName name="BDI">#REF!</definedName>
    <definedName name="CalculoFossa20" localSheetId="1" hidden="1">{#N/A,#N/A,FALSE,"ALVENARIA";#N/A,#N/A,FALSE,"BLOCOS";#N/A,#N/A,FALSE,"CINTAS";#N/A,#N/A,FALSE,"CORTINA";#N/A,#N/A,FALSE,"LAJES";#N/A,#N/A,FALSE,"PILARES";#N/A,#N/A,FALSE,"VIGAS"}</definedName>
    <definedName name="CalculoFossa20" hidden="1">{#N/A,#N/A,FALSE,"ALVENARIA";#N/A,#N/A,FALSE,"BLOCOS";#N/A,#N/A,FALSE,"CINTAS";#N/A,#N/A,FALSE,"CORTINA";#N/A,#N/A,FALSE,"LAJES";#N/A,#N/A,FALSE,"PILARES";#N/A,#N/A,FALSE,"VIGAS"}</definedName>
    <definedName name="Cedro1COMPLETO" localSheetId="1" hidden="1">{#N/A,#N/A,FALSE,"ALVENARIA";#N/A,#N/A,FALSE,"BLOCOS";#N/A,#N/A,FALSE,"CINTAS";#N/A,#N/A,FALSE,"CORTINA";#N/A,#N/A,FALSE,"LAJES";#N/A,#N/A,FALSE,"PILARES";#N/A,#N/A,FALSE,"VIGAS"}</definedName>
    <definedName name="Cedro1COMPLETO" hidden="1">{#N/A,#N/A,FALSE,"ALVENARIA";#N/A,#N/A,FALSE,"BLOCOS";#N/A,#N/A,FALSE,"CINTAS";#N/A,#N/A,FALSE,"CORTINA";#N/A,#N/A,FALSE,"LAJES";#N/A,#N/A,FALSE,"PILARES";#N/A,#N/A,FALSE,"VIGAS"}</definedName>
    <definedName name="ciclovia" localSheetId="1" hidden="1">{#N/A,#N/A,FALSE,"ALVENARIA";#N/A,#N/A,FALSE,"BLOCOS";#N/A,#N/A,FALSE,"CINTAS";#N/A,#N/A,FALSE,"CORTINA";#N/A,#N/A,FALSE,"LAJES";#N/A,#N/A,FALSE,"PILARES";#N/A,#N/A,FALSE,"VIGAS"}</definedName>
    <definedName name="ciclovia" hidden="1">{#N/A,#N/A,FALSE,"ALVENARIA";#N/A,#N/A,FALSE,"BLOCOS";#N/A,#N/A,FALSE,"CINTAS";#N/A,#N/A,FALSE,"CORTINA";#N/A,#N/A,FALSE,"LAJES";#N/A,#N/A,FALSE,"PILARES";#N/A,#N/A,FALSE,"VIGAS"}</definedName>
    <definedName name="ciclovia2" localSheetId="1" hidden="1">{#N/A,#N/A,FALSE,"ALVENARIA";#N/A,#N/A,FALSE,"BLOCOS";#N/A,#N/A,FALSE,"CINTAS";#N/A,#N/A,FALSE,"CORTINA";#N/A,#N/A,FALSE,"LAJES";#N/A,#N/A,FALSE,"PILARES";#N/A,#N/A,FALSE,"VIGAS"}</definedName>
    <definedName name="ciclovia2" hidden="1">{#N/A,#N/A,FALSE,"ALVENARIA";#N/A,#N/A,FALSE,"BLOCOS";#N/A,#N/A,FALSE,"CINTAS";#N/A,#N/A,FALSE,"CORTINA";#N/A,#N/A,FALSE,"LAJES";#N/A,#N/A,FALSE,"PILARES";#N/A,#N/A,FALSE,"VIGAS"}</definedName>
    <definedName name="ciclovia3" localSheetId="1" hidden="1">{#N/A,#N/A,FALSE,"ALVENARIA";#N/A,#N/A,FALSE,"BLOCOS";#N/A,#N/A,FALSE,"CINTAS";#N/A,#N/A,FALSE,"CORTINA";#N/A,#N/A,FALSE,"LAJES";#N/A,#N/A,FALSE,"PILARES";#N/A,#N/A,FALSE,"VIGAS"}</definedName>
    <definedName name="ciclovia3" hidden="1">{#N/A,#N/A,FALSE,"ALVENARIA";#N/A,#N/A,FALSE,"BLOCOS";#N/A,#N/A,FALSE,"CINTAS";#N/A,#N/A,FALSE,"CORTINA";#N/A,#N/A,FALSE,"LAJES";#N/A,#N/A,FALSE,"PILARES";#N/A,#N/A,FALSE,"VIGAS"}</definedName>
    <definedName name="ciclovia4" localSheetId="1" hidden="1">{#N/A,#N/A,FALSE,"ALVENARIA";#N/A,#N/A,FALSE,"BLOCOS";#N/A,#N/A,FALSE,"CINTAS";#N/A,#N/A,FALSE,"CORTINA";#N/A,#N/A,FALSE,"LAJES";#N/A,#N/A,FALSE,"PILARES";#N/A,#N/A,FALSE,"VIGAS"}</definedName>
    <definedName name="ciclovia4" hidden="1">{#N/A,#N/A,FALSE,"ALVENARIA";#N/A,#N/A,FALSE,"BLOCOS";#N/A,#N/A,FALSE,"CINTAS";#N/A,#N/A,FALSE,"CORTINA";#N/A,#N/A,FALSE,"LAJES";#N/A,#N/A,FALSE,"PILARES";#N/A,#N/A,FALSE,"VIGAS"}</definedName>
    <definedName name="ciclovia5" localSheetId="1" hidden="1">{#N/A,#N/A,FALSE,"ALVENARIA";#N/A,#N/A,FALSE,"BLOCOS";#N/A,#N/A,FALSE,"CINTAS";#N/A,#N/A,FALSE,"CORTINA";#N/A,#N/A,FALSE,"LAJES";#N/A,#N/A,FALSE,"PILARES";#N/A,#N/A,FALSE,"VIGAS"}</definedName>
    <definedName name="ciclovia5" hidden="1">{#N/A,#N/A,FALSE,"ALVENARIA";#N/A,#N/A,FALSE,"BLOCOS";#N/A,#N/A,FALSE,"CINTAS";#N/A,#N/A,FALSE,"CORTINA";#N/A,#N/A,FALSE,"LAJES";#N/A,#N/A,FALSE,"PILARES";#N/A,#N/A,FALSE,"VIGAS"}</definedName>
    <definedName name="ciclovia6" localSheetId="1" hidden="1">{#N/A,#N/A,FALSE,"ALVENARIA";#N/A,#N/A,FALSE,"BLOCOS";#N/A,#N/A,FALSE,"CINTAS";#N/A,#N/A,FALSE,"CORTINA";#N/A,#N/A,FALSE,"LAJES";#N/A,#N/A,FALSE,"PILARES";#N/A,#N/A,FALSE,"VIGAS"}</definedName>
    <definedName name="ciclovia6" hidden="1">{#N/A,#N/A,FALSE,"ALVENARIA";#N/A,#N/A,FALSE,"BLOCOS";#N/A,#N/A,FALSE,"CINTAS";#N/A,#N/A,FALSE,"CORTINA";#N/A,#N/A,FALSE,"LAJES";#N/A,#N/A,FALSE,"PILARES";#N/A,#N/A,FALSE,"VIGAS"}</definedName>
    <definedName name="ciclovia7" localSheetId="1" hidden="1">{#N/A,#N/A,FALSE,"ALVENARIA";#N/A,#N/A,FALSE,"BLOCOS";#N/A,#N/A,FALSE,"CINTAS";#N/A,#N/A,FALSE,"CORTINA";#N/A,#N/A,FALSE,"LAJES";#N/A,#N/A,FALSE,"PILARES";#N/A,#N/A,FALSE,"VIGAS"}</definedName>
    <definedName name="ciclovia7" hidden="1">{#N/A,#N/A,FALSE,"ALVENARIA";#N/A,#N/A,FALSE,"BLOCOS";#N/A,#N/A,FALSE,"CINTAS";#N/A,#N/A,FALSE,"CORTINA";#N/A,#N/A,FALSE,"LAJES";#N/A,#N/A,FALSE,"PILARES";#N/A,#N/A,FALSE,"VIGAS"}</definedName>
    <definedName name="ciclovia8" localSheetId="1" hidden="1">{#N/A,#N/A,FALSE,"ALVENARIA";#N/A,#N/A,FALSE,"BLOCOS";#N/A,#N/A,FALSE,"CINTAS";#N/A,#N/A,FALSE,"CORTINA";#N/A,#N/A,FALSE,"LAJES";#N/A,#N/A,FALSE,"PILARES";#N/A,#N/A,FALSE,"VIGAS"}</definedName>
    <definedName name="ciclovia8" hidden="1">{#N/A,#N/A,FALSE,"ALVENARIA";#N/A,#N/A,FALSE,"BLOCOS";#N/A,#N/A,FALSE,"CINTAS";#N/A,#N/A,FALSE,"CORTINA";#N/A,#N/A,FALSE,"LAJES";#N/A,#N/A,FALSE,"PILARES";#N/A,#N/A,FALSE,"VIGAS"}</definedName>
    <definedName name="cotação" localSheetId="1" hidden="1">{#N/A,#N/A,FALSE,"ALVENARIA";#N/A,#N/A,FALSE,"BLOCOS";#N/A,#N/A,FALSE,"CINTAS";#N/A,#N/A,FALSE,"CORTINA";#N/A,#N/A,FALSE,"LAJES";#N/A,#N/A,FALSE,"PILARES";#N/A,#N/A,FALSE,"VIGAS"}</definedName>
    <definedName name="cotação" hidden="1">{#N/A,#N/A,FALSE,"ALVENARIA";#N/A,#N/A,FALSE,"BLOCOS";#N/A,#N/A,FALSE,"CINTAS";#N/A,#N/A,FALSE,"CORTINA";#N/A,#N/A,FALSE,"LAJES";#N/A,#N/A,FALSE,"PILARES";#N/A,#N/A,FALSE,"VIGAS"}</definedName>
    <definedName name="ddd" localSheetId="1" hidden="1">{#N/A,#N/A,FALSE,"ALVENARIA";#N/A,#N/A,FALSE,"BLOCOS";#N/A,#N/A,FALSE,"CINTAS";#N/A,#N/A,FALSE,"CORTINA";#N/A,#N/A,FALSE,"LAJES";#N/A,#N/A,FALSE,"PILARES";#N/A,#N/A,FALSE,"VIGAS"}</definedName>
    <definedName name="ddd" hidden="1">{#N/A,#N/A,FALSE,"ALVENARIA";#N/A,#N/A,FALSE,"BLOCOS";#N/A,#N/A,FALSE,"CINTAS";#N/A,#N/A,FALSE,"CORTINA";#N/A,#N/A,FALSE,"LAJES";#N/A,#N/A,FALSE,"PILARES";#N/A,#N/A,FALSE,"VIGAS"}</definedName>
    <definedName name="DOLAR">[2]INSUMOS!$G$8</definedName>
    <definedName name="ersdcefgbrnghrbgbrgfbgfwbvbfgvwfv">#REF!</definedName>
    <definedName name="Excel_BuiltIn_Print_Area_2">#REF!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4">#REF!</definedName>
    <definedName name="Fonte" localSheetId="3">#REF!</definedName>
    <definedName name="Fonte">#REF!</definedName>
    <definedName name="Fossa20" localSheetId="1" hidden="1">{#N/A,#N/A,FALSE,"ALVENARIA";#N/A,#N/A,FALSE,"BLOCOS";#N/A,#N/A,FALSE,"CINTAS";#N/A,#N/A,FALSE,"CORTINA";#N/A,#N/A,FALSE,"LAJES";#N/A,#N/A,FALSE,"PILARES";#N/A,#N/A,FALSE,"VIGAS"}</definedName>
    <definedName name="Fossa20" hidden="1">{#N/A,#N/A,FALSE,"ALVENARIA";#N/A,#N/A,FALSE,"BLOCOS";#N/A,#N/A,FALSE,"CINTAS";#N/A,#N/A,FALSE,"CORTINA";#N/A,#N/A,FALSE,"LAJES";#N/A,#N/A,FALSE,"PILARES";#N/A,#N/A,FALSE,"VIGAS"}</definedName>
    <definedName name="fran" localSheetId="1" hidden="1">{#N/A,#N/A,FALSE,"ALVENARIA";#N/A,#N/A,FALSE,"BLOCOS";#N/A,#N/A,FALSE,"CINTAS";#N/A,#N/A,FALSE,"CORTINA";#N/A,#N/A,FALSE,"LAJES";#N/A,#N/A,FALSE,"PILARES";#N/A,#N/A,FALSE,"VIGAS"}</definedName>
    <definedName name="fran" hidden="1">{#N/A,#N/A,FALSE,"ALVENARIA";#N/A,#N/A,FALSE,"BLOCOS";#N/A,#N/A,FALSE,"CINTAS";#N/A,#N/A,FALSE,"CORTINA";#N/A,#N/A,FALSE,"LAJES";#N/A,#N/A,FALSE,"PILARES";#N/A,#N/A,FALSE,"VIGAS"}</definedName>
    <definedName name="INSUMOS" localSheetId="3">#REF!</definedName>
    <definedName name="INSUMOS">#REF!</definedName>
    <definedName name="leosde">#REF!</definedName>
    <definedName name="mac" localSheetId="1" hidden="1">{#N/A,#N/A,FALSE,"ALVENARIA";#N/A,#N/A,FALSE,"BLOCOS";#N/A,#N/A,FALSE,"CINTAS";#N/A,#N/A,FALSE,"CORTINA";#N/A,#N/A,FALSE,"LAJES";#N/A,#N/A,FALSE,"PILARES";#N/A,#N/A,FALSE,"VIGAS"}</definedName>
    <definedName name="mac" hidden="1">{#N/A,#N/A,FALSE,"ALVENARIA";#N/A,#N/A,FALSE,"BLOCOS";#N/A,#N/A,FALSE,"CINTAS";#N/A,#N/A,FALSE,"CORTINA";#N/A,#N/A,FALSE,"LAJES";#N/A,#N/A,FALSE,"PILARES";#N/A,#N/A,FALSE,"VIGAS"}</definedName>
    <definedName name="MACAHDO" localSheetId="1" hidden="1">{#N/A,#N/A,FALSE,"ALVENARIA";#N/A,#N/A,FALSE,"BLOCOS";#N/A,#N/A,FALSE,"CINTAS";#N/A,#N/A,FALSE,"CORTINA";#N/A,#N/A,FALSE,"LAJES";#N/A,#N/A,FALSE,"PILARES";#N/A,#N/A,FALSE,"VIGAS"}</definedName>
    <definedName name="MACAHDO" hidden="1">{#N/A,#N/A,FALSE,"ALVENARIA";#N/A,#N/A,FALSE,"BLOCOS";#N/A,#N/A,FALSE,"CINTAS";#N/A,#N/A,FALSE,"CORTINA";#N/A,#N/A,FALSE,"LAJES";#N/A,#N/A,FALSE,"PILARES";#N/A,#N/A,FALSE,"VIGAS"}</definedName>
    <definedName name="MACHADO" localSheetId="1" hidden="1">{#N/A,#N/A,FALSE,"ALVENARIA";#N/A,#N/A,FALSE,"BLOCOS";#N/A,#N/A,FALSE,"CINTAS";#N/A,#N/A,FALSE,"CORTINA";#N/A,#N/A,FALSE,"LAJES";#N/A,#N/A,FALSE,"PILARES";#N/A,#N/A,FALSE,"VIGAS"}</definedName>
    <definedName name="MACHADO" hidden="1">{#N/A,#N/A,FALSE,"ALVENARIA";#N/A,#N/A,FALSE,"BLOCOS";#N/A,#N/A,FALSE,"CINTAS";#N/A,#N/A,FALSE,"CORTINA";#N/A,#N/A,FALSE,"LAJES";#N/A,#N/A,FALSE,"PILARES";#N/A,#N/A,FALSE,"VIGAS"}</definedName>
    <definedName name="NCOMPOSICOES">7</definedName>
    <definedName name="NCOTACOES">15</definedName>
    <definedName name="noo" localSheetId="1" hidden="1">{#N/A,#N/A,FALSE,"ALVENARIA";#N/A,#N/A,FALSE,"BLOCOS";#N/A,#N/A,FALSE,"CINTAS";#N/A,#N/A,FALSE,"CORTINA";#N/A,#N/A,FALSE,"LAJES";#N/A,#N/A,FALSE,"PILARES";#N/A,#N/A,FALSE,"VIGAS"}</definedName>
    <definedName name="noo" hidden="1">{#N/A,#N/A,FALSE,"ALVENARIA";#N/A,#N/A,FALSE,"BLOCOS";#N/A,#N/A,FALSE,"CINTAS";#N/A,#N/A,FALSE,"CORTINA";#N/A,#N/A,FALSE,"LAJES";#N/A,#N/A,FALSE,"PILARES";#N/A,#N/A,FALSE,"VIGAS"}</definedName>
    <definedName name="obra" localSheetId="1">#REF!</definedName>
    <definedName name="obra">#REF!</definedName>
    <definedName name="obra1" localSheetId="1">#REF!</definedName>
    <definedName name="obra1">#REF!</definedName>
    <definedName name="obra2" localSheetId="1">#REF!</definedName>
    <definedName name="obra2">#REF!</definedName>
    <definedName name="obra3" localSheetId="1">#REF!</definedName>
    <definedName name="obra3">#REF!</definedName>
    <definedName name="obra4" localSheetId="1">#REF!</definedName>
    <definedName name="obra4">#REF!</definedName>
    <definedName name="obra5" localSheetId="1">#REF!</definedName>
    <definedName name="obra5">#REF!</definedName>
    <definedName name="orcamento" localSheetId="1" hidden="1">{#N/A,#N/A,FALSE,"ALVENARIA";#N/A,#N/A,FALSE,"BLOCOS";#N/A,#N/A,FALSE,"CINTAS";#N/A,#N/A,FALSE,"CORTINA";#N/A,#N/A,FALSE,"LAJES";#N/A,#N/A,FALSE,"PILARES";#N/A,#N/A,FALSE,"VIGAS"}</definedName>
    <definedName name="orcamento" hidden="1">{#N/A,#N/A,FALSE,"ALVENARIA";#N/A,#N/A,FALSE,"BLOCOS";#N/A,#N/A,FALSE,"CINTAS";#N/A,#N/A,FALSE,"CORTINA";#N/A,#N/A,FALSE,"LAJES";#N/A,#N/A,FALSE,"PILARES";#N/A,#N/A,FALSE,"VIGAS"}</definedName>
    <definedName name="P.1" localSheetId="1">#REF!</definedName>
    <definedName name="P.1">#REF!</definedName>
    <definedName name="P.10" localSheetId="1">#REF!</definedName>
    <definedName name="P.10">#REF!</definedName>
    <definedName name="P.11" localSheetId="1">#REF!</definedName>
    <definedName name="P.11">#REF!</definedName>
    <definedName name="P.12" localSheetId="1">#REF!</definedName>
    <definedName name="P.12">#REF!</definedName>
    <definedName name="P.13" localSheetId="1">#REF!</definedName>
    <definedName name="P.13">#REF!</definedName>
    <definedName name="P.14" localSheetId="1">#REF!</definedName>
    <definedName name="P.14">#REF!</definedName>
    <definedName name="P.15" localSheetId="1">#REF!</definedName>
    <definedName name="P.15">#REF!</definedName>
    <definedName name="P.2" localSheetId="1">#REF!</definedName>
    <definedName name="P.2">#REF!</definedName>
    <definedName name="P.3" localSheetId="1">#REF!</definedName>
    <definedName name="P.3">#REF!</definedName>
    <definedName name="P.4" localSheetId="1">#REF!</definedName>
    <definedName name="P.4">#REF!</definedName>
    <definedName name="P.5" localSheetId="1">#REF!</definedName>
    <definedName name="P.5">#REF!</definedName>
    <definedName name="P.6" localSheetId="1">#REF!</definedName>
    <definedName name="P.6">#REF!</definedName>
    <definedName name="P.7" localSheetId="1">#REF!</definedName>
    <definedName name="P.7">#REF!</definedName>
    <definedName name="P.8" localSheetId="1">#REF!</definedName>
    <definedName name="P.8">#REF!</definedName>
    <definedName name="P.9" localSheetId="1">#REF!</definedName>
    <definedName name="P.9">#REF!</definedName>
    <definedName name="Pedreiro_de_acabamento">[2]INSUMOS!$B$11</definedName>
    <definedName name="PP1.1" localSheetId="1">#REF!</definedName>
    <definedName name="PP1.1">#REF!</definedName>
    <definedName name="PP1.10" localSheetId="1">#REF!</definedName>
    <definedName name="PP1.10">#REF!</definedName>
    <definedName name="PP1.11" localSheetId="1">#REF!</definedName>
    <definedName name="PP1.11">#REF!</definedName>
    <definedName name="PP1.12" localSheetId="1">#REF!</definedName>
    <definedName name="PP1.12">#REF!</definedName>
    <definedName name="PP1.13" localSheetId="1">#REF!</definedName>
    <definedName name="PP1.13">#REF!</definedName>
    <definedName name="PP1.14" localSheetId="1">#REF!</definedName>
    <definedName name="PP1.14">#REF!</definedName>
    <definedName name="PP1.15" localSheetId="1">#REF!</definedName>
    <definedName name="PP1.15">#REF!</definedName>
    <definedName name="PP1.2" localSheetId="1">#REF!</definedName>
    <definedName name="PP1.2">#REF!</definedName>
    <definedName name="PP1.3" localSheetId="1">#REF!</definedName>
    <definedName name="PP1.3">#REF!</definedName>
    <definedName name="PP1.4" localSheetId="1">#REF!</definedName>
    <definedName name="PP1.4">#REF!</definedName>
    <definedName name="PP1.5" localSheetId="1">#REF!</definedName>
    <definedName name="PP1.5">#REF!</definedName>
    <definedName name="PP1.6" localSheetId="1">#REF!</definedName>
    <definedName name="PP1.6">#REF!</definedName>
    <definedName name="PP1.7" localSheetId="1">#REF!</definedName>
    <definedName name="PP1.7">#REF!</definedName>
    <definedName name="PP1.8" localSheetId="1">#REF!</definedName>
    <definedName name="PP1.8">#REF!</definedName>
    <definedName name="PP1.9" localSheetId="1">#REF!</definedName>
    <definedName name="PP1.9">#REF!</definedName>
    <definedName name="SSSSSSSSSSSSSSSSSSSSSSSSSSSSSSSSSSSSSSSSSSSSSSSSSSSSSSSSSSSSSSSSSSSSSSSSSSSSSSSSSSSSSSSSS">#REF!</definedName>
    <definedName name="SWEEEEEE">#REF!</definedName>
    <definedName name="T.1" localSheetId="1">#REF!</definedName>
    <definedName name="T.1">#REF!</definedName>
    <definedName name="T.10" localSheetId="1">#REF!</definedName>
    <definedName name="T.10">#REF!</definedName>
    <definedName name="T.11" localSheetId="1">#REF!</definedName>
    <definedName name="T.11">#REF!</definedName>
    <definedName name="T.12" localSheetId="1">#REF!</definedName>
    <definedName name="T.12">#REF!</definedName>
    <definedName name="T.13" localSheetId="1">#REF!</definedName>
    <definedName name="T.13">#REF!</definedName>
    <definedName name="T.14" localSheetId="1">#REF!</definedName>
    <definedName name="T.14">#REF!</definedName>
    <definedName name="T.15" localSheetId="1">#REF!</definedName>
    <definedName name="T.15">#REF!</definedName>
    <definedName name="T.2" localSheetId="1">#REF!</definedName>
    <definedName name="T.2">#REF!</definedName>
    <definedName name="T.3" localSheetId="1">#REF!</definedName>
    <definedName name="T.3">#REF!</definedName>
    <definedName name="T.4" localSheetId="1">#REF!</definedName>
    <definedName name="T.4">#REF!</definedName>
    <definedName name="T.5" localSheetId="1">#REF!</definedName>
    <definedName name="T.5">#REF!</definedName>
    <definedName name="T.6" localSheetId="1">#REF!</definedName>
    <definedName name="T.6">#REF!</definedName>
    <definedName name="T.7" localSheetId="1">#REF!</definedName>
    <definedName name="T.7">#REF!</definedName>
    <definedName name="T.8" localSheetId="1">#REF!</definedName>
    <definedName name="T.8">#REF!</definedName>
    <definedName name="T.9" localSheetId="1">#REF!</definedName>
    <definedName name="T.9">#REF!</definedName>
    <definedName name="TABLE_1">#REF!</definedName>
    <definedName name="_xlnm.Print_Titles" localSheetId="0">'Planilha Orcamentária'!$1:$8</definedName>
    <definedName name="TOT.P" localSheetId="1">#REF!</definedName>
    <definedName name="TOT.P">#REF!</definedName>
    <definedName name="TOT1.P" localSheetId="1">#REF!</definedName>
    <definedName name="TOT1.P">#REF!</definedName>
    <definedName name="TT.1" localSheetId="1">#REF!</definedName>
    <definedName name="TT.1">#REF!</definedName>
    <definedName name="TT.10" localSheetId="1">#REF!</definedName>
    <definedName name="TT.10">#REF!</definedName>
    <definedName name="TT.11" localSheetId="1">#REF!</definedName>
    <definedName name="TT.11">#REF!</definedName>
    <definedName name="TT.12" localSheetId="1">#REF!</definedName>
    <definedName name="TT.12">#REF!</definedName>
    <definedName name="TT.13" localSheetId="1">#REF!</definedName>
    <definedName name="TT.13">#REF!</definedName>
    <definedName name="TT.14" localSheetId="1">#REF!</definedName>
    <definedName name="TT.14">#REF!</definedName>
    <definedName name="TT.15" localSheetId="1">#REF!</definedName>
    <definedName name="TT.15">#REF!</definedName>
    <definedName name="TT.2" localSheetId="1">#REF!</definedName>
    <definedName name="TT.2">#REF!</definedName>
    <definedName name="TT.3" localSheetId="1">#REF!</definedName>
    <definedName name="TT.3">#REF!</definedName>
    <definedName name="TT.4" localSheetId="1">#REF!</definedName>
    <definedName name="TT.4">#REF!</definedName>
    <definedName name="TT.5" localSheetId="1">#REF!</definedName>
    <definedName name="TT.5">#REF!</definedName>
    <definedName name="TT.6" localSheetId="1">#REF!</definedName>
    <definedName name="TT.6">#REF!</definedName>
    <definedName name="TT.7" localSheetId="1">#REF!</definedName>
    <definedName name="TT.7">#REF!</definedName>
    <definedName name="TT.8" localSheetId="1">#REF!</definedName>
    <definedName name="TT.8">#REF!</definedName>
    <definedName name="TT.9" localSheetId="1">#REF!</definedName>
    <definedName name="TT.9">#REF!</definedName>
    <definedName name="wrn.mode_lev.xls." localSheetId="1" hidden="1">{#N/A,#N/A,FALSE,"ALVENARIA";#N/A,#N/A,FALSE,"BLOCOS";#N/A,#N/A,FALSE,"CINTAS";#N/A,#N/A,FALSE,"CORTINA";#N/A,#N/A,FALSE,"LAJES";#N/A,#N/A,FALSE,"PILARES";#N/A,#N/A,FALSE,"VIGAS"}</definedName>
    <definedName name="wrn.mode_lev.xls." hidden="1">{#N/A,#N/A,FALSE,"ALVENARIA";#N/A,#N/A,FALSE,"BLOCOS";#N/A,#N/A,FALSE,"CINTAS";#N/A,#N/A,FALSE,"CORTINA";#N/A,#N/A,FALSE,"LAJES";#N/A,#N/A,FALSE,"PILARES";#N/A,#N/A,FALSE,"VIGAS"}</definedName>
    <definedName name="WWWW">#REF!</definedName>
    <definedName name="x" localSheetId="1" hidden="1">{#N/A,#N/A,FALSE,"ALVENARIA";#N/A,#N/A,FALSE,"BLOCOS";#N/A,#N/A,FALSE,"CINTAS";#N/A,#N/A,FALSE,"CORTINA";#N/A,#N/A,FALSE,"LAJES";#N/A,#N/A,FALSE,"PILARES";#N/A,#N/A,FALSE,"VIGAS"}</definedName>
    <definedName name="x" hidden="1">{#N/A,#N/A,FALSE,"ALVENARIA";#N/A,#N/A,FALSE,"BLOCOS";#N/A,#N/A,FALSE,"CINTAS";#N/A,#N/A,FALSE,"CORTINA";#N/A,#N/A,FALSE,"LAJES";#N/A,#N/A,FALSE,"PILARES";#N/A,#N/A,FALSE,"VIGAS"}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4" i="9" l="1"/>
  <c r="C143" i="9"/>
  <c r="A137" i="9"/>
  <c r="B104" i="9"/>
  <c r="F105" i="9"/>
  <c r="B98" i="9"/>
  <c r="E49" i="9"/>
  <c r="E47" i="9"/>
  <c r="E45" i="9"/>
  <c r="E43" i="9"/>
  <c r="C49" i="9"/>
  <c r="C47" i="9"/>
  <c r="C45" i="9"/>
  <c r="C43" i="9"/>
  <c r="C37" i="9"/>
  <c r="C33" i="9"/>
  <c r="C35" i="9"/>
  <c r="C31" i="9"/>
  <c r="A86" i="9"/>
  <c r="A79" i="9"/>
  <c r="A72" i="9"/>
  <c r="A65" i="9"/>
  <c r="B91" i="9"/>
  <c r="I37" i="9" s="1"/>
  <c r="F49" i="9" s="1"/>
  <c r="C61" i="9" s="1"/>
  <c r="J61" i="9" s="1"/>
  <c r="B84" i="9"/>
  <c r="I35" i="9" s="1"/>
  <c r="F47" i="9" s="1"/>
  <c r="H47" i="9" s="1"/>
  <c r="B77" i="9"/>
  <c r="F18" i="5" s="1"/>
  <c r="B70" i="9"/>
  <c r="F17" i="5" s="1"/>
  <c r="C86" i="9"/>
  <c r="C79" i="9"/>
  <c r="C72" i="9"/>
  <c r="C65" i="9"/>
  <c r="F25" i="5"/>
  <c r="C125" i="9"/>
  <c r="A125" i="9"/>
  <c r="H25" i="5"/>
  <c r="C117" i="9"/>
  <c r="C150" i="9"/>
  <c r="A150" i="9"/>
  <c r="C148" i="9"/>
  <c r="A145" i="9"/>
  <c r="C145" i="9"/>
  <c r="C137" i="9"/>
  <c r="D152" i="9" l="1"/>
  <c r="C156" i="9" s="1"/>
  <c r="F30" i="5" s="1"/>
  <c r="A148" i="9"/>
  <c r="D148" i="9" s="1"/>
  <c r="F29" i="5" s="1"/>
  <c r="E104" i="9"/>
  <c r="G105" i="9" s="1"/>
  <c r="E98" i="9"/>
  <c r="G99" i="9" s="1"/>
  <c r="C59" i="9"/>
  <c r="J59" i="9" s="1"/>
  <c r="H49" i="9"/>
  <c r="K37" i="9"/>
  <c r="I31" i="9"/>
  <c r="K35" i="9"/>
  <c r="F19" i="5"/>
  <c r="F20" i="5"/>
  <c r="I33" i="9"/>
  <c r="I25" i="5"/>
  <c r="F28" i="5"/>
  <c r="G98" i="9" l="1"/>
  <c r="G104" i="9"/>
  <c r="K33" i="9"/>
  <c r="G102" i="9" s="1"/>
  <c r="F45" i="9"/>
  <c r="K31" i="9"/>
  <c r="F43" i="9"/>
  <c r="E271" i="9"/>
  <c r="E268" i="9"/>
  <c r="F268" i="9" s="1"/>
  <c r="E265" i="9"/>
  <c r="F265" i="9" s="1"/>
  <c r="E262" i="9"/>
  <c r="F262" i="9" s="1"/>
  <c r="A258" i="9"/>
  <c r="C258" i="9"/>
  <c r="C256" i="9"/>
  <c r="A256" i="9"/>
  <c r="D36" i="5"/>
  <c r="G22" i="19"/>
  <c r="G21" i="19"/>
  <c r="G20" i="19"/>
  <c r="G19" i="19"/>
  <c r="A4" i="19"/>
  <c r="A3" i="19"/>
  <c r="A2" i="19"/>
  <c r="A1" i="19"/>
  <c r="D34" i="5"/>
  <c r="G13" i="19"/>
  <c r="G14" i="19"/>
  <c r="G12" i="19"/>
  <c r="G11" i="19"/>
  <c r="G106" i="9" l="1"/>
  <c r="B39" i="9"/>
  <c r="F14" i="5" s="1"/>
  <c r="G96" i="9"/>
  <c r="G100" i="9" s="1"/>
  <c r="G108" i="9" s="1"/>
  <c r="F21" i="5" s="1"/>
  <c r="H43" i="9"/>
  <c r="C55" i="9"/>
  <c r="J55" i="9" s="1"/>
  <c r="H45" i="9"/>
  <c r="C57" i="9"/>
  <c r="J57" i="9" s="1"/>
  <c r="E272" i="9"/>
  <c r="F42" i="5" s="1"/>
  <c r="F271" i="9"/>
  <c r="G17" i="19"/>
  <c r="G36" i="5" s="1"/>
  <c r="G9" i="19"/>
  <c r="G34" i="5" s="1"/>
  <c r="B63" i="9" l="1"/>
  <c r="B51" i="9"/>
  <c r="C172" i="9"/>
  <c r="C112" i="9" l="1"/>
  <c r="J223" i="9"/>
  <c r="J222" i="9"/>
  <c r="J221" i="9"/>
  <c r="J220" i="9"/>
  <c r="J219" i="9"/>
  <c r="J218" i="9"/>
  <c r="J217" i="9"/>
  <c r="J216" i="9"/>
  <c r="J215" i="9"/>
  <c r="J214" i="9"/>
  <c r="D254" i="9"/>
  <c r="D248" i="9"/>
  <c r="D244" i="9"/>
  <c r="D284" i="9"/>
  <c r="D283" i="9"/>
  <c r="A309" i="9"/>
  <c r="A307" i="9"/>
  <c r="A305" i="9"/>
  <c r="A303" i="9"/>
  <c r="A301" i="9"/>
  <c r="A299" i="9"/>
  <c r="A297" i="9"/>
  <c r="A295" i="9"/>
  <c r="A338" i="9"/>
  <c r="A336" i="9"/>
  <c r="A334" i="9"/>
  <c r="A332" i="9"/>
  <c r="A330" i="9"/>
  <c r="A328" i="9"/>
  <c r="B16" i="10" l="1"/>
  <c r="B14" i="10"/>
  <c r="B12" i="10"/>
  <c r="B10" i="10"/>
  <c r="B8" i="10"/>
  <c r="B6" i="10"/>
  <c r="B328" i="9"/>
  <c r="B332" i="9" s="1"/>
  <c r="B326" i="9"/>
  <c r="B330" i="9" s="1"/>
  <c r="B334" i="9" s="1"/>
  <c r="A326" i="9"/>
  <c r="A324" i="9"/>
  <c r="C324" i="9" s="1"/>
  <c r="J251" i="9"/>
  <c r="J250" i="9"/>
  <c r="J249" i="9"/>
  <c r="J248" i="9"/>
  <c r="J247" i="9"/>
  <c r="J246" i="9"/>
  <c r="J245" i="9"/>
  <c r="J244" i="9"/>
  <c r="J243" i="9"/>
  <c r="J242" i="9"/>
  <c r="J241" i="9"/>
  <c r="J240" i="9"/>
  <c r="J239" i="9"/>
  <c r="J238" i="9"/>
  <c r="J237" i="9"/>
  <c r="J236" i="9"/>
  <c r="J235" i="9"/>
  <c r="J234" i="9"/>
  <c r="J233" i="9"/>
  <c r="J232" i="9"/>
  <c r="J231" i="9"/>
  <c r="J230" i="9"/>
  <c r="J229" i="9"/>
  <c r="J228" i="9"/>
  <c r="J227" i="9"/>
  <c r="J226" i="9"/>
  <c r="J225" i="9"/>
  <c r="J224" i="9"/>
  <c r="J213" i="9"/>
  <c r="J212" i="9"/>
  <c r="J211" i="9"/>
  <c r="J210" i="9"/>
  <c r="J209" i="9"/>
  <c r="J208" i="9"/>
  <c r="J207" i="9"/>
  <c r="J206" i="9"/>
  <c r="J205" i="9"/>
  <c r="D282" i="9"/>
  <c r="D281" i="9"/>
  <c r="C326" i="9" l="1"/>
  <c r="C332" i="9"/>
  <c r="B336" i="9"/>
  <c r="B338" i="9"/>
  <c r="C334" i="9"/>
  <c r="C330" i="9"/>
  <c r="C328" i="9"/>
  <c r="C338" i="9" l="1"/>
  <c r="C336" i="9"/>
  <c r="B299" i="9" l="1"/>
  <c r="C94" i="9"/>
  <c r="A94" i="9"/>
  <c r="C53" i="9"/>
  <c r="A53" i="9"/>
  <c r="A41" i="9"/>
  <c r="C41" i="9"/>
  <c r="F99" i="9"/>
  <c r="C339" i="9" l="1"/>
  <c r="F47" i="5" s="1"/>
  <c r="F48" i="5" s="1"/>
  <c r="C299" i="9"/>
  <c r="B303" i="9"/>
  <c r="C303" i="9" l="1"/>
  <c r="B307" i="9"/>
  <c r="F24" i="5"/>
  <c r="A120" i="9"/>
  <c r="C120" i="9"/>
  <c r="C115" i="9"/>
  <c r="A115" i="9"/>
  <c r="C29" i="9"/>
  <c r="A29" i="9"/>
  <c r="C307" i="9" l="1"/>
  <c r="F23" i="5"/>
  <c r="D253" i="9" l="1"/>
  <c r="D252" i="9"/>
  <c r="D251" i="9"/>
  <c r="D250" i="9"/>
  <c r="D249" i="9"/>
  <c r="D247" i="9"/>
  <c r="F15" i="5" l="1"/>
  <c r="F16" i="5"/>
  <c r="C41" i="18"/>
  <c r="C40" i="18"/>
  <c r="E35" i="18"/>
  <c r="C35" i="18"/>
  <c r="C34" i="18"/>
  <c r="I20" i="18"/>
  <c r="G20" i="18"/>
  <c r="I12" i="18"/>
  <c r="I21" i="18" s="1"/>
  <c r="H12" i="18"/>
  <c r="H21" i="18" s="1"/>
  <c r="G12" i="18"/>
  <c r="G21" i="18" s="1"/>
  <c r="F12" i="18"/>
  <c r="F21" i="18" s="1"/>
  <c r="E12" i="18"/>
  <c r="E21" i="18" s="1"/>
  <c r="D12" i="18"/>
  <c r="D21" i="18" s="1"/>
  <c r="C12" i="18"/>
  <c r="C21" i="18" s="1"/>
  <c r="H9" i="18"/>
  <c r="F9" i="18"/>
  <c r="E9" i="18"/>
  <c r="D9" i="18"/>
  <c r="C9" i="18"/>
  <c r="D22" i="18" l="1"/>
  <c r="H22" i="18"/>
  <c r="H18" i="5" l="1"/>
  <c r="I18" i="5" s="1"/>
  <c r="H20" i="5"/>
  <c r="I20" i="5" s="1"/>
  <c r="H19" i="5"/>
  <c r="I19" i="5" s="1"/>
  <c r="H28" i="5"/>
  <c r="I28" i="5" s="1"/>
  <c r="H30" i="5"/>
  <c r="I30" i="5" s="1"/>
  <c r="H24" i="5"/>
  <c r="I24" i="5" s="1"/>
  <c r="H29" i="5"/>
  <c r="I29" i="5" s="1"/>
  <c r="H14" i="5"/>
  <c r="I14" i="5" s="1"/>
  <c r="H43" i="5"/>
  <c r="H42" i="5"/>
  <c r="I42" i="5" s="1"/>
  <c r="H23" i="5"/>
  <c r="I23" i="5" s="1"/>
  <c r="H21" i="5"/>
  <c r="I21" i="5" s="1"/>
  <c r="H17" i="5"/>
  <c r="I17" i="5" s="1"/>
  <c r="H15" i="5"/>
  <c r="I15" i="5" s="1"/>
  <c r="H16" i="5"/>
  <c r="I16" i="5" s="1"/>
  <c r="A318" i="9"/>
  <c r="C318" i="9"/>
  <c r="C316" i="9"/>
  <c r="A316" i="9"/>
  <c r="H50" i="5"/>
  <c r="H49" i="5"/>
  <c r="B297" i="9"/>
  <c r="B301" i="9" l="1"/>
  <c r="H46" i="5"/>
  <c r="H47" i="5"/>
  <c r="H48" i="5"/>
  <c r="H44" i="5"/>
  <c r="H35" i="5"/>
  <c r="H36" i="5"/>
  <c r="H37" i="5"/>
  <c r="H38" i="5"/>
  <c r="H39" i="5"/>
  <c r="H31" i="5"/>
  <c r="H32" i="5"/>
  <c r="B305" i="9" l="1"/>
  <c r="C301" i="9"/>
  <c r="A4" i="10"/>
  <c r="A3" i="10"/>
  <c r="A2" i="10"/>
  <c r="B309" i="9" l="1"/>
  <c r="C305" i="9"/>
  <c r="D279" i="9"/>
  <c r="D280" i="9"/>
  <c r="D278" i="9"/>
  <c r="A275" i="9"/>
  <c r="C275" i="9"/>
  <c r="D246" i="9"/>
  <c r="D245" i="9"/>
  <c r="D243" i="9"/>
  <c r="D242" i="9"/>
  <c r="D229" i="9"/>
  <c r="D241" i="9"/>
  <c r="D240" i="9"/>
  <c r="D239" i="9"/>
  <c r="D238" i="9"/>
  <c r="D237" i="9"/>
  <c r="D236" i="9"/>
  <c r="D235" i="9"/>
  <c r="D234" i="9"/>
  <c r="D232" i="9"/>
  <c r="D233" i="9"/>
  <c r="D231" i="9"/>
  <c r="D230" i="9"/>
  <c r="D228" i="9"/>
  <c r="D221" i="9"/>
  <c r="D210" i="9"/>
  <c r="D209" i="9"/>
  <c r="D208" i="9"/>
  <c r="D207" i="9"/>
  <c r="D206" i="9"/>
  <c r="D211" i="9"/>
  <c r="D217" i="9"/>
  <c r="D216" i="9"/>
  <c r="D215" i="9"/>
  <c r="D214" i="9"/>
  <c r="D213" i="9"/>
  <c r="D212" i="9"/>
  <c r="D223" i="9"/>
  <c r="D220" i="9"/>
  <c r="D219" i="9"/>
  <c r="D218" i="9"/>
  <c r="D224" i="9"/>
  <c r="D225" i="9"/>
  <c r="D226" i="9"/>
  <c r="D227" i="9"/>
  <c r="J252" i="9" l="1"/>
  <c r="H253" i="9" s="1"/>
  <c r="L253" i="9" s="1"/>
  <c r="F41" i="5" s="1"/>
  <c r="D285" i="9"/>
  <c r="F44" i="5" s="1"/>
  <c r="I44" i="5" s="1"/>
  <c r="C309" i="9"/>
  <c r="A177" i="9"/>
  <c r="F27" i="5"/>
  <c r="A161" i="9" l="1"/>
  <c r="A178" i="9" s="1"/>
  <c r="C182" i="9" s="1"/>
  <c r="A188" i="9" s="1"/>
  <c r="A193" i="9" s="1"/>
  <c r="F22" i="5"/>
  <c r="A314" i="9"/>
  <c r="C314" i="9"/>
  <c r="C312" i="9"/>
  <c r="A312" i="9"/>
  <c r="C295" i="9"/>
  <c r="C289" i="9"/>
  <c r="A289" i="9"/>
  <c r="C287" i="9"/>
  <c r="A287" i="9"/>
  <c r="F34" i="5" l="1"/>
  <c r="F36" i="5"/>
  <c r="H45" i="5"/>
  <c r="C110" i="9" l="1"/>
  <c r="A110" i="9"/>
  <c r="C202" i="9" l="1"/>
  <c r="B202" i="9"/>
  <c r="A202" i="9"/>
  <c r="C200" i="9"/>
  <c r="A200" i="9"/>
  <c r="B195" i="9"/>
  <c r="C195" i="9"/>
  <c r="A195" i="9"/>
  <c r="B190" i="9"/>
  <c r="C190" i="9"/>
  <c r="A190" i="9"/>
  <c r="F272" i="9" l="1"/>
  <c r="F43" i="5" s="1"/>
  <c r="I43" i="5" s="1"/>
  <c r="B188" i="9"/>
  <c r="C185" i="9"/>
  <c r="A185" i="9"/>
  <c r="B185" i="9"/>
  <c r="B180" i="9" l="1"/>
  <c r="C180" i="9"/>
  <c r="A180" i="9"/>
  <c r="B175" i="9"/>
  <c r="C175" i="9"/>
  <c r="A175" i="9"/>
  <c r="B170" i="9"/>
  <c r="C170" i="9"/>
  <c r="A170" i="9"/>
  <c r="C168" i="9"/>
  <c r="A168" i="9"/>
  <c r="A165" i="9"/>
  <c r="B163" i="9"/>
  <c r="C163" i="9"/>
  <c r="A163" i="9"/>
  <c r="C161" i="9" l="1"/>
  <c r="F31" i="5" s="1"/>
  <c r="H41" i="5" l="1"/>
  <c r="H22" i="5"/>
  <c r="A166" i="9"/>
  <c r="E166" i="9" s="1"/>
  <c r="H40" i="5"/>
  <c r="H33" i="5"/>
  <c r="H34" i="5"/>
  <c r="I22" i="5" l="1"/>
  <c r="I13" i="5" s="1"/>
  <c r="I41" i="5"/>
  <c r="I40" i="5" s="1"/>
  <c r="G166" i="9"/>
  <c r="F32" i="5" s="1"/>
  <c r="I32" i="5" s="1"/>
  <c r="D178" i="9"/>
  <c r="F35" i="5" s="1"/>
  <c r="C193" i="9"/>
  <c r="D188" i="9"/>
  <c r="F37" i="5" s="1"/>
  <c r="I34" i="5"/>
  <c r="D9" i="10" l="1"/>
  <c r="D15" i="10"/>
  <c r="I15" i="10" s="1"/>
  <c r="F38" i="5"/>
  <c r="I38" i="5" s="1"/>
  <c r="A198" i="9"/>
  <c r="C198" i="9" s="1"/>
  <c r="F39" i="5" s="1"/>
  <c r="I37" i="5"/>
  <c r="I36" i="5"/>
  <c r="E9" i="10" l="1"/>
  <c r="F9" i="10"/>
  <c r="E17" i="10"/>
  <c r="I39" i="5"/>
  <c r="I35" i="5"/>
  <c r="I33" i="5" s="1"/>
  <c r="A22" i="9"/>
  <c r="D13" i="10" l="1"/>
  <c r="H13" i="10" s="1"/>
  <c r="C20" i="9"/>
  <c r="B20" i="9"/>
  <c r="A20" i="9"/>
  <c r="G13" i="10" l="1"/>
  <c r="I13" i="10"/>
  <c r="C297" i="9"/>
  <c r="A4" i="9" l="1"/>
  <c r="A3" i="9"/>
  <c r="A2" i="9"/>
  <c r="B158" i="9" l="1"/>
  <c r="C158" i="9"/>
  <c r="A158" i="9"/>
  <c r="C27" i="9"/>
  <c r="A27" i="9"/>
  <c r="B132" i="9"/>
  <c r="C132" i="9"/>
  <c r="A132" i="9"/>
  <c r="F11" i="5"/>
  <c r="F10" i="5"/>
  <c r="B16" i="9"/>
  <c r="B12" i="9"/>
  <c r="C16" i="9"/>
  <c r="A16" i="9"/>
  <c r="H11" i="5"/>
  <c r="B24" i="10"/>
  <c r="C130" i="9"/>
  <c r="A130" i="9"/>
  <c r="B28" i="10" a="1"/>
  <c r="B28" i="10" s="1"/>
  <c r="B27" i="10"/>
  <c r="B22" i="10"/>
  <c r="B23" i="10"/>
  <c r="F6" i="9"/>
  <c r="E6" i="9"/>
  <c r="C6" i="9"/>
  <c r="I11" i="5" l="1"/>
  <c r="A12" i="9"/>
  <c r="C310" i="9" l="1"/>
  <c r="H27" i="5"/>
  <c r="C12" i="9"/>
  <c r="I31" i="5" l="1"/>
  <c r="I27" i="5"/>
  <c r="I26" i="5" s="1"/>
  <c r="D11" i="10" l="1"/>
  <c r="E15" i="10"/>
  <c r="C10" i="9"/>
  <c r="A10" i="9"/>
  <c r="G11" i="10" l="1"/>
  <c r="F11" i="10"/>
  <c r="E11" i="10"/>
  <c r="I11" i="10"/>
  <c r="H11" i="10"/>
  <c r="H9" i="5"/>
  <c r="H26" i="5"/>
  <c r="I10" i="5"/>
  <c r="F46" i="5" l="1"/>
  <c r="I46" i="5" s="1"/>
  <c r="I47" i="5" l="1"/>
  <c r="I48" i="5" l="1"/>
  <c r="F49" i="5"/>
  <c r="F50" i="5" l="1"/>
  <c r="I50" i="5" s="1"/>
  <c r="I49" i="5"/>
  <c r="I45" i="5" l="1"/>
  <c r="D17" i="10"/>
  <c r="H12" i="5" l="1"/>
  <c r="G12" i="5" s="1"/>
  <c r="A25" i="9" s="1"/>
  <c r="I17" i="10"/>
  <c r="H17" i="10"/>
  <c r="C25" i="9" l="1"/>
  <c r="I12" i="5"/>
  <c r="I9" i="5" s="1"/>
  <c r="D7" i="10" l="1"/>
  <c r="E25" i="9"/>
  <c r="I51" i="5"/>
  <c r="E2" i="10" s="1"/>
  <c r="I7" i="10" l="1"/>
  <c r="I19" i="10" s="1"/>
  <c r="H7" i="10"/>
  <c r="H19" i="10" s="1"/>
  <c r="G7" i="10"/>
  <c r="G19" i="10" s="1"/>
  <c r="F7" i="10"/>
  <c r="F19" i="10" s="1"/>
  <c r="E7" i="10"/>
  <c r="E19" i="10" s="1"/>
  <c r="D19" i="10"/>
  <c r="D8" i="10" s="1"/>
  <c r="I18" i="10" l="1"/>
  <c r="D6" i="10"/>
  <c r="F18" i="10"/>
  <c r="H18" i="10"/>
  <c r="G18" i="10"/>
  <c r="E18" i="10"/>
  <c r="D10" i="10"/>
  <c r="D14" i="10"/>
  <c r="D12" i="10"/>
  <c r="D16" i="10"/>
  <c r="D18" i="10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<sst xmlns="http://schemas.openxmlformats.org/spreadsheetml/2006/main" count="648" uniqueCount="368">
  <si>
    <t>ITEM</t>
  </si>
  <si>
    <t>QUANTIDADE</t>
  </si>
  <si>
    <t>UNIDADE</t>
  </si>
  <si>
    <t>DIRETA</t>
  </si>
  <si>
    <t>INDIRETA</t>
  </si>
  <si>
    <t>PREÇO TOTAL</t>
  </si>
  <si>
    <t xml:space="preserve">FORMA DE EXECUÇÃO: </t>
  </si>
  <si>
    <t>1.1</t>
  </si>
  <si>
    <t>3.1</t>
  </si>
  <si>
    <t>M</t>
  </si>
  <si>
    <t>4.1</t>
  </si>
  <si>
    <t>TOTAL GERAL DA OBRA</t>
  </si>
  <si>
    <t>U</t>
  </si>
  <si>
    <t>-</t>
  </si>
  <si>
    <t>SERVIÇOS PRELIMINARES</t>
  </si>
  <si>
    <t>SERVIÇOS</t>
  </si>
  <si>
    <t>Quantidade =</t>
  </si>
  <si>
    <t>CRONOGRAMA FÍSICO-FINANCEIRO</t>
  </si>
  <si>
    <t>ETAPAS/DESCRIÇÃO</t>
  </si>
  <si>
    <t>FÍSICO/ FINANCEIRO</t>
  </si>
  <si>
    <t>TOTAL  ETAPAS</t>
  </si>
  <si>
    <t>MÊS 1</t>
  </si>
  <si>
    <t>MÊS 2</t>
  </si>
  <si>
    <t>Físico %</t>
  </si>
  <si>
    <t>Financeiro</t>
  </si>
  <si>
    <t>TOTAL</t>
  </si>
  <si>
    <t>(    )</t>
  </si>
  <si>
    <t>4.2</t>
  </si>
  <si>
    <t>DATA:</t>
  </si>
  <si>
    <t>FORNECIMENTO E COLOCAÇÃO DE PLACA DE OBRA EM CHAPA GALVANIZADA (3,00 X 1,50 M) - EM CHAPA GALVANIZADA 0,26 AFIXADAS COM REBITES 540 E PARAFUSOS 3/8, EM ESTRUTURA METÁLICA VIGA U 2" ENRIJECIDA COM METALON 20 X 20, SUPORTE EM EUCALIPTO AUTOCLAVADO PINTADAS</t>
  </si>
  <si>
    <t>VALOR DO CONVÊNIO:</t>
  </si>
  <si>
    <r>
      <rPr>
        <b/>
        <u/>
        <sz val="11"/>
        <rFont val="Aharoni"/>
      </rPr>
      <t>PLANILHA ORÇAMENT</t>
    </r>
    <r>
      <rPr>
        <b/>
        <u/>
        <sz val="11"/>
        <rFont val="Abadi"/>
        <family val="2"/>
      </rPr>
      <t>Á</t>
    </r>
    <r>
      <rPr>
        <b/>
        <u/>
        <sz val="11"/>
        <rFont val="Aharoni"/>
      </rPr>
      <t>RIA DE CUSTOS</t>
    </r>
  </si>
  <si>
    <t>1.0</t>
  </si>
  <si>
    <t>2.0</t>
  </si>
  <si>
    <t>3.0</t>
  </si>
  <si>
    <t>4.0</t>
  </si>
  <si>
    <t>MEMÓRIA DE CÁLCULO DE QUANTITATIVOS</t>
  </si>
  <si>
    <t>REGULARIZAÇÃO DO SUB-LEITO (PROCTOR NORMAL)</t>
  </si>
  <si>
    <t>% ISS MUNICIPAL:</t>
  </si>
  <si>
    <t>CÓDIGO</t>
  </si>
  <si>
    <t>SEINFRA</t>
  </si>
  <si>
    <t>BDI:</t>
  </si>
  <si>
    <t>1.2</t>
  </si>
  <si>
    <t>ED-50135</t>
  </si>
  <si>
    <t>BARRACÃO DE OBRA, EM CHAPA DE COMPENSADO RESINADO, INCLUSIVE INSTALAÇÕES SANITÁRIAS E MOBILIÁRIO - PADRÃO DERMG</t>
  </si>
  <si>
    <t>M²</t>
  </si>
  <si>
    <t>5.0</t>
  </si>
  <si>
    <t>5.1</t>
  </si>
  <si>
    <t>5.2</t>
  </si>
  <si>
    <t>M³</t>
  </si>
  <si>
    <t>MÊS 3</t>
  </si>
  <si>
    <t>CONSTRUÇÃO DE RODOVIAS E FERROVIAS</t>
  </si>
  <si>
    <t>ISS</t>
  </si>
  <si>
    <t>PIS</t>
  </si>
  <si>
    <t>COFINS</t>
  </si>
  <si>
    <t>BDI</t>
  </si>
  <si>
    <t>DOC Nº:</t>
  </si>
  <si>
    <t>DOC Nº: 04/04.</t>
  </si>
  <si>
    <t>1.3</t>
  </si>
  <si>
    <t>%</t>
  </si>
  <si>
    <t>VALOR DA OBRA S/ BDI (SEM O VALOR DE MOB. E DESM.</t>
  </si>
  <si>
    <t>VALOR DA OBRA C/ BDI (SEM O VALOR DE MOB. E DESM.</t>
  </si>
  <si>
    <t>SERVIÇOS DE TERRAPLENAGEM</t>
  </si>
  <si>
    <t>M³XKM</t>
  </si>
  <si>
    <t>SERVIÇOS DE PAVIMENTAÇÃO ASFÁLTICA</t>
  </si>
  <si>
    <t>4.3</t>
  </si>
  <si>
    <t>TxKM</t>
  </si>
  <si>
    <t>PINTURA DE LIGAÇÃO (EXECUÇÃO E FORNECIMENTO DO MATERIAL BETUMINOSO, EXCLUSIVE TRANSPORTE DO MATERIAL BETUMINOSO)</t>
  </si>
  <si>
    <t>TXKM</t>
  </si>
  <si>
    <t>DRENAGEM PLUVIAL</t>
  </si>
  <si>
    <t>( X )</t>
  </si>
  <si>
    <r>
      <t>C</t>
    </r>
    <r>
      <rPr>
        <b/>
        <sz val="8"/>
        <rFont val="Abadi"/>
        <family val="2"/>
      </rPr>
      <t>Ó</t>
    </r>
    <r>
      <rPr>
        <b/>
        <sz val="8"/>
        <rFont val="Aharoni"/>
      </rPr>
      <t>DIGO</t>
    </r>
  </si>
  <si>
    <r>
      <t>DESCRIÇ</t>
    </r>
    <r>
      <rPr>
        <b/>
        <sz val="8"/>
        <rFont val="Abadi"/>
        <family val="2"/>
      </rPr>
      <t>Ã</t>
    </r>
    <r>
      <rPr>
        <b/>
        <sz val="8"/>
        <rFont val="Aharoni"/>
      </rPr>
      <t>O</t>
    </r>
  </si>
  <si>
    <r>
      <t>PREÇO UNIT</t>
    </r>
    <r>
      <rPr>
        <b/>
        <sz val="8"/>
        <rFont val="Abadi"/>
        <family val="2"/>
      </rPr>
      <t>Á</t>
    </r>
    <r>
      <rPr>
        <b/>
        <sz val="8"/>
        <rFont val="Aharoni"/>
      </rPr>
      <t>RIO S/ BDI</t>
    </r>
  </si>
  <si>
    <r>
      <t>PREÇO UNIT</t>
    </r>
    <r>
      <rPr>
        <b/>
        <sz val="8"/>
        <rFont val="Abadi"/>
        <family val="2"/>
      </rPr>
      <t>Á</t>
    </r>
    <r>
      <rPr>
        <b/>
        <sz val="8"/>
        <rFont val="Aharoni"/>
      </rPr>
      <t>RIO C/ BDI</t>
    </r>
  </si>
  <si>
    <t>DOC Nº: 03/04.</t>
  </si>
  <si>
    <t>Data:</t>
  </si>
  <si>
    <t>Área de Pavimentação:
(m²)</t>
  </si>
  <si>
    <t>Índice de Consumo (CM-30)
(t/m²):</t>
  </si>
  <si>
    <r>
      <t>para atender à obra: (4,00 m de largura x 3,00 m comprimento)
*(</t>
    </r>
    <r>
      <rPr>
        <u/>
        <sz val="8"/>
        <rFont val="Arial Black"/>
        <family val="2"/>
      </rPr>
      <t xml:space="preserve">registrar e </t>
    </r>
    <r>
      <rPr>
        <i/>
        <u/>
        <sz val="8"/>
        <rFont val="Arial Black"/>
        <family val="2"/>
      </rPr>
      <t>evidenciar a existência do barracão no canteiro de obras através de fotos - periodicamente a mês a mês ao longo da execução das obras</t>
    </r>
    <r>
      <rPr>
        <sz val="8"/>
        <rFont val="Arial Black"/>
        <family val="2"/>
      </rPr>
      <t>)</t>
    </r>
  </si>
  <si>
    <t>IMPRIMAÇÃO (EXECUÇÃO E FORNECIMENTO DO MATERIAL BETUMINOSO, EXCLUSIVE TRANSPORTE DO MATERIAL BETUMINOSO)</t>
  </si>
  <si>
    <t>Total:</t>
  </si>
  <si>
    <t>VOLUME DA BASE:</t>
  </si>
  <si>
    <t>Área de Pavimentação:</t>
  </si>
  <si>
    <t>DMT:</t>
  </si>
  <si>
    <t>Índice de Consumo (RR-2C):</t>
  </si>
  <si>
    <t>Espessura do CBUQ</t>
  </si>
  <si>
    <t>Volume do CBUQ</t>
  </si>
  <si>
    <t>Resp. Técnica:</t>
  </si>
  <si>
    <t>SINALIZAÇÃO VIÁRIA</t>
  </si>
  <si>
    <t>TOTAL:</t>
  </si>
  <si>
    <t>Extensão do Trecho:</t>
  </si>
  <si>
    <t>*Lados de pintura de faixa dos bordos da pista à executar:</t>
  </si>
  <si>
    <t xml:space="preserve">ÁREA DO TRECHO: </t>
  </si>
  <si>
    <t>Altura da Base:</t>
  </si>
  <si>
    <t>Quantidade:</t>
  </si>
  <si>
    <t>Locação/Estaca:</t>
  </si>
  <si>
    <t>Lado "a"</t>
  </si>
  <si>
    <t>Área Total de Placas:</t>
  </si>
  <si>
    <t>Quant. Total 
de Placas:</t>
  </si>
  <si>
    <t>*Dimensões (malha) das Placas - (conforme manual CONTRAN - volume II - sinalização vertical de advertência - pág. 139.</t>
  </si>
  <si>
    <t>Transporte da bica corrida:</t>
  </si>
  <si>
    <t>base = 33% de bica corrida:</t>
  </si>
  <si>
    <t>Volume de bica corrida para a base:</t>
  </si>
  <si>
    <t>Peso Específico da bica corrida:</t>
  </si>
  <si>
    <r>
      <t>*DEMONSTRATIVO DE BDI EXTRAÍDO DA TABELA DE REFERÊNCIA (SETOP/SEINFRA) ACIMA RELACIONADA - PÁG</t>
    </r>
    <r>
      <rPr>
        <b/>
        <sz val="8"/>
        <rFont val="Abadi"/>
        <family val="2"/>
      </rPr>
      <t>. 15.</t>
    </r>
  </si>
  <si>
    <t>ED-50392</t>
  </si>
  <si>
    <t>MOBILIZAÇÃO E DESMOBILIZAÇÃO DE OBRA EM CENTRO URBANO OU REGIÃO LIMÍTROFE COM VALOR ATÉ O VALOR DE 1.000.000,00</t>
  </si>
  <si>
    <t>Priscila Cristina de Paula Neto</t>
  </si>
  <si>
    <t>Engenheira Civil</t>
  </si>
  <si>
    <r>
      <t>CREA-MG N</t>
    </r>
    <r>
      <rPr>
        <sz val="10"/>
        <rFont val="Calibri"/>
        <family val="2"/>
        <scheme val="minor"/>
      </rPr>
      <t>º</t>
    </r>
    <r>
      <rPr>
        <sz val="10"/>
        <rFont val="Abadi"/>
        <family val="2"/>
      </rPr>
      <t>: 142702/D</t>
    </r>
  </si>
  <si>
    <t xml:space="preserve">ED-7623 </t>
  </si>
  <si>
    <t>EXECUÇÃO E APLICAÇÃO DE CONCRETO BETUMINOSO USINADO A QUENTE (CBUQ), MASSA COMERCIAL, INCLUINDO FORNECIMENTO E TRANSPORTE DOS AGREGADOS E MATERIAL BETUMINOSO, EXCLUSIVE TRANSPORTE DA MASSA ASFÁLTICA ATÉ A PISTA</t>
  </si>
  <si>
    <t>ED-51139</t>
  </si>
  <si>
    <t>GUIA DE MEIO-FIO, EM CONCRETO COM FCK 20MPA, PRÉ_x0002_MOLDADA, MFC-01 PADRÃO DER-MG, DIMENSÕES (12X16,7X35)CM, EXCLUSIVE SARJETA, INCLUSIVE ESCAVAÇÃO, APILOAMENTO E TRANSPORTE COM RETIRADA DO MATERIAL ESCAVADO (EM CAÇAMBA)</t>
  </si>
  <si>
    <t>Placa Vertical - R19
Velocidade máxima permitida</t>
  </si>
  <si>
    <t>ED-28427</t>
  </si>
  <si>
    <t>5.3</t>
  </si>
  <si>
    <t>VALOR DE MOB. E DESM. C/BDI
(VALOR DA OBRA C/BDI SEM O VALOR DO ITEM MO. E DESM.) / 100 * 0,50</t>
  </si>
  <si>
    <t>6.0</t>
  </si>
  <si>
    <t>6.1</t>
  </si>
  <si>
    <t>6.2</t>
  </si>
  <si>
    <t>6.3</t>
  </si>
  <si>
    <t>José Francisco Matos e Silva</t>
  </si>
  <si>
    <t xml:space="preserve">Prefeito Municipal de Bom Jardim de Minas </t>
  </si>
  <si>
    <t>PREFEITURA MUNICIPAL DE BOM JARDIM DE MINAS /MG</t>
  </si>
  <si>
    <t>ALVENARIA DE BLOCO DE CONCRETO CHEIO SEM ARMAÇÃO, EM CONCRETO COM FCK 15MPA , ESP. 9CM, PARA REVESTIMENTO, INCLUSIVE ARGAMASSA PARA ASSENTAMENTO (DETALHE D - CADERNO SEDS)</t>
  </si>
  <si>
    <t>ED-48215</t>
  </si>
  <si>
    <t>CHAPISCO COM ARGAMASSA, TRAÇO 1:3 (CIMENTO E AREIA), ESP . 5MM, APLICADO EM ALVENARIA/ESTRUTURA DE CONCRETO COM COLHER, INCLUSIVE ARGAMASSA COM PREPARO MECANIZADO</t>
  </si>
  <si>
    <t>ED-50727</t>
  </si>
  <si>
    <t>ED-50732</t>
  </si>
  <si>
    <t>EMBOÇO COM ARGAMASSA, TRAÇO 1:6 (CIMENTO E AREIA), ESP. 20MM, APLICAÇÃO MANUAL, INCLUSIVE ARGAMASSA COM PREPARO MECANIZADO, EXCLUSIVE CHAPISCO</t>
  </si>
  <si>
    <t>URBANIZAÇÃO</t>
  </si>
  <si>
    <t>COMP.</t>
  </si>
  <si>
    <t>ÁREA TOTAL</t>
  </si>
  <si>
    <t>ALT.</t>
  </si>
  <si>
    <t>ÁREA DE ALVENARIA:</t>
  </si>
  <si>
    <t>ALVENARIA</t>
  </si>
  <si>
    <t xml:space="preserve">CANTEIRO 01 </t>
  </si>
  <si>
    <t>ÁREA DE CHAPISCO/ EMBOÇO:</t>
  </si>
  <si>
    <t>EXTENSÃO DE MEIOS-FIOS RETIRADO DE PROJETO:</t>
  </si>
  <si>
    <t>ÁREA RETIRADA DO AUTOCAD:</t>
  </si>
  <si>
    <t>ÁREA RETIRADA DO AUTOCAD A SER PAVIMENTADA:</t>
  </si>
  <si>
    <t>6.4</t>
  </si>
  <si>
    <t xml:space="preserve">Placa Pare - R1
Parada obrigatório </t>
  </si>
  <si>
    <t xml:space="preserve">Trecho 01 </t>
  </si>
  <si>
    <t>Descrição:</t>
  </si>
  <si>
    <t>Área por unidade:</t>
  </si>
  <si>
    <t>Área Total :</t>
  </si>
  <si>
    <t xml:space="preserve">PARE </t>
  </si>
  <si>
    <t>SETA</t>
  </si>
  <si>
    <t>SETA EM DOIS SENTIDOS</t>
  </si>
  <si>
    <t>01/04.</t>
  </si>
  <si>
    <t>CANTEIRO 02</t>
  </si>
  <si>
    <t>CANTEIRO 03</t>
  </si>
  <si>
    <t>ED-50514</t>
  </si>
  <si>
    <t>PREPARAÇÃO PARA EMASSAMENTO OU PINTURA (LÁTEX/ ACRÍLICA) EM PAREDE, INCLUSIVE UMA (1) DEMÃO DE SELADOR ACRÍLICO</t>
  </si>
  <si>
    <t>ED-50498</t>
  </si>
  <si>
    <t xml:space="preserve">CHAPISCO / EMBOÇO / PINTURA </t>
  </si>
  <si>
    <t>PINTURA LÁTEX (PVA) EM PAREDE, DUAS (2) DEMÃOS, EXCLUSIVE SELADOR ACRÍLICO E MASSA ACRÍLICA/CORRIDA (PVA)</t>
  </si>
  <si>
    <t>6.5</t>
  </si>
  <si>
    <t>3.2</t>
  </si>
  <si>
    <t>3.3</t>
  </si>
  <si>
    <t>BDI (CONFORME ACÓRDÃO Nº 2622/13 e LEI Nº 13.161 DE 31/08/15)</t>
  </si>
  <si>
    <t>DISCRIMINAÇÃO DAS PARCELAS</t>
  </si>
  <si>
    <t>DIFERENCIADO</t>
  </si>
  <si>
    <t>CUSTO DIRETO</t>
  </si>
  <si>
    <t>CD</t>
  </si>
  <si>
    <t>ADMINISTRAÇÃO CENTRAL</t>
  </si>
  <si>
    <t>AC</t>
  </si>
  <si>
    <t>LUCRO BRUTO</t>
  </si>
  <si>
    <t>L</t>
  </si>
  <si>
    <t>DESPESAS FINANCEIRAS</t>
  </si>
  <si>
    <t>DF</t>
  </si>
  <si>
    <t>SEGUROS, GARANTIAS E RISCO</t>
  </si>
  <si>
    <t>SEGUROS + GARANTIAS</t>
  </si>
  <si>
    <t>S</t>
  </si>
  <si>
    <t>RISCO(*)</t>
  </si>
  <si>
    <t>R</t>
  </si>
  <si>
    <t>TRIBUTOS</t>
  </si>
  <si>
    <t>I</t>
  </si>
  <si>
    <t>PV</t>
  </si>
  <si>
    <r>
      <t>ISS</t>
    </r>
    <r>
      <rPr>
        <vertAlign val="superscript"/>
        <sz val="8"/>
        <rFont val="Arial"/>
        <family val="2"/>
      </rPr>
      <t>(2)</t>
    </r>
  </si>
  <si>
    <t>CPRB</t>
  </si>
  <si>
    <t>INSS</t>
  </si>
  <si>
    <t>FÓRMULA DO BDI</t>
  </si>
  <si>
    <t>(1 + (AC + S + G + R)) x (1 + DF) x  (1 + L)</t>
  </si>
  <si>
    <t>(1 - (I + CPRB))</t>
  </si>
  <si>
    <t>BDI (NUMERADOR)</t>
  </si>
  <si>
    <t>BDI (DENOMINADOR)</t>
  </si>
  <si>
    <t>OBSERVAÇÕES</t>
  </si>
  <si>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SIGLA.
</t>
    </r>
    <r>
      <rPr>
        <vertAlign val="superscript"/>
        <sz val="8"/>
        <rFont val="Arial"/>
        <family val="2"/>
      </rPr>
      <t xml:space="preserve">(2) </t>
    </r>
    <r>
      <rPr>
        <sz val="8"/>
        <rFont val="Arial"/>
        <family val="2"/>
      </rPr>
      <t xml:space="preserve">INCIDÊNCIA DE ISS EM 70% DO PREÇO DE VENDA, COM PERCENTUAIS DE 2%, 3%, 4% E 5%.
</t>
    </r>
    <r>
      <rPr>
        <vertAlign val="superscript"/>
        <sz val="8"/>
        <rFont val="Arial"/>
        <family val="2"/>
      </rPr>
      <t xml:space="preserve">(3) </t>
    </r>
    <r>
      <rPr>
        <sz val="8"/>
        <rFont val="Arial"/>
        <family val="2"/>
      </rPr>
      <t xml:space="preserve">BDI DIFERENCIADO A SER APLICADO EM LOCAÇÃO DE CUSTO HORÁRIO DE EQUIPAMENTO.
</t>
    </r>
    <r>
      <rPr>
        <vertAlign val="superscript"/>
        <sz val="8"/>
        <rFont val="Arial"/>
        <family val="2"/>
      </rPr>
      <t xml:space="preserve">(4) </t>
    </r>
    <r>
      <rPr>
        <sz val="8"/>
        <rFont val="Arial"/>
        <family val="2"/>
      </rPr>
      <t xml:space="preserve">BDI DIFERENCIADO A SER APLICADO PARA SERVIÇOS TERCEIRIZADOS.
</t>
    </r>
    <r>
      <rPr>
        <vertAlign val="superscript"/>
        <sz val="8"/>
        <rFont val="Arial"/>
        <family val="2"/>
      </rPr>
      <t xml:space="preserve">(5) </t>
    </r>
    <r>
      <rPr>
        <sz val="8"/>
        <rFont val="Arial"/>
        <family val="2"/>
      </rPr>
      <t xml:space="preserve">BDI DIFERENCIADO A SER APLICADO PARA FORNECIMENTO DE MATERIAL BETUMINOSO E MATERIAL DE JAZIDA.
</t>
    </r>
    <r>
      <rPr>
        <vertAlign val="superscript"/>
        <sz val="8"/>
        <rFont val="Arial"/>
        <family val="2"/>
      </rPr>
      <t xml:space="preserve">(6) </t>
    </r>
    <r>
      <rPr>
        <sz val="8"/>
        <rFont val="Arial"/>
        <family val="2"/>
      </rPr>
      <t>INCIDÊNCIA.</t>
    </r>
  </si>
  <si>
    <t>.</t>
  </si>
  <si>
    <t xml:space="preserve">DOC Nº: </t>
  </si>
  <si>
    <t>02/04.</t>
  </si>
  <si>
    <r>
      <t xml:space="preserve">SIG.
</t>
    </r>
    <r>
      <rPr>
        <b/>
        <vertAlign val="superscript"/>
        <sz val="8"/>
        <color rgb="FFFFFFFF"/>
        <rFont val="Arial"/>
        <family val="2"/>
      </rPr>
      <t>(1)</t>
    </r>
  </si>
  <si>
    <r>
      <t xml:space="preserve">INC.
</t>
    </r>
    <r>
      <rPr>
        <b/>
        <vertAlign val="superscript"/>
        <sz val="8"/>
        <color rgb="FFFFFFFF"/>
        <rFont val="Arial"/>
        <family val="2"/>
      </rPr>
      <t>(6)</t>
    </r>
  </si>
  <si>
    <r>
      <t xml:space="preserve">ISS </t>
    </r>
    <r>
      <rPr>
        <b/>
        <vertAlign val="superscript"/>
        <sz val="8"/>
        <color rgb="FFFFFFFF"/>
        <rFont val="Arial"/>
        <family val="2"/>
      </rPr>
      <t>(2)</t>
    </r>
  </si>
  <si>
    <r>
      <t xml:space="preserve">MATERIAL
</t>
    </r>
    <r>
      <rPr>
        <b/>
        <vertAlign val="superscript"/>
        <sz val="8"/>
        <color rgb="FFFFFFFF"/>
        <rFont val="Arial"/>
        <family val="2"/>
      </rPr>
      <t>(5)</t>
    </r>
  </si>
  <si>
    <r>
      <t xml:space="preserve">SERVIÇO TERCEIRIZADO
</t>
    </r>
    <r>
      <rPr>
        <b/>
        <vertAlign val="superscript"/>
        <sz val="8"/>
        <color rgb="FFFFFFFF"/>
        <rFont val="Arial"/>
        <family val="2"/>
      </rPr>
      <t>(4)</t>
    </r>
    <r>
      <rPr>
        <b/>
        <sz val="8"/>
        <color rgb="FFFFFFFF"/>
        <rFont val="Arial"/>
        <family val="2"/>
      </rPr>
      <t xml:space="preserve">
(ISS=5%)</t>
    </r>
  </si>
  <si>
    <r>
      <t xml:space="preserve">EQUIPAMENTO
</t>
    </r>
    <r>
      <rPr>
        <b/>
        <vertAlign val="superscript"/>
        <sz val="8"/>
        <color rgb="FFFFFFFF"/>
        <rFont val="Arial"/>
        <family val="2"/>
      </rPr>
      <t xml:space="preserve">(3)
</t>
    </r>
    <r>
      <rPr>
        <b/>
        <sz val="8"/>
        <color rgb="FFFFFFFF"/>
        <rFont val="Arial"/>
        <family val="2"/>
      </rPr>
      <t>(ISS=5%)</t>
    </r>
  </si>
  <si>
    <t xml:space="preserve">Bom jardim de Minas </t>
  </si>
  <si>
    <t>LOCAL: AVENIDA PREFEITO GENIVALDO MARQUES DE PAULA - CENTRO (ENTRADA DO MUNICIPIO DE BOM JARDIM DE MINAS)/MG</t>
  </si>
  <si>
    <t xml:space="preserve">Placa Vertical - R9
Placa Proibido trânsito de caminhões 
</t>
  </si>
  <si>
    <t>ED-48549</t>
  </si>
  <si>
    <t>UNID.</t>
  </si>
  <si>
    <t>ED-51105</t>
  </si>
  <si>
    <t>ED-51121</t>
  </si>
  <si>
    <t>ESCAVAÇÃO MECÂNICA EM MATERIAL DE 1ª CATEGORIA, INCLUSIVE CARGA EM CAMINHÃO, EXCLUSIVE TRANSPORTE E DESCARGA</t>
  </si>
  <si>
    <t>REATERRO MANUAL DE VALA, INCLUSIVE ESPALHAMENTO E COMPACTAÇÃO MECANIZADA COM PLACA VIBRATÓRIA</t>
  </si>
  <si>
    <t>BOCA DE LOBO SIMPLES (TIPO A - FERRO FUNDIDO), QUADRO, GRELHA E CANTONEIRA, INCLUSIVE ESCAVAÇÃO, REATERRO E BOTA-FORA</t>
  </si>
  <si>
    <t>BOCA DE LOBO RETIRADO DE PROJETO:</t>
  </si>
  <si>
    <t>EXTENSÃO DE DRENO PROFUNDO RETIRADO DE PROJETO:</t>
  </si>
  <si>
    <t xml:space="preserve">Altura Escavação </t>
  </si>
  <si>
    <t xml:space="preserve">x </t>
  </si>
  <si>
    <t>Largura Escavação</t>
  </si>
  <si>
    <t>x</t>
  </si>
  <si>
    <t>=</t>
  </si>
  <si>
    <t>Total =</t>
  </si>
  <si>
    <t>m³</t>
  </si>
  <si>
    <t>m²</t>
  </si>
  <si>
    <t>Extensão:</t>
  </si>
  <si>
    <t>m</t>
  </si>
  <si>
    <t>Rede Principal &gt; Quantidade =</t>
  </si>
  <si>
    <t>TUBOS DE 400MM</t>
  </si>
  <si>
    <t>Volume Total do Berço =
((Índice de consumo (m³/m)*extensão dos tubos))</t>
  </si>
  <si>
    <t>Volume de Reaterro (volume de Escavação dos tubos de 400mm) - (volume dos Tubos de 400mm) - (volume total do berço de Concreto dos tubos de 400mm) em (M³)</t>
  </si>
  <si>
    <t>APILOAMENTO MECANIZADO EM FUNDO DE VALA COM PLACA VIBRATÓRIA, EXCLUSIVE ESCAVAÇÃO</t>
  </si>
  <si>
    <t>ED-51094</t>
  </si>
  <si>
    <t>ED-48311</t>
  </si>
  <si>
    <t>CONCRETO MAGRO, TRAÇO 1:3:6, PREPARADO EM OBRA COM BETONEIRA, SEM FUNÇÃO ESTRUTURAL</t>
  </si>
  <si>
    <t>CANTEIRO 04</t>
  </si>
  <si>
    <t>5.5</t>
  </si>
  <si>
    <t>Passagem de pedrestre - A-32a</t>
  </si>
  <si>
    <t>Trecho 02</t>
  </si>
  <si>
    <t>CANTEIRO 05</t>
  </si>
  <si>
    <t>CANTEIRO 06</t>
  </si>
  <si>
    <t>CANTEIRO 07</t>
  </si>
  <si>
    <t>CANTEIRO 08</t>
  </si>
  <si>
    <r>
      <rPr>
        <b/>
        <sz val="9"/>
        <rFont val="Abadi"/>
        <family val="2"/>
      </rPr>
      <t>OBRA:</t>
    </r>
    <r>
      <rPr>
        <sz val="9"/>
        <rFont val="Abadi"/>
        <family val="2"/>
      </rPr>
      <t xml:space="preserve"> </t>
    </r>
    <r>
      <rPr>
        <b/>
        <sz val="9"/>
        <rFont val="Abadi"/>
        <family val="2"/>
      </rPr>
      <t>PAVIMENTAÇÃO ASFÁLTICA EM CBUQ E EXECUÇÃO DE INFRAESTRUTURA EM VIA URBANA - ETAPA 02</t>
    </r>
  </si>
  <si>
    <t>PRAZO PREVISTO PARA EXECUÇÃO DA OBRA: 5 MESES</t>
  </si>
  <si>
    <t>MÊS 4</t>
  </si>
  <si>
    <t>MÊS 5</t>
  </si>
  <si>
    <t>FAIXA DE PEDESTRE 01</t>
  </si>
  <si>
    <t>FAIXA DE PEDESTRE 02</t>
  </si>
  <si>
    <t>FAIXA DE PEDESTRE 03</t>
  </si>
  <si>
    <t>FAIXA DE PEDESTRE 04</t>
  </si>
  <si>
    <t>SINAPI</t>
  </si>
  <si>
    <t>DRENO PROFUNDO (SEÇÃO 0,50 X 1,50 M), COM TUBO DE PEAD CORRUGADO PERFURADO, DN 100 MM, ENCHIMENTO COM AREIA. AF_07/2021</t>
  </si>
  <si>
    <t>RO-00267</t>
  </si>
  <si>
    <t>RO-3872</t>
  </si>
  <si>
    <t>TRANSPORTE EM CAMINHÃO BASCULANTE COM CAPACIDADE DE 12M3 - RODOVIA PAVIMENTADA</t>
  </si>
  <si>
    <t>SICRO</t>
  </si>
  <si>
    <t>TOTAL EM COMP.</t>
  </si>
  <si>
    <t xml:space="preserve">X </t>
  </si>
  <si>
    <t>TOTAL =</t>
  </si>
  <si>
    <t>0,10 m ESP.</t>
  </si>
  <si>
    <t>PINTURA DE FAIXA COM TINTA ACRÍLICA - ESPESSURA DE 0,6MM</t>
  </si>
  <si>
    <t>PINTURA DE SETAS E ZEBRADOS COM TINTA ACRÍLICA - ESPESSURA DE 0,6MM</t>
  </si>
  <si>
    <t>COMPOSIÇÕES DE CUSTO - COM  DESONERADO</t>
  </si>
  <si>
    <t>DESCRIÇÃO DO SERVIÇO OU FORNECIMENTO</t>
  </si>
  <si>
    <t>DATA BASE</t>
  </si>
  <si>
    <t>FONTE</t>
  </si>
  <si>
    <t>PREÇO REFERENCIAL</t>
  </si>
  <si>
    <t>COMP. 01</t>
  </si>
  <si>
    <t>DESCRIÇÃO DO INSUMO</t>
  </si>
  <si>
    <t>COEFICIENTE</t>
  </si>
  <si>
    <t>CUSTO UNITÁRIO</t>
  </si>
  <si>
    <t>CUSTO TOTAL</t>
  </si>
  <si>
    <t>COMP. 02</t>
  </si>
  <si>
    <t>001</t>
  </si>
  <si>
    <t>H</t>
  </si>
  <si>
    <t>ED-50367</t>
  </si>
  <si>
    <t>SERVENTE COM ENCARGOS COMPLEMENTARES</t>
  </si>
  <si>
    <t>___________________________________________________</t>
  </si>
  <si>
    <t>Priscila Cristina De Paula Neto</t>
  </si>
  <si>
    <r>
      <t>Engenheira Civil - CREA/MG n</t>
    </r>
    <r>
      <rPr>
        <sz val="10"/>
        <rFont val="Calibri"/>
        <family val="2"/>
      </rPr>
      <t>º</t>
    </r>
    <r>
      <rPr>
        <sz val="10"/>
        <rFont val="Arial"/>
        <family val="2"/>
      </rPr>
      <t xml:space="preserve"> 142702/D</t>
    </r>
  </si>
  <si>
    <t>CAMINHÃO TANQUE DISTRIBUIDOR DE ASFALTO COM CAPACIDADE DE 6.000 L - 7 KW/136 KW</t>
  </si>
  <si>
    <t>MATED-7635</t>
  </si>
  <si>
    <t>T</t>
  </si>
  <si>
    <t>COMPOSIÇÃO</t>
  </si>
  <si>
    <t>TANQUE DE ESTOCAGEM DE ASFALTO COM CAPACIDADE DE 30.000 L</t>
  </si>
  <si>
    <t>E9558</t>
  </si>
  <si>
    <t>E9509</t>
  </si>
  <si>
    <t>002</t>
  </si>
  <si>
    <t>RO-00356</t>
  </si>
  <si>
    <t>BASE OU SUB-BASE ESTABILIZADA GRANULOMETRICAMENTE COM MISTURA EM USINA DE SOLO BRITA (29,10% - 67,90%) COM 3% DE CIMENTO, COM MATERIAL DE JAZIDA E BRITA COMERCIAL - COMPACTADO NA ENERGIA INTERMEDIÁRIA (EXECUÇÃO, INCLUÍDO ESCAVAÇÃO E CARGA DO MATERIAL DE JAZIDA, FORNECIMENTO E CARGA DO CIMENTO E DA BRITA, EXCLUI O TRANSPORTE)</t>
  </si>
  <si>
    <t>SEINFRA/SICRO</t>
  </si>
  <si>
    <t>2.1</t>
  </si>
  <si>
    <t>2.2</t>
  </si>
  <si>
    <t>2.3</t>
  </si>
  <si>
    <t>2.4</t>
  </si>
  <si>
    <t>2.5</t>
  </si>
  <si>
    <t>2.6</t>
  </si>
  <si>
    <t>2.7</t>
  </si>
  <si>
    <t>2.8</t>
  </si>
  <si>
    <t>4.4</t>
  </si>
  <si>
    <t>4.5</t>
  </si>
  <si>
    <t>4.6</t>
  </si>
  <si>
    <t>SUPORTE METÁLICO GALVANIZADO PARA PLACA DE ADVERTÊNCIA OU REGULAMENTAÇÃO - LADO OU DIÂMETRO DE 0,60M - FORNECIMENTO E IMPLANTAÇÃO</t>
  </si>
  <si>
    <t>PLACA EM AÇO Nº16 GALVANIZADO COM PELÍCULA RETRORREFLETIVA TIPO I+III-CONFECÇÃO</t>
  </si>
  <si>
    <t>5213863</t>
  </si>
  <si>
    <t>5213417</t>
  </si>
  <si>
    <t>102674</t>
  </si>
  <si>
    <t>TOTAL DE SUPORTE E METRAGEM QUADRADA DE PLACA</t>
  </si>
  <si>
    <t>TRANSPORTE DE MISTURA BETUMINOSA A QUENTE COM CAMINHÃO COM CAÇAMBA TÉRMICA DE 6M³ - RODOVIA PAVIMENTADA</t>
  </si>
  <si>
    <t>EMULSÃO ASFÁLTICA (TIPO: RL-1C| APLICAÇÃO: PAVIMENTAÇÃO ASFÁLTICA|ICMS: INCLUSO)</t>
  </si>
  <si>
    <t xml:space="preserve">ED-29231 </t>
  </si>
  <si>
    <t>TRANSPORTE DE MATERIAL DE QUALQUER NATUREZA EMCAMINHÃO, DISTÂNCIA MAIOR QUE 2KM E MENOR  OU IGUAL A 5KM, DENTRO DO PERÍMETRO URBANO, EXCLUSIVE CARGA, INCLUSIVE DESCARGA</t>
  </si>
  <si>
    <t xml:space="preserve">M3xKM </t>
  </si>
  <si>
    <t xml:space="preserve">ED-51106 </t>
  </si>
  <si>
    <t>ESCAVAÇÃO MECÂNICA EM MATERIAL DE 2ª CATEGORIA, INCLUSIVE CARGA EM CAMINHÃO, EXCLUSIVE TRANSPORTE E DESCARGA</t>
  </si>
  <si>
    <t>SUB-BASE DE SOLO ESTABILIZADO GRANULOMETRICAMENTE SEM MISTURA COM MATERIAL DE JAZIDA - COMPACTADO NA ENERGIA INTERMEDIÁRIA (EXECUÇÃO, INCLUÍDO ESCAVAÇÃO E CARGA DO MATERIAL DE JAZIDA, EXCLUI O TRANSPORTE)</t>
  </si>
  <si>
    <t>3.6</t>
  </si>
  <si>
    <t xml:space="preserve">FATOR DE EMPOLAMENTO = </t>
  </si>
  <si>
    <t>ED-51106</t>
  </si>
  <si>
    <t>ED-29231</t>
  </si>
  <si>
    <t>ALTURA DE ESCAVAÇÃO =</t>
  </si>
  <si>
    <t>ÁREA TOTAL (TRECHO 01) ESCAVAÇÃO =</t>
  </si>
  <si>
    <t xml:space="preserve">VOLUME TOTAL DE ESCAVAÇÃO = </t>
  </si>
  <si>
    <t>Transporte material:</t>
  </si>
  <si>
    <t>VOLUME DA SUBBASE:</t>
  </si>
  <si>
    <t>ÁREA TOTAL (TRECHO 01) SUB BASE =</t>
  </si>
  <si>
    <t>ALTURA DA SUB BASE =</t>
  </si>
  <si>
    <t xml:space="preserve">VOLUME TOTAL DE SUB-BASE = </t>
  </si>
  <si>
    <t>RO-00283</t>
  </si>
  <si>
    <r>
      <rPr>
        <b/>
        <sz val="9"/>
        <rFont val="Abadi"/>
        <family val="2"/>
      </rPr>
      <t>REGIÃO/MÊS DE REFERÊNCIA:</t>
    </r>
    <r>
      <rPr>
        <sz val="9"/>
        <rFont val="Abadi"/>
        <family val="2"/>
      </rPr>
      <t xml:space="preserve"> SEINFRA - REGIÃO LESTE -JANEIRO/2025, SINAPI DEZEMBRO/2024 E SICRO JANEIRO/2025 - COM DESONERAÇÃO.</t>
    </r>
  </si>
  <si>
    <t>ED-9204</t>
  </si>
  <si>
    <t>TUBO DE CONCRETO SIMPLES, CLASSE PS1, DIÂMETRO DE 600MM, INCLUSIVE CARGA E DESCARGA MECÂNICA EM CAMINHÃO, ASSENTAMENTO E REJUNTAMENTO, EXCLUSIVE ESCAVAÇÃO E TRANSPORTE</t>
  </si>
  <si>
    <t>ED-9206</t>
  </si>
  <si>
    <t>TUBO DE CONCRETO SIMPLES, CLASSE PS1, DIÂMETRO DE 400MM, INCLUSIVE CARGA E DESCARGA MECÂNICA EM CAMINHÃO, ASSENTAMENTO E REJUNTAMENTO, EXCLUSIVE ESCAVAÇÃO E TRANSPORTE</t>
  </si>
  <si>
    <t>TUBO DE CONCRETO ARMADO, CLASSE PA1, DIÂMETRO DE 400MM, INCLUSIVE CARGA E DESCARGA MECÂNICA EM CAMINHÃO, ASSENTAMENTO E REJUNTAMENTO, EXCLUSIVE ESCAVAÇÃO E TRANSPORTE</t>
  </si>
  <si>
    <t>ED-9207</t>
  </si>
  <si>
    <t>TUBO DE CONCRETO ARMADO, CLASSE PA1, DIÂMETRO DE 600MM, INCLUSIVE CARGA E DESCARGA MECÂNICA EM CAMINHÃO, ASSENTAMENTO E REJUNTAMENTO, EXCLUSIVE ESCAVAÇÃO E TRANSPORTE</t>
  </si>
  <si>
    <t>ED-9209</t>
  </si>
  <si>
    <t>2.9</t>
  </si>
  <si>
    <t>2.10</t>
  </si>
  <si>
    <t>2.11</t>
  </si>
  <si>
    <t>CAIXA DE CAPTAÇÃO E DRENAGEM TIPO A (120 X 120 X 150 CM), D = 500 MM A 1500MM, INCLUSIVE ESCAVAÇÃO, REATERRO E BOTA FORA</t>
  </si>
  <si>
    <t>ED-48573</t>
  </si>
  <si>
    <t>2.12</t>
  </si>
  <si>
    <t>BL-5 a BL-4</t>
  </si>
  <si>
    <t>BL-3 a CX-2</t>
  </si>
  <si>
    <t>CX-1 a BL-1</t>
  </si>
  <si>
    <t>CX-2 a BL-2</t>
  </si>
  <si>
    <t>BL-4 a CX-2</t>
  </si>
  <si>
    <t>BL-1 a BL-2</t>
  </si>
  <si>
    <t>Rede de 400 mm =</t>
  </si>
  <si>
    <t>Rede de 600 mm =</t>
  </si>
  <si>
    <t>Rede de 400 mm Armado =</t>
  </si>
  <si>
    <t>Rede de 600 mm Armado=</t>
  </si>
  <si>
    <t>Metros Tubo de 400 mm</t>
  </si>
  <si>
    <t>Metros Tubo de 600 mm</t>
  </si>
  <si>
    <t>Metros Tubo Armado de 400 mm</t>
  </si>
  <si>
    <t>Metros Tubo Armado de 600 mm</t>
  </si>
  <si>
    <r>
      <t xml:space="preserve">Conforme Tabela 1 - Dimensionamento do berço para redes tubulares / Manual SUDECAP.
Concreto 1:3:6 </t>
    </r>
    <r>
      <rPr>
        <sz val="10"/>
        <color theme="1"/>
        <rFont val="Abadi"/>
        <family val="2"/>
      </rPr>
      <t>(0,13</t>
    </r>
    <r>
      <rPr>
        <sz val="10"/>
        <rFont val="Abadi"/>
        <family val="2"/>
      </rPr>
      <t>m³/m) para tubo com DN = 400 mm.</t>
    </r>
  </si>
  <si>
    <r>
      <t xml:space="preserve">Conforme Tabela 1 - Dimensionamento do berço para redes tubulares / Manual SUDECAP.
Concreto 1:3:6 </t>
    </r>
    <r>
      <rPr>
        <sz val="10"/>
        <color theme="1"/>
        <rFont val="Abadi"/>
        <family val="2"/>
      </rPr>
      <t>(0,25</t>
    </r>
    <r>
      <rPr>
        <sz val="10"/>
        <rFont val="Abadi"/>
        <family val="2"/>
      </rPr>
      <t>m³/m) para tubo com DN = 600 mm.</t>
    </r>
  </si>
  <si>
    <t>somatório Tubo concreto simples e armado de 400 mm</t>
  </si>
  <si>
    <t xml:space="preserve">Volume dos Tubos (m³)  
(Ø 400 mm)
A = ((π*r²):
*Raio do diâmetro externo do tubo (0,40 m), sendo 0,20 m </t>
  </si>
  <si>
    <t>Volume Total de Escavação Tubo concreto simples e armado de 400 mm=</t>
  </si>
  <si>
    <t>TUBOS DE 600MM</t>
  </si>
  <si>
    <t xml:space="preserve">Volume dos Tubos (m³)  
(Ø 600 mm)
A = ((π*r²):
*Raio do diâmetro externo do tubo (0,60 m), sendo 0,30 m </t>
  </si>
  <si>
    <t>somatório Tubo concreto simples e armado de 600 mm</t>
  </si>
  <si>
    <t>Volume de Reaterro (volume de Escavação dos tubos de 600mm) - (volume dos Tubos de 600mm) - (volume total do berço de Concreto dos tubos de 600mm) em (M³)</t>
  </si>
  <si>
    <t>Volume Total de Escavação dos Tubos concreto simples e armado de 400 e 600 mm=</t>
  </si>
  <si>
    <t>3.4</t>
  </si>
  <si>
    <t>3.5</t>
  </si>
  <si>
    <t>5213405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</si>
</sst>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[$€-2]* #,##0.00_);_([$€-2]* \(#,##0.00\);_([$€-2]* &quot;-&quot;??_)"/>
    <numFmt numFmtId="167" formatCode="#,#00"/>
    <numFmt numFmtId="168" formatCode="_(&quot;R$ &quot;* #,##0.00_);_(&quot;R$ &quot;* \(#,##0.00\);_(&quot;R$ &quot;* &quot;-&quot;??_);_(@_)"/>
    <numFmt numFmtId="169" formatCode="&quot;R$&quot;\ #,##0_);[Red]\(&quot;R$&quot;\ #,##0\)"/>
    <numFmt numFmtId="170" formatCode="&quot;R$&quot;\ #,##0.00_);\(&quot;R$&quot;\ #,##0.00\)"/>
    <numFmt numFmtId="171" formatCode="%#,#00"/>
    <numFmt numFmtId="172" formatCode="#.##000"/>
    <numFmt numFmtId="173" formatCode="#,"/>
    <numFmt numFmtId="174" formatCode="&quot;R$ &quot;#,##0.00"/>
    <numFmt numFmtId="175" formatCode="&quot;R$&quot;#,##0.00"/>
    <numFmt numFmtId="176" formatCode="#,##0.0000_ ;\-#,##0.0000\ "/>
    <numFmt numFmtId="177" formatCode="#,##0.00&quot; m&quot;"/>
    <numFmt numFmtId="178" formatCode="#,##0.00&quot; km&quot;"/>
    <numFmt numFmtId="179" formatCode="#,##0.00&quot; txkm&quot;"/>
    <numFmt numFmtId="180" formatCode="#,##0.00&quot; m²&quot;"/>
    <numFmt numFmtId="181" formatCode="#,##0.00&quot; m³&quot;"/>
    <numFmt numFmtId="182" formatCode="#,##0.00&quot; m³xkm&quot;"/>
    <numFmt numFmtId="183" formatCode="#,##0.00&quot; t/m³&quot;"/>
    <numFmt numFmtId="184" formatCode="#,##0.00&quot; %&quot;"/>
    <numFmt numFmtId="185" formatCode="#,##0.0000&quot; t/m²&quot;"/>
    <numFmt numFmtId="186" formatCode="#,##0.000&quot; m&quot;"/>
    <numFmt numFmtId="187" formatCode="#,##0.00&quot; t/km&quot;"/>
    <numFmt numFmtId="188" formatCode="0.000%"/>
    <numFmt numFmtId="189" formatCode="#,##0.0000"/>
    <numFmt numFmtId="190" formatCode="_-[$R$-416]\ * #,##0.00_-;\-[$R$-416]\ * #,##0.00_-;_-[$R$-416]\ * &quot;-&quot;??_-;_-@_-"/>
    <numFmt numFmtId="191" formatCode="&quot;R$&quot;\ #,##0.00"/>
    <numFmt numFmtId="192" formatCode="0.000000"/>
  </numFmts>
  <fonts count="9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8"/>
      <name val="Calibri"/>
      <family val="2"/>
    </font>
    <font>
      <sz val="10"/>
      <color rgb="FF000000"/>
      <name val="Arial1"/>
    </font>
    <font>
      <sz val="11"/>
      <color indexed="17"/>
      <name val="Calibri"/>
      <family val="2"/>
    </font>
    <font>
      <b/>
      <sz val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name val="‚l‚r ‚oƒSƒVƒbƒN"/>
      <family val="3"/>
      <charset val="128"/>
    </font>
    <font>
      <b/>
      <sz val="11"/>
      <name val="Helv"/>
    </font>
    <font>
      <sz val="11"/>
      <color indexed="60"/>
      <name val="Calibri"/>
      <family val="2"/>
    </font>
    <font>
      <sz val="11"/>
      <name val="‚l‚r ‚o–¾’©"/>
      <family val="1"/>
      <charset val="128"/>
    </font>
    <font>
      <sz val="1"/>
      <color indexed="18"/>
      <name val="Courier"/>
      <family val="3"/>
    </font>
    <font>
      <sz val="10"/>
      <color indexed="8"/>
      <name val="Times New Roman"/>
      <family val="2"/>
    </font>
    <font>
      <b/>
      <sz val="9"/>
      <name val="Times New Roman"/>
      <family val="1"/>
    </font>
    <font>
      <b/>
      <sz val="15"/>
      <color indexed="62"/>
      <name val="Calibri"/>
      <family val="2"/>
    </font>
    <font>
      <b/>
      <sz val="1"/>
      <color indexed="8"/>
      <name val="Courier"/>
      <family val="3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badi"/>
      <family val="2"/>
    </font>
    <font>
      <b/>
      <sz val="10"/>
      <name val="Abadi"/>
      <family val="2"/>
    </font>
    <font>
      <sz val="10"/>
      <color indexed="8"/>
      <name val="Abadi"/>
      <family val="2"/>
    </font>
    <font>
      <sz val="10"/>
      <color rgb="FFFF0000"/>
      <name val="Abadi"/>
      <family val="2"/>
    </font>
    <font>
      <b/>
      <sz val="8"/>
      <name val="Abadi"/>
      <family val="2"/>
    </font>
    <font>
      <sz val="8"/>
      <name val="Abadi"/>
      <family val="2"/>
    </font>
    <font>
      <b/>
      <sz val="10"/>
      <name val="Aharoni"/>
    </font>
    <font>
      <b/>
      <sz val="9"/>
      <name val="Aharoni"/>
    </font>
    <font>
      <b/>
      <sz val="11"/>
      <name val="Aharoni"/>
    </font>
    <font>
      <b/>
      <sz val="10"/>
      <name val="Abadi Extra Light"/>
      <family val="2"/>
    </font>
    <font>
      <sz val="10"/>
      <name val="Abadi Extra Light"/>
      <family val="2"/>
    </font>
    <font>
      <b/>
      <u/>
      <sz val="11"/>
      <name val="Aharoni"/>
    </font>
    <font>
      <b/>
      <u/>
      <sz val="11"/>
      <name val="Abadi"/>
      <family val="2"/>
    </font>
    <font>
      <b/>
      <sz val="9"/>
      <name val="Abadi Extra Light"/>
      <family val="2"/>
    </font>
    <font>
      <b/>
      <sz val="9"/>
      <color indexed="8"/>
      <name val="Abadi Extra Light"/>
      <family val="2"/>
    </font>
    <font>
      <sz val="9"/>
      <color indexed="8"/>
      <name val="Abadi Extra Light"/>
      <family val="2"/>
    </font>
    <font>
      <b/>
      <sz val="8"/>
      <name val="Aharoni"/>
    </font>
    <font>
      <b/>
      <sz val="8"/>
      <name val="Arial"/>
      <family val="2"/>
    </font>
    <font>
      <sz val="10"/>
      <name val="Arial Black"/>
      <family val="2"/>
    </font>
    <font>
      <b/>
      <sz val="10"/>
      <name val="Arial Black"/>
      <family val="2"/>
    </font>
    <font>
      <sz val="10"/>
      <color rgb="FFFF0000"/>
      <name val="Arial Black"/>
      <family val="2"/>
    </font>
    <font>
      <b/>
      <sz val="9"/>
      <name val="Arial Black"/>
      <family val="2"/>
    </font>
    <font>
      <b/>
      <sz val="8"/>
      <name val="Arial Black"/>
      <family val="2"/>
    </font>
    <font>
      <sz val="9"/>
      <name val="Arial Black"/>
      <family val="2"/>
    </font>
    <font>
      <sz val="8"/>
      <name val="Arial Black"/>
      <family val="2"/>
    </font>
    <font>
      <sz val="10"/>
      <name val="Arial Nova"/>
    </font>
    <font>
      <b/>
      <sz val="10"/>
      <name val="Abadi"/>
    </font>
    <font>
      <sz val="8"/>
      <color indexed="8"/>
      <name val="Abadi"/>
      <family val="2"/>
    </font>
    <font>
      <b/>
      <sz val="8"/>
      <color theme="3"/>
      <name val="Abadi"/>
      <family val="2"/>
    </font>
    <font>
      <b/>
      <u/>
      <sz val="12"/>
      <name val="Arial Black"/>
      <family val="2"/>
    </font>
    <font>
      <sz val="8"/>
      <color indexed="8"/>
      <name val="Arial Black"/>
      <family val="2"/>
    </font>
    <font>
      <b/>
      <sz val="8"/>
      <color indexed="8"/>
      <name val="Arial Black"/>
      <family val="2"/>
    </font>
    <font>
      <sz val="8"/>
      <color theme="1"/>
      <name val="Arial Black"/>
      <family val="2"/>
    </font>
    <font>
      <u/>
      <sz val="8"/>
      <name val="Arial Black"/>
      <family val="2"/>
    </font>
    <font>
      <i/>
      <u/>
      <sz val="8"/>
      <name val="Arial Black"/>
      <family val="2"/>
    </font>
    <font>
      <sz val="8"/>
      <color theme="4"/>
      <name val="Arial Black"/>
      <family val="2"/>
    </font>
    <font>
      <b/>
      <sz val="9"/>
      <name val="Abadi"/>
      <family val="2"/>
    </font>
    <font>
      <sz val="9"/>
      <name val="Abadi"/>
      <family val="2"/>
    </font>
    <font>
      <sz val="8"/>
      <name val="Arial"/>
    </font>
    <font>
      <sz val="10"/>
      <name val="Arial"/>
    </font>
    <font>
      <b/>
      <sz val="10"/>
      <name val="Arial Nova"/>
    </font>
    <font>
      <sz val="12"/>
      <name val="Arial Black"/>
      <family val="2"/>
    </font>
    <font>
      <vertAlign val="superscript"/>
      <sz val="8"/>
      <name val="Arial"/>
      <family val="2"/>
    </font>
    <font>
      <b/>
      <u/>
      <sz val="8"/>
      <name val="Arial"/>
      <family val="2"/>
    </font>
    <font>
      <b/>
      <sz val="8"/>
      <color rgb="FFFFFFFF"/>
      <name val="Arial"/>
      <family val="2"/>
    </font>
    <font>
      <b/>
      <vertAlign val="superscript"/>
      <sz val="8"/>
      <color rgb="FFFFFFFF"/>
      <name val="Arial"/>
      <family val="2"/>
    </font>
    <font>
      <sz val="8"/>
      <color rgb="FF000000"/>
      <name val="Arial"/>
      <family val="2"/>
    </font>
    <font>
      <sz val="10"/>
      <color theme="1"/>
      <name val="Abadi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 Black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color indexed="8"/>
      <name val="Calibri"/>
      <family val="2"/>
    </font>
    <font>
      <sz val="8"/>
      <color rgb="FFFF0000"/>
      <name val="Calibri"/>
      <family val="2"/>
    </font>
    <font>
      <sz val="8"/>
      <color indexed="8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0"/>
      <name val="Calibri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b/>
      <sz val="10"/>
      <color theme="1"/>
      <name val="Arial Black"/>
      <family val="2"/>
    </font>
    <font>
      <sz val="12"/>
      <color theme="1"/>
      <name val="Arial Black"/>
      <family val="2"/>
    </font>
    <font>
      <b/>
      <sz val="11"/>
      <color theme="1"/>
      <name val="Abadi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0"/>
      </patternFill>
    </fill>
    <fill>
      <patternFill patternType="solid">
        <f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theme="7" tint="0.79998168889431442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rgb="FFC0504D"/>
        <bgColor rgb="FFC0504D"/>
      </patternFill>
    </fill>
    <fill>
      <patternFill patternType="solid">
        <fgColor rgb="FFF2DCDB"/>
        <bgColor rgb="FFF2DCDB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/>
      <bottom/>
      <diagonal/>
    </border>
    <border>
      <left style="hair">
        <color rgb="FF000000"/>
      </left>
      <right style="hair">
        <color indexed="64"/>
      </right>
      <top/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indexed="64"/>
      </right>
      <top style="hair">
        <color rgb="FF000000"/>
      </top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indexed="64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1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16" applyNumberFormat="0" applyAlignment="0" applyProtection="0"/>
    <xf numFmtId="0" fontId="10" fillId="0" borderId="0">
      <protection locked="0"/>
    </xf>
    <xf numFmtId="166" fontId="6" fillId="0" borderId="0" applyFont="0" applyFill="0" applyBorder="0" applyAlignment="0" applyProtection="0"/>
    <xf numFmtId="0" fontId="11" fillId="0" borderId="0"/>
    <xf numFmtId="0" fontId="11" fillId="0" borderId="0"/>
    <xf numFmtId="165" fontId="12" fillId="0" borderId="0" applyBorder="0" applyProtection="0"/>
    <xf numFmtId="167" fontId="10" fillId="0" borderId="0">
      <protection locked="0"/>
    </xf>
    <xf numFmtId="0" fontId="13" fillId="9" borderId="0" applyNumberFormat="0" applyBorder="0" applyAlignment="0" applyProtection="0"/>
    <xf numFmtId="0" fontId="14" fillId="0" borderId="0">
      <alignment horizontal="left"/>
    </xf>
    <xf numFmtId="0" fontId="15" fillId="10" borderId="17" applyNumberFormat="0" applyAlignment="0" applyProtection="0"/>
    <xf numFmtId="0" fontId="16" fillId="0" borderId="18" applyNumberFormat="0" applyFill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7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19" fillId="11" borderId="0" applyNumberFormat="0" applyBorder="0" applyAlignment="0" applyProtection="0"/>
    <xf numFmtId="0" fontId="6" fillId="0" borderId="0"/>
    <xf numFmtId="0" fontId="6" fillId="0" borderId="0"/>
    <xf numFmtId="0" fontId="2" fillId="0" borderId="0"/>
    <xf numFmtId="0" fontId="6" fillId="12" borderId="19" applyNumberFormat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71" fontId="10" fillId="0" borderId="0">
      <protection locked="0"/>
    </xf>
    <xf numFmtId="172" fontId="10" fillId="0" borderId="0">
      <protection locked="0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1" fillId="0" borderId="0">
      <protection locked="0"/>
    </xf>
    <xf numFmtId="165" fontId="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0" borderId="0"/>
    <xf numFmtId="0" fontId="23" fillId="4" borderId="4">
      <alignment wrapText="1"/>
    </xf>
    <xf numFmtId="0" fontId="23" fillId="4" borderId="4">
      <alignment wrapText="1"/>
    </xf>
    <xf numFmtId="0" fontId="24" fillId="0" borderId="20" applyNumberFormat="0" applyFill="0" applyAlignment="0" applyProtection="0"/>
    <xf numFmtId="173" fontId="25" fillId="0" borderId="0">
      <protection locked="0"/>
    </xf>
    <xf numFmtId="173" fontId="25" fillId="0" borderId="0">
      <protection locked="0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3" fillId="0" borderId="0"/>
    <xf numFmtId="0" fontId="67" fillId="0" borderId="0"/>
    <xf numFmtId="165" fontId="67" fillId="0" borderId="0" applyFont="0" applyFill="0" applyBorder="0" applyAlignment="0" applyProtection="0"/>
    <xf numFmtId="0" fontId="3" fillId="0" borderId="0"/>
  </cellStyleXfs>
  <cellXfs count="544">
    <xf numFmtId="0" fontId="0" fillId="0" borderId="0" xfId="0"/>
    <xf numFmtId="0" fontId="30" fillId="0" borderId="0" xfId="0" applyFont="1"/>
    <xf numFmtId="0" fontId="31" fillId="0" borderId="0" xfId="0" applyFont="1"/>
    <xf numFmtId="4" fontId="30" fillId="0" borderId="0" xfId="0" applyNumberFormat="1" applyFont="1"/>
    <xf numFmtId="0" fontId="38" fillId="13" borderId="0" xfId="3" applyFont="1" applyFill="1"/>
    <xf numFmtId="0" fontId="37" fillId="13" borderId="4" xfId="3" applyFont="1" applyFill="1" applyBorder="1" applyAlignment="1">
      <alignment horizontal="center" vertical="center"/>
    </xf>
    <xf numFmtId="49" fontId="42" fillId="13" borderId="4" xfId="3" applyNumberFormat="1" applyFont="1" applyFill="1" applyBorder="1" applyAlignment="1">
      <alignment horizontal="center" vertical="center" wrapText="1"/>
    </xf>
    <xf numFmtId="10" fontId="42" fillId="13" borderId="4" xfId="3" applyNumberFormat="1" applyFont="1" applyFill="1" applyBorder="1" applyAlignment="1">
      <alignment horizontal="center" vertical="center" wrapText="1"/>
    </xf>
    <xf numFmtId="10" fontId="42" fillId="2" borderId="4" xfId="3" applyNumberFormat="1" applyFont="1" applyFill="1" applyBorder="1" applyAlignment="1">
      <alignment horizontal="center" vertical="center" wrapText="1"/>
    </xf>
    <xf numFmtId="0" fontId="38" fillId="13" borderId="0" xfId="3" applyFont="1" applyFill="1" applyAlignment="1">
      <alignment vertical="center"/>
    </xf>
    <xf numFmtId="49" fontId="43" fillId="13" borderId="4" xfId="3" applyNumberFormat="1" applyFont="1" applyFill="1" applyBorder="1" applyAlignment="1">
      <alignment horizontal="center" vertical="center" wrapText="1"/>
    </xf>
    <xf numFmtId="0" fontId="37" fillId="13" borderId="11" xfId="3" applyFont="1" applyFill="1" applyBorder="1" applyAlignment="1">
      <alignment wrapText="1"/>
    </xf>
    <xf numFmtId="0" fontId="38" fillId="0" borderId="9" xfId="3" applyFont="1" applyBorder="1" applyAlignment="1">
      <alignment vertical="center"/>
    </xf>
    <xf numFmtId="0" fontId="38" fillId="13" borderId="0" xfId="3" applyFont="1" applyFill="1" applyAlignment="1">
      <alignment wrapText="1"/>
    </xf>
    <xf numFmtId="0" fontId="37" fillId="13" borderId="11" xfId="3" applyFont="1" applyFill="1" applyBorder="1"/>
    <xf numFmtId="0" fontId="38" fillId="13" borderId="11" xfId="3" applyFont="1" applyFill="1" applyBorder="1"/>
    <xf numFmtId="0" fontId="41" fillId="13" borderId="11" xfId="3" applyFont="1" applyFill="1" applyBorder="1"/>
    <xf numFmtId="0" fontId="38" fillId="13" borderId="14" xfId="3" applyFont="1" applyFill="1" applyBorder="1"/>
    <xf numFmtId="0" fontId="38" fillId="13" borderId="9" xfId="3" applyFont="1" applyFill="1" applyBorder="1"/>
    <xf numFmtId="0" fontId="38" fillId="13" borderId="9" xfId="3" applyFont="1" applyFill="1" applyBorder="1" applyAlignment="1">
      <alignment wrapText="1"/>
    </xf>
    <xf numFmtId="175" fontId="43" fillId="13" borderId="4" xfId="3" applyNumberFormat="1" applyFont="1" applyFill="1" applyBorder="1" applyAlignment="1">
      <alignment horizontal="center" vertical="center" wrapText="1"/>
    </xf>
    <xf numFmtId="175" fontId="43" fillId="13" borderId="4" xfId="66" applyNumberFormat="1" applyFont="1" applyFill="1" applyBorder="1" applyAlignment="1">
      <alignment horizontal="center" vertical="center" wrapText="1"/>
    </xf>
    <xf numFmtId="175" fontId="42" fillId="13" borderId="4" xfId="3" applyNumberFormat="1" applyFont="1" applyFill="1" applyBorder="1" applyAlignment="1">
      <alignment horizontal="center" vertical="center" wrapText="1"/>
    </xf>
    <xf numFmtId="0" fontId="29" fillId="0" borderId="8" xfId="3" applyFont="1" applyBorder="1" applyAlignment="1">
      <alignment horizontal="center" vertical="center"/>
    </xf>
    <xf numFmtId="0" fontId="28" fillId="0" borderId="9" xfId="3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4" fontId="44" fillId="0" borderId="4" xfId="0" applyNumberFormat="1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55" fillId="0" borderId="0" xfId="0" applyFont="1"/>
    <xf numFmtId="0" fontId="32" fillId="3" borderId="1" xfId="0" applyFont="1" applyFill="1" applyBorder="1" applyAlignment="1">
      <alignment horizontal="center" vertical="center" wrapText="1"/>
    </xf>
    <xf numFmtId="49" fontId="32" fillId="3" borderId="1" xfId="0" applyNumberFormat="1" applyFont="1" applyFill="1" applyBorder="1" applyAlignment="1">
      <alignment horizontal="center" vertical="center" wrapText="1"/>
    </xf>
    <xf numFmtId="2" fontId="33" fillId="3" borderId="1" xfId="2" applyNumberFormat="1" applyFont="1" applyFill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1" fontId="33" fillId="0" borderId="4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/>
    </xf>
    <xf numFmtId="4" fontId="56" fillId="0" borderId="4" xfId="0" applyNumberFormat="1" applyFont="1" applyBorder="1" applyAlignment="1">
      <alignment horizontal="center" vertical="center" wrapText="1"/>
    </xf>
    <xf numFmtId="175" fontId="33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>
      <alignment horizontal="center" vertical="center" wrapText="1"/>
    </xf>
    <xf numFmtId="0" fontId="46" fillId="14" borderId="0" xfId="3" applyFont="1" applyFill="1"/>
    <xf numFmtId="0" fontId="46" fillId="0" borderId="0" xfId="3" applyFont="1"/>
    <xf numFmtId="0" fontId="46" fillId="0" borderId="0" xfId="3" applyFont="1" applyAlignment="1" applyProtection="1">
      <alignment vertical="center" wrapText="1"/>
      <protection locked="0"/>
    </xf>
    <xf numFmtId="0" fontId="46" fillId="0" borderId="0" xfId="3" applyFont="1" applyAlignment="1">
      <alignment vertical="center" wrapText="1"/>
    </xf>
    <xf numFmtId="0" fontId="48" fillId="0" borderId="0" xfId="3" applyFont="1"/>
    <xf numFmtId="0" fontId="48" fillId="0" borderId="0" xfId="3" applyFont="1" applyAlignment="1">
      <alignment vertical="center" wrapText="1"/>
    </xf>
    <xf numFmtId="0" fontId="47" fillId="4" borderId="0" xfId="3" applyFont="1" applyFill="1" applyAlignment="1" applyProtection="1">
      <alignment horizontal="center" vertical="center"/>
      <protection locked="0"/>
    </xf>
    <xf numFmtId="0" fontId="46" fillId="0" borderId="0" xfId="6" applyFont="1" applyAlignment="1">
      <alignment vertical="center"/>
    </xf>
    <xf numFmtId="49" fontId="46" fillId="0" borderId="0" xfId="4" applyNumberFormat="1" applyFont="1" applyFill="1" applyBorder="1" applyAlignment="1" applyProtection="1">
      <alignment horizontal="center" vertical="center" wrapText="1"/>
      <protection locked="0"/>
    </xf>
    <xf numFmtId="43" fontId="46" fillId="0" borderId="0" xfId="3" applyNumberFormat="1" applyFont="1" applyAlignment="1" applyProtection="1">
      <alignment horizontal="center" vertical="center"/>
      <protection locked="0"/>
    </xf>
    <xf numFmtId="0" fontId="46" fillId="0" borderId="0" xfId="3" applyFont="1" applyAlignment="1" applyProtection="1">
      <alignment horizontal="center" vertical="center"/>
      <protection locked="0"/>
    </xf>
    <xf numFmtId="165" fontId="46" fillId="0" borderId="0" xfId="5" applyNumberFormat="1" applyFont="1" applyBorder="1" applyAlignment="1" applyProtection="1">
      <alignment horizontal="left" vertical="center"/>
      <protection hidden="1"/>
    </xf>
    <xf numFmtId="165" fontId="46" fillId="0" borderId="0" xfId="5" applyNumberFormat="1" applyFont="1" applyBorder="1" applyAlignment="1" applyProtection="1">
      <alignment horizontal="center" vertical="center"/>
      <protection locked="0"/>
    </xf>
    <xf numFmtId="165" fontId="46" fillId="0" borderId="0" xfId="5" applyNumberFormat="1" applyFont="1" applyFill="1" applyBorder="1" applyAlignment="1" applyProtection="1">
      <alignment horizontal="left" vertical="center"/>
      <protection hidden="1"/>
    </xf>
    <xf numFmtId="165" fontId="46" fillId="0" borderId="0" xfId="5" applyNumberFormat="1" applyFont="1" applyFill="1" applyBorder="1" applyAlignment="1" applyProtection="1">
      <alignment horizontal="center" vertical="center"/>
      <protection locked="0"/>
    </xf>
    <xf numFmtId="49" fontId="47" fillId="14" borderId="0" xfId="0" applyNumberFormat="1" applyFont="1" applyFill="1" applyAlignment="1">
      <alignment vertical="center"/>
    </xf>
    <xf numFmtId="49" fontId="47" fillId="14" borderId="0" xfId="0" applyNumberFormat="1" applyFont="1" applyFill="1" applyAlignment="1">
      <alignment horizontal="left" vertical="center"/>
    </xf>
    <xf numFmtId="0" fontId="46" fillId="0" borderId="0" xfId="0" applyFont="1"/>
    <xf numFmtId="0" fontId="46" fillId="14" borderId="0" xfId="6" applyFont="1" applyFill="1" applyAlignment="1">
      <alignment vertical="center"/>
    </xf>
    <xf numFmtId="0" fontId="46" fillId="0" borderId="0" xfId="3" applyFont="1" applyAlignment="1">
      <alignment horizontal="right" vertical="center"/>
    </xf>
    <xf numFmtId="0" fontId="46" fillId="0" borderId="0" xfId="3" applyFont="1" applyAlignment="1">
      <alignment horizontal="left" vertical="center"/>
    </xf>
    <xf numFmtId="0" fontId="46" fillId="0" borderId="0" xfId="3" applyFont="1" applyAlignment="1">
      <alignment horizontal="center" vertical="center"/>
    </xf>
    <xf numFmtId="0" fontId="46" fillId="0" borderId="0" xfId="3" applyFont="1" applyAlignment="1">
      <alignment vertical="center"/>
    </xf>
    <xf numFmtId="0" fontId="53" fillId="0" borderId="0" xfId="3" applyFont="1" applyAlignment="1" applyProtection="1">
      <alignment vertical="center" wrapText="1"/>
      <protection locked="0"/>
    </xf>
    <xf numFmtId="0" fontId="53" fillId="0" borderId="0" xfId="6" applyFont="1" applyAlignment="1">
      <alignment vertical="center"/>
    </xf>
    <xf numFmtId="43" fontId="53" fillId="0" borderId="0" xfId="3" applyNumberFormat="1" applyFont="1" applyAlignment="1" applyProtection="1">
      <alignment horizontal="center" vertical="center"/>
      <protection locked="0"/>
    </xf>
    <xf numFmtId="0" fontId="46" fillId="0" borderId="0" xfId="3" applyFont="1" applyAlignment="1" applyProtection="1">
      <alignment horizontal="right" vertical="center" wrapText="1"/>
      <protection locked="0"/>
    </xf>
    <xf numFmtId="175" fontId="47" fillId="17" borderId="25" xfId="0" applyNumberFormat="1" applyFont="1" applyFill="1" applyBorder="1" applyAlignment="1">
      <alignment horizontal="center" vertical="center"/>
    </xf>
    <xf numFmtId="176" fontId="58" fillId="0" borderId="4" xfId="0" applyNumberFormat="1" applyFont="1" applyBorder="1" applyAlignment="1">
      <alignment horizontal="center" vertical="center" wrapText="1"/>
    </xf>
    <xf numFmtId="4" fontId="52" fillId="0" borderId="4" xfId="0" applyNumberFormat="1" applyFont="1" applyBorder="1" applyAlignment="1">
      <alignment horizontal="center" vertical="center" wrapText="1"/>
    </xf>
    <xf numFmtId="4" fontId="59" fillId="0" borderId="4" xfId="0" applyNumberFormat="1" applyFont="1" applyBorder="1" applyAlignment="1">
      <alignment horizontal="center" vertical="center" wrapText="1"/>
    </xf>
    <xf numFmtId="49" fontId="51" fillId="5" borderId="0" xfId="3" applyNumberFormat="1" applyFont="1" applyFill="1" applyAlignment="1" applyProtection="1">
      <alignment horizontal="center" vertical="center" wrapText="1"/>
      <protection locked="0"/>
    </xf>
    <xf numFmtId="0" fontId="51" fillId="0" borderId="0" xfId="6" applyFont="1" applyAlignment="1">
      <alignment vertical="center"/>
    </xf>
    <xf numFmtId="0" fontId="52" fillId="0" borderId="0" xfId="6" applyFont="1" applyAlignment="1">
      <alignment vertical="center"/>
    </xf>
    <xf numFmtId="0" fontId="49" fillId="5" borderId="0" xfId="3" applyFont="1" applyFill="1" applyAlignment="1" applyProtection="1">
      <alignment horizontal="center" vertical="center" wrapText="1"/>
      <protection locked="0"/>
    </xf>
    <xf numFmtId="3" fontId="49" fillId="5" borderId="0" xfId="3" applyNumberFormat="1" applyFont="1" applyFill="1" applyAlignment="1" applyProtection="1">
      <alignment horizontal="center" vertical="center" wrapText="1"/>
      <protection locked="0"/>
    </xf>
    <xf numFmtId="1" fontId="51" fillId="5" borderId="0" xfId="3" applyNumberFormat="1" applyFont="1" applyFill="1" applyAlignment="1" applyProtection="1">
      <alignment horizontal="center" vertical="center" wrapText="1"/>
      <protection locked="0"/>
    </xf>
    <xf numFmtId="0" fontId="51" fillId="0" borderId="0" xfId="6" applyFont="1" applyAlignment="1">
      <alignment horizontal="left" vertical="center"/>
    </xf>
    <xf numFmtId="4" fontId="50" fillId="15" borderId="4" xfId="8" applyNumberFormat="1" applyFont="1" applyFill="1" applyBorder="1" applyAlignment="1" applyProtection="1">
      <alignment horizontal="center" vertical="center"/>
      <protection hidden="1"/>
    </xf>
    <xf numFmtId="165" fontId="50" fillId="15" borderId="4" xfId="8" applyNumberFormat="1" applyFont="1" applyFill="1" applyBorder="1" applyAlignment="1">
      <alignment horizontal="left" vertical="center"/>
    </xf>
    <xf numFmtId="49" fontId="50" fillId="14" borderId="0" xfId="0" applyNumberFormat="1" applyFont="1" applyFill="1" applyAlignment="1">
      <alignment horizontal="left" vertical="center"/>
    </xf>
    <xf numFmtId="0" fontId="52" fillId="0" borderId="0" xfId="0" applyFont="1"/>
    <xf numFmtId="165" fontId="52" fillId="0" borderId="0" xfId="5" applyNumberFormat="1" applyFont="1" applyFill="1" applyBorder="1" applyAlignment="1" applyProtection="1">
      <alignment horizontal="center" vertical="center"/>
      <protection locked="0"/>
    </xf>
    <xf numFmtId="165" fontId="52" fillId="0" borderId="0" xfId="5" applyNumberFormat="1" applyFont="1" applyFill="1" applyBorder="1" applyAlignment="1" applyProtection="1">
      <alignment horizontal="left" vertical="center"/>
      <protection hidden="1"/>
    </xf>
    <xf numFmtId="4" fontId="52" fillId="15" borderId="4" xfId="8" applyNumberFormat="1" applyFont="1" applyFill="1" applyBorder="1" applyAlignment="1" applyProtection="1">
      <alignment horizontal="center" vertical="center"/>
      <protection hidden="1"/>
    </xf>
    <xf numFmtId="0" fontId="52" fillId="14" borderId="0" xfId="3" applyFont="1" applyFill="1" applyAlignment="1" applyProtection="1">
      <alignment horizontal="center" vertical="center" wrapText="1"/>
      <protection locked="0"/>
    </xf>
    <xf numFmtId="0" fontId="52" fillId="14" borderId="0" xfId="6" applyFont="1" applyFill="1" applyAlignment="1">
      <alignment vertical="center"/>
    </xf>
    <xf numFmtId="177" fontId="60" fillId="14" borderId="4" xfId="2" applyNumberFormat="1" applyFont="1" applyFill="1" applyBorder="1" applyAlignment="1">
      <alignment horizontal="center" vertical="center"/>
    </xf>
    <xf numFmtId="178" fontId="63" fillId="14" borderId="4" xfId="2" applyNumberFormat="1" applyFont="1" applyFill="1" applyBorder="1" applyAlignment="1">
      <alignment horizontal="center" vertical="center"/>
    </xf>
    <xf numFmtId="179" fontId="60" fillId="14" borderId="4" xfId="2" applyNumberFormat="1" applyFont="1" applyFill="1" applyBorder="1" applyAlignment="1">
      <alignment horizontal="center" vertical="center"/>
    </xf>
    <xf numFmtId="180" fontId="60" fillId="14" borderId="4" xfId="2" applyNumberFormat="1" applyFont="1" applyFill="1" applyBorder="1" applyAlignment="1">
      <alignment horizontal="center" vertical="center"/>
    </xf>
    <xf numFmtId="181" fontId="60" fillId="14" borderId="4" xfId="2" applyNumberFormat="1" applyFont="1" applyFill="1" applyBorder="1" applyAlignment="1">
      <alignment horizontal="center" vertical="center"/>
    </xf>
    <xf numFmtId="182" fontId="60" fillId="14" borderId="4" xfId="2" applyNumberFormat="1" applyFont="1" applyFill="1" applyBorder="1" applyAlignment="1">
      <alignment horizontal="center" vertical="center"/>
    </xf>
    <xf numFmtId="183" fontId="60" fillId="14" borderId="4" xfId="2" applyNumberFormat="1" applyFont="1" applyFill="1" applyBorder="1" applyAlignment="1">
      <alignment horizontal="center" vertical="center"/>
    </xf>
    <xf numFmtId="4" fontId="50" fillId="0" borderId="4" xfId="0" applyNumberFormat="1" applyFont="1" applyBorder="1" applyAlignment="1">
      <alignment horizontal="center" vertical="center" wrapText="1"/>
    </xf>
    <xf numFmtId="185" fontId="52" fillId="14" borderId="4" xfId="2" applyNumberFormat="1" applyFont="1" applyFill="1" applyBorder="1" applyAlignment="1">
      <alignment horizontal="center" vertical="center"/>
    </xf>
    <xf numFmtId="0" fontId="37" fillId="13" borderId="4" xfId="3" applyFont="1" applyFill="1" applyBorder="1" applyAlignment="1">
      <alignment horizontal="center" vertical="center" wrapText="1"/>
    </xf>
    <xf numFmtId="186" fontId="52" fillId="14" borderId="4" xfId="2" applyNumberFormat="1" applyFont="1" applyFill="1" applyBorder="1" applyAlignment="1">
      <alignment horizontal="center" vertical="center"/>
    </xf>
    <xf numFmtId="4" fontId="35" fillId="0" borderId="4" xfId="0" applyNumberFormat="1" applyFont="1" applyBorder="1" applyAlignment="1">
      <alignment horizontal="center" vertical="center"/>
    </xf>
    <xf numFmtId="184" fontId="60" fillId="14" borderId="4" xfId="2" applyNumberFormat="1" applyFont="1" applyFill="1" applyBorder="1" applyAlignment="1">
      <alignment horizontal="center" vertical="center"/>
    </xf>
    <xf numFmtId="187" fontId="60" fillId="14" borderId="4" xfId="2" applyNumberFormat="1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left" vertical="center" wrapText="1"/>
    </xf>
    <xf numFmtId="0" fontId="30" fillId="0" borderId="25" xfId="0" applyFont="1" applyBorder="1"/>
    <xf numFmtId="4" fontId="30" fillId="0" borderId="25" xfId="0" applyNumberFormat="1" applyFont="1" applyBorder="1"/>
    <xf numFmtId="10" fontId="64" fillId="14" borderId="4" xfId="0" applyNumberFormat="1" applyFont="1" applyFill="1" applyBorder="1" applyAlignment="1">
      <alignment horizontal="center" vertical="center"/>
    </xf>
    <xf numFmtId="0" fontId="48" fillId="14" borderId="0" xfId="3" applyFont="1" applyFill="1" applyAlignment="1" applyProtection="1">
      <alignment horizontal="center" vertical="center" wrapText="1"/>
      <protection locked="0"/>
    </xf>
    <xf numFmtId="0" fontId="48" fillId="14" borderId="0" xfId="6" applyFont="1" applyFill="1" applyAlignment="1">
      <alignment vertical="center"/>
    </xf>
    <xf numFmtId="4" fontId="50" fillId="0" borderId="15" xfId="0" applyNumberFormat="1" applyFont="1" applyBorder="1" applyAlignment="1">
      <alignment horizontal="center" vertical="center" wrapText="1"/>
    </xf>
    <xf numFmtId="177" fontId="52" fillId="14" borderId="4" xfId="2" applyNumberFormat="1" applyFont="1" applyFill="1" applyBorder="1" applyAlignment="1">
      <alignment horizontal="center" vertical="center"/>
    </xf>
    <xf numFmtId="180" fontId="52" fillId="14" borderId="4" xfId="2" applyNumberFormat="1" applyFont="1" applyFill="1" applyBorder="1" applyAlignment="1">
      <alignment horizontal="center" vertical="center"/>
    </xf>
    <xf numFmtId="0" fontId="46" fillId="14" borderId="0" xfId="3" applyFont="1" applyFill="1" applyAlignment="1" applyProtection="1">
      <alignment horizontal="center" vertical="center" wrapText="1"/>
      <protection locked="0"/>
    </xf>
    <xf numFmtId="14" fontId="46" fillId="0" borderId="0" xfId="3" applyNumberFormat="1" applyFont="1" applyAlignment="1" applyProtection="1">
      <alignment horizontal="center" vertical="center" wrapText="1"/>
      <protection locked="0"/>
    </xf>
    <xf numFmtId="0" fontId="46" fillId="0" borderId="11" xfId="3" applyFont="1" applyBorder="1" applyAlignment="1" applyProtection="1">
      <alignment vertical="center" wrapText="1"/>
      <protection locked="0"/>
    </xf>
    <xf numFmtId="0" fontId="46" fillId="0" borderId="10" xfId="3" applyFont="1" applyBorder="1" applyAlignment="1">
      <alignment horizontal="center" vertical="center"/>
    </xf>
    <xf numFmtId="0" fontId="48" fillId="0" borderId="10" xfId="3" applyFont="1" applyBorder="1" applyAlignment="1">
      <alignment horizontal="center" vertical="center"/>
    </xf>
    <xf numFmtId="0" fontId="48" fillId="0" borderId="11" xfId="3" applyFont="1" applyBorder="1"/>
    <xf numFmtId="0" fontId="47" fillId="4" borderId="11" xfId="3" applyFont="1" applyFill="1" applyBorder="1" applyAlignment="1" applyProtection="1">
      <alignment horizontal="center" vertical="center"/>
      <protection locked="0"/>
    </xf>
    <xf numFmtId="3" fontId="49" fillId="5" borderId="11" xfId="3" applyNumberFormat="1" applyFont="1" applyFill="1" applyBorder="1" applyAlignment="1" applyProtection="1">
      <alignment horizontal="center" vertical="center" wrapText="1"/>
      <protection locked="0"/>
    </xf>
    <xf numFmtId="49" fontId="46" fillId="0" borderId="11" xfId="4" applyNumberFormat="1" applyFont="1" applyFill="1" applyBorder="1" applyAlignment="1" applyProtection="1">
      <alignment horizontal="center" vertical="center" wrapText="1"/>
      <protection locked="0"/>
    </xf>
    <xf numFmtId="0" fontId="46" fillId="0" borderId="10" xfId="6" applyFont="1" applyBorder="1" applyAlignment="1">
      <alignment vertical="center"/>
    </xf>
    <xf numFmtId="0" fontId="51" fillId="5" borderId="11" xfId="3" applyFont="1" applyFill="1" applyBorder="1" applyAlignment="1" applyProtection="1">
      <alignment horizontal="center" vertical="center" wrapText="1"/>
      <protection locked="0"/>
    </xf>
    <xf numFmtId="43" fontId="52" fillId="0" borderId="4" xfId="3" applyNumberFormat="1" applyFont="1" applyBorder="1" applyAlignment="1" applyProtection="1">
      <alignment horizontal="center" vertical="center"/>
      <protection locked="0"/>
    </xf>
    <xf numFmtId="0" fontId="52" fillId="0" borderId="10" xfId="6" applyFont="1" applyBorder="1" applyAlignment="1">
      <alignment vertical="center"/>
    </xf>
    <xf numFmtId="43" fontId="46" fillId="0" borderId="11" xfId="3" applyNumberFormat="1" applyFont="1" applyBorder="1" applyAlignment="1" applyProtection="1">
      <alignment horizontal="center" vertical="center"/>
      <protection locked="0"/>
    </xf>
    <xf numFmtId="0" fontId="47" fillId="16" borderId="11" xfId="0" applyFont="1" applyFill="1" applyBorder="1" applyAlignment="1">
      <alignment horizontal="center" vertical="center"/>
    </xf>
    <xf numFmtId="49" fontId="47" fillId="14" borderId="10" xfId="0" applyNumberFormat="1" applyFont="1" applyFill="1" applyBorder="1" applyAlignment="1">
      <alignment horizontal="left" vertical="center"/>
    </xf>
    <xf numFmtId="184" fontId="60" fillId="15" borderId="11" xfId="2" applyNumberFormat="1" applyFont="1" applyFill="1" applyBorder="1" applyAlignment="1">
      <alignment horizontal="center" vertical="center"/>
    </xf>
    <xf numFmtId="0" fontId="46" fillId="0" borderId="10" xfId="0" applyFont="1" applyBorder="1"/>
    <xf numFmtId="4" fontId="47" fillId="17" borderId="23" xfId="0" applyNumberFormat="1" applyFont="1" applyFill="1" applyBorder="1" applyAlignment="1">
      <alignment horizontal="center" vertical="center"/>
    </xf>
    <xf numFmtId="0" fontId="52" fillId="0" borderId="10" xfId="0" applyFont="1" applyBorder="1"/>
    <xf numFmtId="0" fontId="46" fillId="0" borderId="10" xfId="3" applyFont="1" applyBorder="1" applyAlignment="1" applyProtection="1">
      <alignment vertical="center" wrapText="1"/>
      <protection locked="0"/>
    </xf>
    <xf numFmtId="0" fontId="53" fillId="0" borderId="10" xfId="3" applyFont="1" applyBorder="1" applyAlignment="1" applyProtection="1">
      <alignment vertical="center" wrapText="1"/>
      <protection locked="0"/>
    </xf>
    <xf numFmtId="43" fontId="53" fillId="0" borderId="11" xfId="3" applyNumberFormat="1" applyFont="1" applyBorder="1" applyAlignment="1" applyProtection="1">
      <alignment horizontal="center" vertical="center"/>
      <protection locked="0"/>
    </xf>
    <xf numFmtId="0" fontId="49" fillId="5" borderId="11" xfId="3" applyFont="1" applyFill="1" applyBorder="1" applyAlignment="1" applyProtection="1">
      <alignment horizontal="center" vertical="center" wrapText="1"/>
      <protection locked="0"/>
    </xf>
    <xf numFmtId="0" fontId="46" fillId="14" borderId="11" xfId="3" applyFont="1" applyFill="1" applyBorder="1" applyAlignment="1" applyProtection="1">
      <alignment horizontal="center" vertical="center" wrapText="1"/>
      <protection locked="0"/>
    </xf>
    <xf numFmtId="0" fontId="46" fillId="14" borderId="10" xfId="3" applyFont="1" applyFill="1" applyBorder="1" applyAlignment="1" applyProtection="1">
      <alignment horizontal="center" vertical="center" wrapText="1"/>
      <protection locked="0"/>
    </xf>
    <xf numFmtId="0" fontId="52" fillId="14" borderId="10" xfId="3" applyFont="1" applyFill="1" applyBorder="1" applyAlignment="1" applyProtection="1">
      <alignment horizontal="center" vertical="center" wrapText="1"/>
      <protection locked="0"/>
    </xf>
    <xf numFmtId="0" fontId="48" fillId="14" borderId="10" xfId="3" applyFont="1" applyFill="1" applyBorder="1" applyAlignment="1" applyProtection="1">
      <alignment horizontal="center" vertical="center" wrapText="1"/>
      <protection locked="0"/>
    </xf>
    <xf numFmtId="0" fontId="48" fillId="14" borderId="10" xfId="6" applyFont="1" applyFill="1" applyBorder="1" applyAlignment="1">
      <alignment vertical="center"/>
    </xf>
    <xf numFmtId="0" fontId="29" fillId="13" borderId="4" xfId="3" applyFont="1" applyFill="1" applyBorder="1" applyAlignment="1">
      <alignment vertical="center" wrapText="1"/>
    </xf>
    <xf numFmtId="0" fontId="29" fillId="13" borderId="4" xfId="3" applyFont="1" applyFill="1" applyBorder="1" applyAlignment="1">
      <alignment vertical="center"/>
    </xf>
    <xf numFmtId="4" fontId="52" fillId="0" borderId="0" xfId="0" applyNumberFormat="1" applyFont="1" applyAlignment="1">
      <alignment horizontal="center" vertical="center" wrapText="1"/>
    </xf>
    <xf numFmtId="177" fontId="52" fillId="14" borderId="0" xfId="2" applyNumberFormat="1" applyFont="1" applyFill="1" applyBorder="1" applyAlignment="1">
      <alignment horizontal="center" vertical="center"/>
    </xf>
    <xf numFmtId="180" fontId="52" fillId="14" borderId="0" xfId="2" applyNumberFormat="1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/>
    </xf>
    <xf numFmtId="4" fontId="50" fillId="0" borderId="13" xfId="0" applyNumberFormat="1" applyFont="1" applyBorder="1" applyAlignment="1">
      <alignment vertical="center" wrapText="1"/>
    </xf>
    <xf numFmtId="0" fontId="35" fillId="0" borderId="34" xfId="0" applyFont="1" applyBorder="1" applyAlignment="1">
      <alignment horizontal="center" vertical="center"/>
    </xf>
    <xf numFmtId="10" fontId="64" fillId="14" borderId="34" xfId="1" applyNumberFormat="1" applyFont="1" applyFill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44" fillId="0" borderId="34" xfId="0" applyFont="1" applyBorder="1" applyAlignment="1">
      <alignment horizontal="center" vertical="center" wrapText="1"/>
    </xf>
    <xf numFmtId="0" fontId="32" fillId="3" borderId="39" xfId="0" applyFont="1" applyFill="1" applyBorder="1" applyAlignment="1">
      <alignment horizontal="center" vertical="center" wrapText="1"/>
    </xf>
    <xf numFmtId="175" fontId="32" fillId="3" borderId="40" xfId="0" applyNumberFormat="1" applyFont="1" applyFill="1" applyBorder="1" applyAlignment="1">
      <alignment horizontal="center" vertical="center" wrapText="1"/>
    </xf>
    <xf numFmtId="0" fontId="33" fillId="0" borderId="33" xfId="0" applyFont="1" applyBorder="1" applyAlignment="1">
      <alignment horizontal="center" vertical="center" wrapText="1"/>
    </xf>
    <xf numFmtId="175" fontId="33" fillId="0" borderId="34" xfId="0" applyNumberFormat="1" applyFont="1" applyBorder="1" applyAlignment="1">
      <alignment horizontal="center" vertical="center" wrapText="1"/>
    </xf>
    <xf numFmtId="175" fontId="64" fillId="0" borderId="34" xfId="0" applyNumberFormat="1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17" fontId="28" fillId="0" borderId="30" xfId="0" applyNumberFormat="1" applyFont="1" applyBorder="1" applyAlignment="1">
      <alignment horizontal="center" vertical="center"/>
    </xf>
    <xf numFmtId="0" fontId="28" fillId="0" borderId="29" xfId="0" applyFont="1" applyBorder="1" applyAlignment="1">
      <alignment vertical="center"/>
    </xf>
    <xf numFmtId="0" fontId="28" fillId="0" borderId="0" xfId="0" applyFont="1"/>
    <xf numFmtId="0" fontId="28" fillId="0" borderId="29" xfId="0" applyFont="1" applyBorder="1"/>
    <xf numFmtId="0" fontId="28" fillId="0" borderId="30" xfId="0" applyFont="1" applyBorder="1"/>
    <xf numFmtId="175" fontId="28" fillId="0" borderId="30" xfId="0" applyNumberFormat="1" applyFont="1" applyBorder="1"/>
    <xf numFmtId="0" fontId="28" fillId="0" borderId="30" xfId="0" applyFont="1" applyBorder="1" applyAlignment="1">
      <alignment vertical="center"/>
    </xf>
    <xf numFmtId="0" fontId="33" fillId="0" borderId="29" xfId="0" applyFont="1" applyBorder="1" applyAlignment="1">
      <alignment vertical="center"/>
    </xf>
    <xf numFmtId="0" fontId="33" fillId="0" borderId="30" xfId="0" applyFont="1" applyBorder="1" applyAlignment="1">
      <alignment vertical="center"/>
    </xf>
    <xf numFmtId="0" fontId="30" fillId="0" borderId="41" xfId="0" applyFont="1" applyBorder="1"/>
    <xf numFmtId="0" fontId="30" fillId="0" borderId="42" xfId="0" applyFont="1" applyBorder="1"/>
    <xf numFmtId="0" fontId="30" fillId="0" borderId="32" xfId="0" applyFont="1" applyBorder="1"/>
    <xf numFmtId="0" fontId="30" fillId="0" borderId="7" xfId="0" applyFont="1" applyBorder="1"/>
    <xf numFmtId="4" fontId="30" fillId="0" borderId="7" xfId="0" applyNumberFormat="1" applyFont="1" applyBorder="1"/>
    <xf numFmtId="0" fontId="30" fillId="0" borderId="31" xfId="0" applyFont="1" applyBorder="1"/>
    <xf numFmtId="4" fontId="52" fillId="0" borderId="11" xfId="0" applyNumberFormat="1" applyFont="1" applyBorder="1" applyAlignment="1">
      <alignment horizontal="center" vertical="center" wrapText="1"/>
    </xf>
    <xf numFmtId="10" fontId="45" fillId="0" borderId="43" xfId="67" applyNumberFormat="1" applyFont="1" applyBorder="1" applyAlignment="1">
      <alignment horizontal="center" vertical="center"/>
    </xf>
    <xf numFmtId="10" fontId="4" fillId="0" borderId="43" xfId="67" applyNumberFormat="1" applyFont="1" applyBorder="1" applyAlignment="1">
      <alignment horizontal="center" vertical="center"/>
    </xf>
    <xf numFmtId="0" fontId="0" fillId="0" borderId="46" xfId="0" applyBorder="1"/>
    <xf numFmtId="0" fontId="0" fillId="0" borderId="47" xfId="0" applyBorder="1"/>
    <xf numFmtId="0" fontId="28" fillId="0" borderId="0" xfId="0" applyFont="1" applyAlignment="1">
      <alignment horizontal="center"/>
    </xf>
    <xf numFmtId="14" fontId="28" fillId="0" borderId="0" xfId="0" applyNumberFormat="1" applyFont="1"/>
    <xf numFmtId="0" fontId="28" fillId="0" borderId="0" xfId="0" applyFont="1" applyAlignment="1">
      <alignment horizontal="right"/>
    </xf>
    <xf numFmtId="16" fontId="28" fillId="0" borderId="0" xfId="0" applyNumberFormat="1" applyFont="1"/>
    <xf numFmtId="0" fontId="28" fillId="0" borderId="47" xfId="0" applyFont="1" applyBorder="1"/>
    <xf numFmtId="0" fontId="28" fillId="0" borderId="46" xfId="0" applyFont="1" applyBorder="1" applyAlignment="1">
      <alignment horizontal="right"/>
    </xf>
    <xf numFmtId="0" fontId="28" fillId="0" borderId="46" xfId="0" applyFont="1" applyBorder="1"/>
    <xf numFmtId="0" fontId="28" fillId="0" borderId="45" xfId="0" applyFont="1" applyBorder="1"/>
    <xf numFmtId="0" fontId="28" fillId="0" borderId="25" xfId="0" applyFont="1" applyBorder="1"/>
    <xf numFmtId="0" fontId="28" fillId="0" borderId="48" xfId="0" applyFont="1" applyBorder="1"/>
    <xf numFmtId="0" fontId="72" fillId="20" borderId="51" xfId="67" applyFont="1" applyFill="1" applyBorder="1" applyAlignment="1">
      <alignment horizontal="center" vertical="center" wrapText="1"/>
    </xf>
    <xf numFmtId="9" fontId="72" fillId="20" borderId="51" xfId="67" applyNumberFormat="1" applyFont="1" applyFill="1" applyBorder="1" applyAlignment="1">
      <alignment horizontal="center" vertical="center" wrapText="1"/>
    </xf>
    <xf numFmtId="10" fontId="4" fillId="0" borderId="50" xfId="67" applyNumberFormat="1" applyFont="1" applyBorder="1" applyAlignment="1">
      <alignment horizontal="left" vertical="center" wrapText="1"/>
    </xf>
    <xf numFmtId="9" fontId="4" fillId="0" borderId="51" xfId="7" applyFont="1" applyFill="1" applyBorder="1" applyAlignment="1">
      <alignment horizontal="center" vertical="center"/>
    </xf>
    <xf numFmtId="188" fontId="4" fillId="0" borderId="56" xfId="7" applyNumberFormat="1" applyFont="1" applyFill="1" applyBorder="1" applyAlignment="1">
      <alignment horizontal="center" vertical="center"/>
    </xf>
    <xf numFmtId="10" fontId="4" fillId="0" borderId="51" xfId="7" applyNumberFormat="1" applyFont="1" applyFill="1" applyBorder="1" applyAlignment="1">
      <alignment horizontal="center" vertical="center"/>
    </xf>
    <xf numFmtId="10" fontId="4" fillId="0" borderId="51" xfId="67" applyNumberFormat="1" applyFont="1" applyBorder="1" applyAlignment="1">
      <alignment horizontal="center" vertical="center"/>
    </xf>
    <xf numFmtId="10" fontId="45" fillId="0" borderId="51" xfId="7" applyNumberFormat="1" applyFont="1" applyFill="1" applyBorder="1" applyAlignment="1">
      <alignment horizontal="center" vertical="center"/>
    </xf>
    <xf numFmtId="188" fontId="45" fillId="0" borderId="56" xfId="7" applyNumberFormat="1" applyFont="1" applyFill="1" applyBorder="1" applyAlignment="1">
      <alignment horizontal="center" vertical="center"/>
    </xf>
    <xf numFmtId="10" fontId="4" fillId="21" borderId="51" xfId="7" applyNumberFormat="1" applyFont="1" applyFill="1" applyBorder="1" applyAlignment="1">
      <alignment horizontal="center" vertical="center"/>
    </xf>
    <xf numFmtId="10" fontId="4" fillId="0" borderId="51" xfId="1" applyNumberFormat="1" applyFont="1" applyFill="1" applyBorder="1" applyAlignment="1">
      <alignment horizontal="center" vertical="center"/>
    </xf>
    <xf numFmtId="10" fontId="74" fillId="0" borderId="51" xfId="7" applyNumberFormat="1" applyFont="1" applyFill="1" applyBorder="1" applyAlignment="1">
      <alignment horizontal="center" vertical="center"/>
    </xf>
    <xf numFmtId="43" fontId="68" fillId="0" borderId="4" xfId="3" applyNumberFormat="1" applyFont="1" applyBorder="1" applyAlignment="1" applyProtection="1">
      <alignment horizontal="center" vertical="center" wrapText="1"/>
      <protection locked="0"/>
    </xf>
    <xf numFmtId="0" fontId="37" fillId="13" borderId="0" xfId="3" applyFont="1" applyFill="1" applyAlignment="1">
      <alignment wrapText="1"/>
    </xf>
    <xf numFmtId="0" fontId="37" fillId="0" borderId="0" xfId="3" applyFont="1" applyAlignment="1">
      <alignment vertical="center"/>
    </xf>
    <xf numFmtId="0" fontId="28" fillId="0" borderId="0" xfId="3" applyFont="1" applyAlignment="1">
      <alignment horizontal="center" vertical="center"/>
    </xf>
    <xf numFmtId="0" fontId="41" fillId="13" borderId="0" xfId="3" applyFont="1" applyFill="1" applyAlignment="1">
      <alignment wrapText="1"/>
    </xf>
    <xf numFmtId="0" fontId="37" fillId="13" borderId="0" xfId="3" applyFont="1" applyFill="1" applyAlignment="1">
      <alignment horizontal="right"/>
    </xf>
    <xf numFmtId="0" fontId="28" fillId="13" borderId="0" xfId="3" applyFont="1" applyFill="1" applyAlignment="1">
      <alignment horizontal="center" vertical="center"/>
    </xf>
    <xf numFmtId="0" fontId="28" fillId="0" borderId="0" xfId="6" applyFont="1" applyAlignment="1">
      <alignment vertical="center"/>
    </xf>
    <xf numFmtId="0" fontId="28" fillId="0" borderId="11" xfId="3" applyFont="1" applyBorder="1" applyAlignment="1" applyProtection="1">
      <alignment vertical="center" wrapText="1"/>
      <protection locked="0"/>
    </xf>
    <xf numFmtId="0" fontId="28" fillId="0" borderId="0" xfId="3" applyFont="1" applyAlignment="1" applyProtection="1">
      <alignment vertical="center" wrapText="1"/>
      <protection locked="0"/>
    </xf>
    <xf numFmtId="0" fontId="28" fillId="0" borderId="11" xfId="3" applyFont="1" applyBorder="1" applyAlignment="1" applyProtection="1">
      <alignment horizontal="center" vertical="center" wrapText="1"/>
      <protection locked="0"/>
    </xf>
    <xf numFmtId="0" fontId="28" fillId="0" borderId="0" xfId="3" applyFont="1" applyAlignment="1" applyProtection="1">
      <alignment horizontal="center" vertical="center" wrapText="1"/>
      <protection locked="0"/>
    </xf>
    <xf numFmtId="4" fontId="28" fillId="0" borderId="0" xfId="3" applyNumberFormat="1" applyFont="1" applyAlignment="1" applyProtection="1">
      <alignment horizontal="center" vertical="center" wrapText="1"/>
      <protection locked="0"/>
    </xf>
    <xf numFmtId="4" fontId="28" fillId="23" borderId="0" xfId="3" applyNumberFormat="1" applyFont="1" applyFill="1" applyAlignment="1" applyProtection="1">
      <alignment horizontal="center" vertical="center" wrapText="1"/>
      <protection locked="0"/>
    </xf>
    <xf numFmtId="0" fontId="28" fillId="23" borderId="0" xfId="3" applyFont="1" applyFill="1" applyAlignment="1" applyProtection="1">
      <alignment horizontal="center" vertical="center" wrapText="1"/>
      <protection locked="0"/>
    </xf>
    <xf numFmtId="4" fontId="28" fillId="22" borderId="0" xfId="3" applyNumberFormat="1" applyFont="1" applyFill="1" applyAlignment="1" applyProtection="1">
      <alignment horizontal="center" vertical="center" wrapText="1"/>
      <protection locked="0"/>
    </xf>
    <xf numFmtId="4" fontId="75" fillId="0" borderId="0" xfId="3" applyNumberFormat="1" applyFont="1" applyAlignment="1" applyProtection="1">
      <alignment horizontal="center" vertical="center" wrapText="1"/>
      <protection locked="0"/>
    </xf>
    <xf numFmtId="0" fontId="28" fillId="0" borderId="14" xfId="3" applyFont="1" applyBorder="1" applyAlignment="1" applyProtection="1">
      <alignment vertical="center" wrapText="1"/>
      <protection locked="0"/>
    </xf>
    <xf numFmtId="0" fontId="28" fillId="0" borderId="9" xfId="3" applyFont="1" applyBorder="1" applyAlignment="1" applyProtection="1">
      <alignment vertical="center" wrapText="1"/>
      <protection locked="0"/>
    </xf>
    <xf numFmtId="0" fontId="28" fillId="0" borderId="4" xfId="3" applyFont="1" applyBorder="1" applyAlignment="1" applyProtection="1">
      <alignment horizontal="center" vertical="center" wrapText="1"/>
      <protection locked="0"/>
    </xf>
    <xf numFmtId="4" fontId="28" fillId="23" borderId="4" xfId="3" applyNumberFormat="1" applyFont="1" applyFill="1" applyBorder="1" applyAlignment="1" applyProtection="1">
      <alignment horizontal="center" vertical="center" wrapText="1"/>
      <protection locked="0"/>
    </xf>
    <xf numFmtId="0" fontId="28" fillId="23" borderId="4" xfId="3" applyFont="1" applyFill="1" applyBorder="1" applyAlignment="1" applyProtection="1">
      <alignment horizontal="center" vertical="center" wrapText="1"/>
      <protection locked="0"/>
    </xf>
    <xf numFmtId="0" fontId="28" fillId="2" borderId="0" xfId="3" applyFont="1" applyFill="1" applyAlignment="1" applyProtection="1">
      <alignment horizontal="center" vertical="center" wrapText="1"/>
      <protection locked="0"/>
    </xf>
    <xf numFmtId="4" fontId="28" fillId="14" borderId="0" xfId="8" applyNumberFormat="1" applyFont="1" applyFill="1" applyBorder="1" applyAlignment="1" applyProtection="1">
      <alignment horizontal="center" vertical="center" wrapText="1"/>
      <protection hidden="1"/>
    </xf>
    <xf numFmtId="4" fontId="28" fillId="23" borderId="0" xfId="8" applyNumberFormat="1" applyFont="1" applyFill="1" applyBorder="1" applyAlignment="1" applyProtection="1">
      <alignment horizontal="center" vertical="center"/>
      <protection hidden="1"/>
    </xf>
    <xf numFmtId="4" fontId="28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28" fillId="0" borderId="11" xfId="6" applyFont="1" applyBorder="1" applyAlignment="1">
      <alignment vertical="center"/>
    </xf>
    <xf numFmtId="4" fontId="28" fillId="0" borderId="4" xfId="3" applyNumberFormat="1" applyFont="1" applyBorder="1" applyAlignment="1" applyProtection="1">
      <alignment horizontal="center" vertical="center" wrapText="1"/>
      <protection locked="0"/>
    </xf>
    <xf numFmtId="189" fontId="28" fillId="0" borderId="4" xfId="3" applyNumberFormat="1" applyFont="1" applyBorder="1" applyAlignment="1" applyProtection="1">
      <alignment horizontal="center" vertical="center" wrapText="1"/>
      <protection locked="0"/>
    </xf>
    <xf numFmtId="4" fontId="28" fillId="22" borderId="34" xfId="3" applyNumberFormat="1" applyFont="1" applyFill="1" applyBorder="1" applyAlignment="1" applyProtection="1">
      <alignment horizontal="center" vertical="center" wrapText="1"/>
      <protection locked="0"/>
    </xf>
    <xf numFmtId="4" fontId="28" fillId="22" borderId="70" xfId="3" applyNumberFormat="1" applyFont="1" applyFill="1" applyBorder="1" applyAlignment="1" applyProtection="1">
      <alignment horizontal="center" vertical="center" wrapText="1"/>
      <protection locked="0"/>
    </xf>
    <xf numFmtId="0" fontId="28" fillId="14" borderId="0" xfId="3" applyFont="1" applyFill="1" applyAlignment="1" applyProtection="1">
      <alignment horizontal="center" vertical="center" wrapText="1"/>
      <protection locked="0"/>
    </xf>
    <xf numFmtId="0" fontId="28" fillId="14" borderId="0" xfId="3" applyFont="1" applyFill="1" applyAlignment="1" applyProtection="1">
      <alignment vertical="center" wrapText="1"/>
      <protection locked="0"/>
    </xf>
    <xf numFmtId="14" fontId="29" fillId="13" borderId="4" xfId="3" applyNumberFormat="1" applyFont="1" applyFill="1" applyBorder="1" applyAlignment="1">
      <alignment horizontal="center" vertical="center"/>
    </xf>
    <xf numFmtId="10" fontId="38" fillId="13" borderId="0" xfId="3" applyNumberFormat="1" applyFont="1" applyFill="1" applyAlignment="1">
      <alignment vertical="center"/>
    </xf>
    <xf numFmtId="190" fontId="38" fillId="13" borderId="0" xfId="3" applyNumberFormat="1" applyFont="1" applyFill="1" applyAlignment="1">
      <alignment vertical="center"/>
    </xf>
    <xf numFmtId="0" fontId="33" fillId="14" borderId="33" xfId="0" applyFont="1" applyFill="1" applyBorder="1" applyAlignment="1">
      <alignment horizontal="center" vertical="center" wrapText="1"/>
    </xf>
    <xf numFmtId="0" fontId="33" fillId="14" borderId="4" xfId="0" applyFont="1" applyFill="1" applyBorder="1" applyAlignment="1">
      <alignment horizontal="center" vertical="center" wrapText="1"/>
    </xf>
    <xf numFmtId="1" fontId="33" fillId="14" borderId="4" xfId="0" applyNumberFormat="1" applyFont="1" applyFill="1" applyBorder="1" applyAlignment="1">
      <alignment horizontal="center" vertical="center" wrapText="1"/>
    </xf>
    <xf numFmtId="0" fontId="33" fillId="14" borderId="4" xfId="0" applyFont="1" applyFill="1" applyBorder="1" applyAlignment="1">
      <alignment horizontal="left" vertical="center" wrapText="1"/>
    </xf>
    <xf numFmtId="4" fontId="56" fillId="14" borderId="4" xfId="0" applyNumberFormat="1" applyFont="1" applyFill="1" applyBorder="1" applyAlignment="1">
      <alignment horizontal="center" vertical="center" wrapText="1"/>
    </xf>
    <xf numFmtId="175" fontId="33" fillId="14" borderId="4" xfId="0" applyNumberFormat="1" applyFont="1" applyFill="1" applyBorder="1" applyAlignment="1">
      <alignment horizontal="center" vertical="center" wrapText="1"/>
    </xf>
    <xf numFmtId="175" fontId="33" fillId="14" borderId="34" xfId="0" applyNumberFormat="1" applyFont="1" applyFill="1" applyBorder="1" applyAlignment="1">
      <alignment horizontal="center" vertical="center" wrapText="1"/>
    </xf>
    <xf numFmtId="0" fontId="55" fillId="14" borderId="0" xfId="0" applyFont="1" applyFill="1"/>
    <xf numFmtId="177" fontId="60" fillId="14" borderId="13" xfId="2" applyNumberFormat="1" applyFont="1" applyFill="1" applyBorder="1" applyAlignment="1">
      <alignment horizontal="center" vertical="center"/>
    </xf>
    <xf numFmtId="177" fontId="77" fillId="24" borderId="73" xfId="2" applyNumberFormat="1" applyFont="1" applyFill="1" applyBorder="1" applyAlignment="1">
      <alignment horizontal="center" vertical="center"/>
    </xf>
    <xf numFmtId="177" fontId="77" fillId="24" borderId="74" xfId="2" applyNumberFormat="1" applyFont="1" applyFill="1" applyBorder="1" applyAlignment="1">
      <alignment horizontal="center" vertical="center"/>
    </xf>
    <xf numFmtId="0" fontId="49" fillId="24" borderId="74" xfId="3" applyFont="1" applyFill="1" applyBorder="1" applyAlignment="1" applyProtection="1">
      <alignment horizontal="center" vertical="center" wrapText="1"/>
      <protection locked="0"/>
    </xf>
    <xf numFmtId="180" fontId="49" fillId="24" borderId="75" xfId="2" applyNumberFormat="1" applyFont="1" applyFill="1" applyBorder="1" applyAlignment="1">
      <alignment horizontal="center" vertical="center"/>
    </xf>
    <xf numFmtId="0" fontId="3" fillId="0" borderId="0" xfId="67"/>
    <xf numFmtId="0" fontId="79" fillId="14" borderId="0" xfId="67" applyFont="1" applyFill="1"/>
    <xf numFmtId="0" fontId="3" fillId="0" borderId="76" xfId="67" applyBorder="1"/>
    <xf numFmtId="0" fontId="80" fillId="0" borderId="33" xfId="70" applyFont="1" applyBorder="1" applyAlignment="1">
      <alignment vertical="center"/>
    </xf>
    <xf numFmtId="0" fontId="80" fillId="0" borderId="4" xfId="70" applyFont="1" applyBorder="1" applyAlignment="1">
      <alignment horizontal="left" vertical="center"/>
    </xf>
    <xf numFmtId="0" fontId="80" fillId="0" borderId="4" xfId="70" applyFont="1" applyBorder="1" applyAlignment="1">
      <alignment vertical="center" wrapText="1"/>
    </xf>
    <xf numFmtId="0" fontId="80" fillId="0" borderId="4" xfId="70" applyFont="1" applyBorder="1" applyAlignment="1">
      <alignment horizontal="center" vertical="center"/>
    </xf>
    <xf numFmtId="0" fontId="80" fillId="0" borderId="34" xfId="70" applyFont="1" applyBorder="1" applyAlignment="1">
      <alignment horizontal="right" vertical="center"/>
    </xf>
    <xf numFmtId="0" fontId="81" fillId="14" borderId="33" xfId="70" applyFont="1" applyFill="1" applyBorder="1" applyAlignment="1">
      <alignment horizontal="centerContinuous" vertical="center" wrapText="1"/>
    </xf>
    <xf numFmtId="0" fontId="82" fillId="0" borderId="4" xfId="67" applyFont="1" applyBorder="1" applyAlignment="1">
      <alignment horizontal="left" vertical="center" wrapText="1"/>
    </xf>
    <xf numFmtId="0" fontId="80" fillId="26" borderId="4" xfId="70" applyFont="1" applyFill="1" applyBorder="1" applyAlignment="1" applyProtection="1">
      <alignment horizontal="left" vertical="center" wrapText="1"/>
      <protection locked="0"/>
    </xf>
    <xf numFmtId="0" fontId="80" fillId="26" borderId="12" xfId="67" applyFont="1" applyFill="1" applyBorder="1" applyAlignment="1" applyProtection="1">
      <alignment horizontal="center" vertical="center"/>
      <protection locked="0"/>
    </xf>
    <xf numFmtId="17" fontId="80" fillId="26" borderId="4" xfId="67" applyNumberFormat="1" applyFont="1" applyFill="1" applyBorder="1" applyAlignment="1" applyProtection="1">
      <alignment horizontal="center" vertical="center" wrapText="1"/>
      <protection locked="0"/>
    </xf>
    <xf numFmtId="17" fontId="83" fillId="26" borderId="4" xfId="70" applyNumberFormat="1" applyFont="1" applyFill="1" applyBorder="1" applyAlignment="1" applyProtection="1">
      <alignment horizontal="center" vertical="center"/>
      <protection locked="0"/>
    </xf>
    <xf numFmtId="191" fontId="80" fillId="0" borderId="6" xfId="67" applyNumberFormat="1" applyFont="1" applyBorder="1" applyAlignment="1">
      <alignment vertical="center"/>
    </xf>
    <xf numFmtId="0" fontId="82" fillId="0" borderId="33" xfId="70" applyFont="1" applyBorder="1" applyAlignment="1">
      <alignment vertical="center"/>
    </xf>
    <xf numFmtId="0" fontId="82" fillId="0" borderId="4" xfId="70" applyFont="1" applyBorder="1" applyAlignment="1">
      <alignment horizontal="left" vertical="center"/>
    </xf>
    <xf numFmtId="0" fontId="82" fillId="0" borderId="4" xfId="70" applyFont="1" applyBorder="1" applyAlignment="1">
      <alignment vertical="center"/>
    </xf>
    <xf numFmtId="0" fontId="82" fillId="0" borderId="4" xfId="70" applyFont="1" applyBorder="1" applyAlignment="1">
      <alignment horizontal="center" vertical="center"/>
    </xf>
    <xf numFmtId="0" fontId="82" fillId="0" borderId="34" xfId="70" applyFont="1" applyBorder="1" applyAlignment="1">
      <alignment horizontal="center" vertical="center"/>
    </xf>
    <xf numFmtId="0" fontId="84" fillId="26" borderId="77" xfId="70" applyFont="1" applyFill="1" applyBorder="1" applyAlignment="1" applyProtection="1">
      <alignment horizontal="center" vertical="center" wrapText="1"/>
      <protection locked="0"/>
    </xf>
    <xf numFmtId="0" fontId="84" fillId="26" borderId="28" xfId="67" applyFont="1" applyFill="1" applyBorder="1" applyAlignment="1" applyProtection="1">
      <alignment horizontal="left" vertical="center" wrapText="1"/>
      <protection locked="0"/>
    </xf>
    <xf numFmtId="0" fontId="84" fillId="26" borderId="28" xfId="67" applyFont="1" applyFill="1" applyBorder="1" applyAlignment="1" applyProtection="1">
      <alignment vertical="center" wrapText="1"/>
      <protection locked="0"/>
    </xf>
    <xf numFmtId="0" fontId="84" fillId="26" borderId="28" xfId="67" applyFont="1" applyFill="1" applyBorder="1" applyAlignment="1" applyProtection="1">
      <alignment horizontal="center" vertical="center" wrapText="1"/>
      <protection locked="0"/>
    </xf>
    <xf numFmtId="192" fontId="84" fillId="26" borderId="28" xfId="67" applyNumberFormat="1" applyFont="1" applyFill="1" applyBorder="1" applyAlignment="1" applyProtection="1">
      <alignment vertical="center" wrapText="1"/>
      <protection locked="0"/>
    </xf>
    <xf numFmtId="191" fontId="84" fillId="26" borderId="28" xfId="70" applyNumberFormat="1" applyFont="1" applyFill="1" applyBorder="1" applyAlignment="1" applyProtection="1">
      <alignment vertical="center" wrapText="1"/>
      <protection locked="0"/>
    </xf>
    <xf numFmtId="191" fontId="82" fillId="0" borderId="78" xfId="67" quotePrefix="1" applyNumberFormat="1" applyFont="1" applyBorder="1" applyAlignment="1">
      <alignment vertical="center"/>
    </xf>
    <xf numFmtId="0" fontId="3" fillId="14" borderId="0" xfId="67" applyFill="1"/>
    <xf numFmtId="192" fontId="82" fillId="14" borderId="0" xfId="67" applyNumberFormat="1" applyFont="1" applyFill="1" applyAlignment="1" applyProtection="1">
      <alignment vertical="center" wrapText="1"/>
      <protection locked="0"/>
    </xf>
    <xf numFmtId="191" fontId="82" fillId="14" borderId="0" xfId="67" applyNumberFormat="1" applyFont="1" applyFill="1" applyAlignment="1">
      <alignment vertical="center"/>
    </xf>
    <xf numFmtId="0" fontId="4" fillId="14" borderId="0" xfId="67" applyFont="1" applyFill="1" applyAlignment="1">
      <alignment horizontal="center" vertical="center"/>
    </xf>
    <xf numFmtId="191" fontId="82" fillId="14" borderId="0" xfId="67" quotePrefix="1" applyNumberFormat="1" applyFont="1" applyFill="1" applyAlignment="1">
      <alignment vertical="center"/>
    </xf>
    <xf numFmtId="0" fontId="79" fillId="14" borderId="0" xfId="67" applyFont="1" applyFill="1" applyAlignment="1">
      <alignment horizontal="center" vertical="center"/>
    </xf>
    <xf numFmtId="0" fontId="3" fillId="14" borderId="0" xfId="67" applyFill="1" applyAlignment="1">
      <alignment horizontal="center" vertical="center"/>
    </xf>
    <xf numFmtId="191" fontId="3" fillId="14" borderId="0" xfId="67" applyNumberFormat="1" applyFill="1"/>
    <xf numFmtId="49" fontId="33" fillId="0" borderId="4" xfId="0" quotePrefix="1" applyNumberFormat="1" applyFont="1" applyBorder="1" applyAlignment="1">
      <alignment horizontal="center" vertical="center" wrapText="1"/>
    </xf>
    <xf numFmtId="175" fontId="38" fillId="13" borderId="0" xfId="3" applyNumberFormat="1" applyFont="1" applyFill="1" applyAlignment="1">
      <alignment vertical="center"/>
    </xf>
    <xf numFmtId="177" fontId="60" fillId="14" borderId="11" xfId="2" applyNumberFormat="1" applyFont="1" applyFill="1" applyBorder="1" applyAlignment="1">
      <alignment horizontal="center" vertical="center"/>
    </xf>
    <xf numFmtId="177" fontId="60" fillId="14" borderId="0" xfId="2" applyNumberFormat="1" applyFont="1" applyFill="1" applyBorder="1" applyAlignment="1">
      <alignment horizontal="center" vertical="center"/>
    </xf>
    <xf numFmtId="4" fontId="52" fillId="0" borderId="13" xfId="0" applyNumberFormat="1" applyFont="1" applyBorder="1" applyAlignment="1">
      <alignment horizontal="center" vertical="center" wrapText="1"/>
    </xf>
    <xf numFmtId="177" fontId="52" fillId="14" borderId="13" xfId="2" applyNumberFormat="1" applyFont="1" applyFill="1" applyBorder="1" applyAlignment="1">
      <alignment horizontal="center" vertical="center"/>
    </xf>
    <xf numFmtId="180" fontId="52" fillId="14" borderId="13" xfId="2" applyNumberFormat="1" applyFont="1" applyFill="1" applyBorder="1" applyAlignment="1">
      <alignment horizontal="center" vertical="center"/>
    </xf>
    <xf numFmtId="4" fontId="50" fillId="24" borderId="74" xfId="0" applyNumberFormat="1" applyFont="1" applyFill="1" applyBorder="1" applyAlignment="1">
      <alignment horizontal="center" vertical="center" wrapText="1"/>
    </xf>
    <xf numFmtId="0" fontId="52" fillId="14" borderId="11" xfId="70" applyFont="1" applyFill="1" applyBorder="1" applyAlignment="1" applyProtection="1">
      <alignment vertical="center"/>
      <protection locked="0"/>
    </xf>
    <xf numFmtId="4" fontId="52" fillId="0" borderId="0" xfId="70" applyNumberFormat="1" applyFont="1" applyAlignment="1" applyProtection="1">
      <alignment vertical="center"/>
      <protection locked="0"/>
    </xf>
    <xf numFmtId="10" fontId="60" fillId="14" borderId="0" xfId="70" applyNumberFormat="1" applyFont="1" applyFill="1" applyAlignment="1" applyProtection="1">
      <alignment horizontal="right" vertical="center"/>
      <protection locked="0"/>
    </xf>
    <xf numFmtId="4" fontId="49" fillId="0" borderId="4" xfId="0" applyNumberFormat="1" applyFont="1" applyBorder="1" applyAlignment="1">
      <alignment horizontal="center" vertical="center" wrapText="1"/>
    </xf>
    <xf numFmtId="178" fontId="87" fillId="14" borderId="4" xfId="2" applyNumberFormat="1" applyFont="1" applyFill="1" applyBorder="1" applyAlignment="1">
      <alignment horizontal="center" vertical="center"/>
    </xf>
    <xf numFmtId="182" fontId="86" fillId="2" borderId="4" xfId="70" applyNumberFormat="1" applyFont="1" applyFill="1" applyBorder="1" applyAlignment="1" applyProtection="1">
      <alignment horizontal="right" vertical="center"/>
      <protection locked="0"/>
    </xf>
    <xf numFmtId="0" fontId="47" fillId="14" borderId="0" xfId="70" applyFont="1" applyFill="1" applyAlignment="1" applyProtection="1">
      <alignment vertical="center"/>
      <protection locked="0"/>
    </xf>
    <xf numFmtId="0" fontId="47" fillId="14" borderId="0" xfId="3" applyFont="1" applyFill="1" applyAlignment="1" applyProtection="1">
      <alignment horizontal="center" vertical="center" wrapText="1"/>
      <protection locked="0"/>
    </xf>
    <xf numFmtId="0" fontId="47" fillId="14" borderId="11" xfId="70" applyFont="1" applyFill="1" applyBorder="1" applyAlignment="1" applyProtection="1">
      <alignment vertical="center"/>
      <protection locked="0"/>
    </xf>
    <xf numFmtId="180" fontId="88" fillId="14" borderId="0" xfId="70" applyNumberFormat="1" applyFont="1" applyFill="1" applyAlignment="1" applyProtection="1">
      <alignment horizontal="right" vertical="center"/>
      <protection locked="0"/>
    </xf>
    <xf numFmtId="177" fontId="88" fillId="14" borderId="0" xfId="70" applyNumberFormat="1" applyFont="1" applyFill="1" applyAlignment="1" applyProtection="1">
      <alignment horizontal="right" vertical="center"/>
      <protection locked="0"/>
    </xf>
    <xf numFmtId="4" fontId="47" fillId="0" borderId="0" xfId="70" applyNumberFormat="1" applyFont="1" applyAlignment="1" applyProtection="1">
      <alignment vertical="center"/>
      <protection locked="0"/>
    </xf>
    <xf numFmtId="10" fontId="88" fillId="14" borderId="0" xfId="70" applyNumberFormat="1" applyFont="1" applyFill="1" applyAlignment="1" applyProtection="1">
      <alignment horizontal="right" vertical="center"/>
      <protection locked="0"/>
    </xf>
    <xf numFmtId="181" fontId="89" fillId="2" borderId="0" xfId="70" applyNumberFormat="1" applyFont="1" applyFill="1" applyAlignment="1" applyProtection="1">
      <alignment horizontal="right" vertical="center"/>
      <protection locked="0"/>
    </xf>
    <xf numFmtId="0" fontId="69" fillId="14" borderId="0" xfId="3" applyFont="1" applyFill="1" applyAlignment="1" applyProtection="1">
      <alignment horizontal="center" vertical="center" wrapText="1"/>
      <protection locked="0"/>
    </xf>
    <xf numFmtId="0" fontId="69" fillId="14" borderId="10" xfId="3" applyFont="1" applyFill="1" applyBorder="1" applyAlignment="1" applyProtection="1">
      <alignment horizontal="center" vertical="center" wrapText="1"/>
      <protection locked="0"/>
    </xf>
    <xf numFmtId="0" fontId="69" fillId="14" borderId="0" xfId="6" applyFont="1" applyFill="1" applyAlignment="1">
      <alignment vertical="center"/>
    </xf>
    <xf numFmtId="0" fontId="86" fillId="14" borderId="11" xfId="70" applyFont="1" applyFill="1" applyBorder="1" applyAlignment="1" applyProtection="1">
      <alignment vertical="center"/>
      <protection locked="0"/>
    </xf>
    <xf numFmtId="0" fontId="86" fillId="14" borderId="0" xfId="70" applyFont="1" applyFill="1" applyAlignment="1" applyProtection="1">
      <alignment vertical="center"/>
      <protection locked="0"/>
    </xf>
    <xf numFmtId="180" fontId="86" fillId="14" borderId="0" xfId="70" applyNumberFormat="1" applyFont="1" applyFill="1" applyAlignment="1" applyProtection="1">
      <alignment horizontal="right" vertical="center"/>
      <protection locked="0"/>
    </xf>
    <xf numFmtId="0" fontId="86" fillId="14" borderId="0" xfId="3" applyFont="1" applyFill="1" applyAlignment="1" applyProtection="1">
      <alignment horizontal="center" vertical="center" wrapText="1"/>
      <protection locked="0"/>
    </xf>
    <xf numFmtId="177" fontId="86" fillId="14" borderId="0" xfId="70" applyNumberFormat="1" applyFont="1" applyFill="1" applyAlignment="1" applyProtection="1">
      <alignment horizontal="right" vertical="center"/>
      <protection locked="0"/>
    </xf>
    <xf numFmtId="4" fontId="86" fillId="0" borderId="0" xfId="70" applyNumberFormat="1" applyFont="1" applyAlignment="1" applyProtection="1">
      <alignment vertical="center"/>
      <protection locked="0"/>
    </xf>
    <xf numFmtId="10" fontId="86" fillId="14" borderId="0" xfId="70" applyNumberFormat="1" applyFont="1" applyFill="1" applyAlignment="1" applyProtection="1">
      <alignment horizontal="right" vertical="center"/>
      <protection locked="0"/>
    </xf>
    <xf numFmtId="0" fontId="28" fillId="0" borderId="0" xfId="3" applyFont="1" applyAlignment="1" applyProtection="1">
      <alignment horizontal="left" vertical="center" wrapText="1"/>
      <protection locked="0"/>
    </xf>
    <xf numFmtId="4" fontId="28" fillId="22" borderId="75" xfId="3" applyNumberFormat="1" applyFont="1" applyFill="1" applyBorder="1" applyAlignment="1" applyProtection="1">
      <alignment horizontal="center" vertical="center" wrapText="1"/>
      <protection locked="0"/>
    </xf>
    <xf numFmtId="4" fontId="28" fillId="23" borderId="74" xfId="3" applyNumberFormat="1" applyFont="1" applyFill="1" applyBorder="1" applyAlignment="1" applyProtection="1">
      <alignment horizontal="center" vertical="center" wrapText="1"/>
      <protection locked="0"/>
    </xf>
    <xf numFmtId="0" fontId="28" fillId="23" borderId="75" xfId="3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horizontal="center" vertical="center" wrapText="1"/>
    </xf>
    <xf numFmtId="17" fontId="54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4" fontId="28" fillId="0" borderId="0" xfId="0" applyNumberFormat="1" applyFont="1"/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28" fillId="0" borderId="32" xfId="0" applyFont="1" applyBorder="1"/>
    <xf numFmtId="0" fontId="28" fillId="0" borderId="7" xfId="0" applyFont="1" applyBorder="1"/>
    <xf numFmtId="0" fontId="28" fillId="0" borderId="7" xfId="0" applyFont="1" applyBorder="1" applyAlignment="1">
      <alignment horizontal="center" vertical="center"/>
    </xf>
    <xf numFmtId="4" fontId="28" fillId="0" borderId="7" xfId="0" applyNumberFormat="1" applyFont="1" applyBorder="1"/>
    <xf numFmtId="0" fontId="28" fillId="0" borderId="31" xfId="0" applyFont="1" applyBorder="1"/>
    <xf numFmtId="0" fontId="38" fillId="13" borderId="3" xfId="3" applyFont="1" applyFill="1" applyBorder="1"/>
    <xf numFmtId="0" fontId="38" fillId="13" borderId="2" xfId="3" applyFont="1" applyFill="1" applyBorder="1"/>
    <xf numFmtId="0" fontId="38" fillId="13" borderId="10" xfId="3" applyFont="1" applyFill="1" applyBorder="1"/>
    <xf numFmtId="0" fontId="38" fillId="13" borderId="15" xfId="3" applyFont="1" applyFill="1" applyBorder="1"/>
    <xf numFmtId="2" fontId="64" fillId="0" borderId="1" xfId="0" applyNumberFormat="1" applyFont="1" applyBorder="1" applyAlignment="1">
      <alignment horizontal="center" vertical="center"/>
    </xf>
    <xf numFmtId="2" fontId="64" fillId="0" borderId="40" xfId="0" applyNumberFormat="1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7" fontId="28" fillId="0" borderId="0" xfId="0" applyNumberFormat="1" applyFont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0" fontId="39" fillId="0" borderId="37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14" fontId="64" fillId="0" borderId="1" xfId="0" applyNumberFormat="1" applyFont="1" applyBorder="1" applyAlignment="1">
      <alignment horizontal="center" vertical="center"/>
    </xf>
    <xf numFmtId="14" fontId="64" fillId="0" borderId="40" xfId="0" applyNumberFormat="1" applyFont="1" applyBorder="1" applyAlignment="1">
      <alignment horizontal="center" vertical="center"/>
    </xf>
    <xf numFmtId="0" fontId="65" fillId="0" borderId="39" xfId="0" applyFont="1" applyBorder="1" applyAlignment="1">
      <alignment horizontal="left" vertical="center"/>
    </xf>
    <xf numFmtId="0" fontId="65" fillId="0" borderId="1" xfId="0" applyFont="1" applyBorder="1" applyAlignment="1">
      <alignment horizontal="left" vertical="center"/>
    </xf>
    <xf numFmtId="0" fontId="65" fillId="0" borderId="6" xfId="0" applyFont="1" applyBorder="1" applyAlignment="1">
      <alignment horizontal="left" vertical="center"/>
    </xf>
    <xf numFmtId="0" fontId="64" fillId="0" borderId="33" xfId="0" applyFont="1" applyBorder="1" applyAlignment="1">
      <alignment horizontal="left" vertical="center" wrapText="1"/>
    </xf>
    <xf numFmtId="0" fontId="65" fillId="0" borderId="4" xfId="0" applyFont="1" applyBorder="1" applyAlignment="1">
      <alignment horizontal="left" vertical="center" wrapText="1"/>
    </xf>
    <xf numFmtId="0" fontId="65" fillId="14" borderId="39" xfId="0" applyFont="1" applyFill="1" applyBorder="1" applyAlignment="1">
      <alignment horizontal="left" vertical="center" wrapText="1"/>
    </xf>
    <xf numFmtId="0" fontId="65" fillId="14" borderId="1" xfId="0" applyFont="1" applyFill="1" applyBorder="1" applyAlignment="1">
      <alignment horizontal="left" vertical="center" wrapText="1"/>
    </xf>
    <xf numFmtId="0" fontId="65" fillId="14" borderId="6" xfId="0" applyFont="1" applyFill="1" applyBorder="1" applyAlignment="1">
      <alignment horizontal="left" vertical="center" wrapText="1"/>
    </xf>
    <xf numFmtId="0" fontId="64" fillId="0" borderId="33" xfId="0" applyFont="1" applyBorder="1" applyAlignment="1">
      <alignment horizontal="center" vertical="center" wrapText="1"/>
    </xf>
    <xf numFmtId="0" fontId="64" fillId="0" borderId="4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34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/>
    </xf>
    <xf numFmtId="0" fontId="35" fillId="0" borderId="34" xfId="0" applyFont="1" applyBorder="1" applyAlignment="1">
      <alignment horizontal="center" vertical="center"/>
    </xf>
    <xf numFmtId="0" fontId="44" fillId="0" borderId="39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6" xfId="0" applyFont="1" applyBorder="1" applyAlignment="1">
      <alignment horizontal="left" vertical="center" wrapText="1"/>
    </xf>
    <xf numFmtId="0" fontId="34" fillId="0" borderId="39" xfId="0" applyFont="1" applyBorder="1" applyAlignment="1">
      <alignment horizontal="left" vertical="center"/>
    </xf>
    <xf numFmtId="0" fontId="34" fillId="0" borderId="1" xfId="0" applyFont="1" applyBorder="1" applyAlignment="1">
      <alignment horizontal="left" vertical="center"/>
    </xf>
    <xf numFmtId="0" fontId="34" fillId="0" borderId="6" xfId="0" applyFont="1" applyBorder="1" applyAlignment="1">
      <alignment horizontal="left" vertical="center"/>
    </xf>
    <xf numFmtId="4" fontId="52" fillId="0" borderId="4" xfId="0" applyNumberFormat="1" applyFont="1" applyBorder="1" applyAlignment="1">
      <alignment horizontal="center" vertical="center" wrapText="1"/>
    </xf>
    <xf numFmtId="4" fontId="51" fillId="0" borderId="4" xfId="0" applyNumberFormat="1" applyFont="1" applyBorder="1" applyAlignment="1">
      <alignment horizontal="center" vertical="center" wrapText="1"/>
    </xf>
    <xf numFmtId="181" fontId="87" fillId="14" borderId="5" xfId="2" applyNumberFormat="1" applyFont="1" applyFill="1" applyBorder="1" applyAlignment="1">
      <alignment horizontal="center" vertical="center"/>
    </xf>
    <xf numFmtId="181" fontId="87" fillId="14" borderId="6" xfId="2" applyNumberFormat="1" applyFont="1" applyFill="1" applyBorder="1" applyAlignment="1">
      <alignment horizontal="center" vertical="center"/>
    </xf>
    <xf numFmtId="0" fontId="51" fillId="4" borderId="0" xfId="3" applyFont="1" applyFill="1" applyAlignment="1" applyProtection="1">
      <alignment horizontal="left" vertical="center" wrapText="1"/>
      <protection locked="0"/>
    </xf>
    <xf numFmtId="0" fontId="51" fillId="4" borderId="10" xfId="3" applyFont="1" applyFill="1" applyBorder="1" applyAlignment="1" applyProtection="1">
      <alignment horizontal="left" vertical="center" wrapText="1"/>
      <protection locked="0"/>
    </xf>
    <xf numFmtId="4" fontId="90" fillId="2" borderId="0" xfId="70" applyNumberFormat="1" applyFont="1" applyFill="1" applyAlignment="1" applyProtection="1">
      <alignment horizontal="center" vertical="center" wrapText="1"/>
      <protection locked="0"/>
    </xf>
    <xf numFmtId="4" fontId="52" fillId="0" borderId="4" xfId="3" applyNumberFormat="1" applyFont="1" applyBorder="1" applyAlignment="1" applyProtection="1">
      <alignment horizontal="center" vertical="center" wrapText="1"/>
      <protection locked="0"/>
    </xf>
    <xf numFmtId="4" fontId="50" fillId="24" borderId="76" xfId="0" applyNumberFormat="1" applyFont="1" applyFill="1" applyBorder="1" applyAlignment="1">
      <alignment horizontal="center" vertical="center" wrapText="1"/>
    </xf>
    <xf numFmtId="4" fontId="50" fillId="24" borderId="71" xfId="0" applyNumberFormat="1" applyFont="1" applyFill="1" applyBorder="1" applyAlignment="1">
      <alignment horizontal="center" vertical="center" wrapText="1"/>
    </xf>
    <xf numFmtId="4" fontId="50" fillId="0" borderId="13" xfId="0" applyNumberFormat="1" applyFont="1" applyBorder="1" applyAlignment="1">
      <alignment horizontal="center" vertical="center" wrapText="1"/>
    </xf>
    <xf numFmtId="4" fontId="50" fillId="0" borderId="12" xfId="0" applyNumberFormat="1" applyFont="1" applyBorder="1" applyAlignment="1">
      <alignment horizontal="center" vertical="center" wrapText="1"/>
    </xf>
    <xf numFmtId="177" fontId="60" fillId="14" borderId="5" xfId="2" applyNumberFormat="1" applyFont="1" applyFill="1" applyBorder="1" applyAlignment="1">
      <alignment horizontal="center" vertical="center"/>
    </xf>
    <xf numFmtId="177" fontId="60" fillId="14" borderId="1" xfId="2" applyNumberFormat="1" applyFont="1" applyFill="1" applyBorder="1" applyAlignment="1">
      <alignment horizontal="center" vertical="center"/>
    </xf>
    <xf numFmtId="177" fontId="60" fillId="14" borderId="6" xfId="2" applyNumberFormat="1" applyFont="1" applyFill="1" applyBorder="1" applyAlignment="1">
      <alignment horizontal="center" vertical="center"/>
    </xf>
    <xf numFmtId="4" fontId="50" fillId="0" borderId="5" xfId="0" applyNumberFormat="1" applyFont="1" applyBorder="1" applyAlignment="1">
      <alignment horizontal="center" vertical="center" wrapText="1"/>
    </xf>
    <xf numFmtId="4" fontId="50" fillId="0" borderId="6" xfId="0" applyNumberFormat="1" applyFont="1" applyBorder="1" applyAlignment="1">
      <alignment horizontal="center" vertical="center" wrapText="1"/>
    </xf>
    <xf numFmtId="177" fontId="60" fillId="14" borderId="13" xfId="2" applyNumberFormat="1" applyFont="1" applyFill="1" applyBorder="1" applyAlignment="1">
      <alignment horizontal="center" vertical="center"/>
    </xf>
    <xf numFmtId="177" fontId="60" fillId="14" borderId="4" xfId="2" applyNumberFormat="1" applyFont="1" applyFill="1" applyBorder="1" applyAlignment="1">
      <alignment horizontal="center" vertical="center"/>
    </xf>
    <xf numFmtId="4" fontId="59" fillId="0" borderId="4" xfId="0" applyNumberFormat="1" applyFont="1" applyBorder="1" applyAlignment="1">
      <alignment horizontal="center" vertical="center" wrapText="1"/>
    </xf>
    <xf numFmtId="0" fontId="46" fillId="14" borderId="11" xfId="3" applyFont="1" applyFill="1" applyBorder="1" applyAlignment="1" applyProtection="1">
      <alignment horizontal="center" vertical="center" wrapText="1"/>
      <protection locked="0"/>
    </xf>
    <xf numFmtId="0" fontId="46" fillId="14" borderId="0" xfId="3" applyFont="1" applyFill="1" applyAlignment="1" applyProtection="1">
      <alignment horizontal="center" vertical="center" wrapText="1"/>
      <protection locked="0"/>
    </xf>
    <xf numFmtId="0" fontId="46" fillId="14" borderId="10" xfId="3" applyFont="1" applyFill="1" applyBorder="1" applyAlignment="1" applyProtection="1">
      <alignment horizontal="center" vertical="center" wrapText="1"/>
      <protection locked="0"/>
    </xf>
    <xf numFmtId="4" fontId="52" fillId="0" borderId="3" xfId="3" applyNumberFormat="1" applyFont="1" applyBorder="1" applyAlignment="1" applyProtection="1">
      <alignment horizontal="center" vertical="center" wrapText="1"/>
      <protection locked="0"/>
    </xf>
    <xf numFmtId="4" fontId="52" fillId="0" borderId="2" xfId="3" applyNumberFormat="1" applyFont="1" applyBorder="1" applyAlignment="1" applyProtection="1">
      <alignment horizontal="center" vertical="center" wrapText="1"/>
      <protection locked="0"/>
    </xf>
    <xf numFmtId="4" fontId="52" fillId="0" borderId="14" xfId="3" applyNumberFormat="1" applyFont="1" applyBorder="1" applyAlignment="1" applyProtection="1">
      <alignment horizontal="center" vertical="center" wrapText="1"/>
      <protection locked="0"/>
    </xf>
    <xf numFmtId="4" fontId="52" fillId="0" borderId="15" xfId="3" applyNumberFormat="1" applyFont="1" applyBorder="1" applyAlignment="1" applyProtection="1">
      <alignment horizontal="center" vertical="center" wrapText="1"/>
      <protection locked="0"/>
    </xf>
    <xf numFmtId="4" fontId="52" fillId="0" borderId="13" xfId="3" applyNumberFormat="1" applyFont="1" applyBorder="1" applyAlignment="1" applyProtection="1">
      <alignment horizontal="center" vertical="center" wrapText="1"/>
      <protection locked="0"/>
    </xf>
    <xf numFmtId="4" fontId="52" fillId="0" borderId="12" xfId="3" applyNumberFormat="1" applyFont="1" applyBorder="1" applyAlignment="1" applyProtection="1">
      <alignment horizontal="center" vertical="center" wrapText="1"/>
      <protection locked="0"/>
    </xf>
    <xf numFmtId="4" fontId="50" fillId="17" borderId="28" xfId="0" applyNumberFormat="1" applyFont="1" applyFill="1" applyBorder="1" applyAlignment="1">
      <alignment horizontal="center" vertical="center" wrapText="1"/>
    </xf>
    <xf numFmtId="4" fontId="50" fillId="17" borderId="22" xfId="0" applyNumberFormat="1" applyFont="1" applyFill="1" applyBorder="1" applyAlignment="1">
      <alignment horizontal="center" vertical="center" wrapText="1"/>
    </xf>
    <xf numFmtId="4" fontId="50" fillId="17" borderId="24" xfId="0" applyNumberFormat="1" applyFont="1" applyFill="1" applyBorder="1" applyAlignment="1">
      <alignment horizontal="center" vertical="center" wrapText="1"/>
    </xf>
    <xf numFmtId="175" fontId="50" fillId="17" borderId="28" xfId="0" applyNumberFormat="1" applyFont="1" applyFill="1" applyBorder="1" applyAlignment="1">
      <alignment horizontal="center" vertical="center"/>
    </xf>
    <xf numFmtId="175" fontId="50" fillId="17" borderId="22" xfId="0" applyNumberFormat="1" applyFont="1" applyFill="1" applyBorder="1" applyAlignment="1">
      <alignment horizontal="center" vertical="center"/>
    </xf>
    <xf numFmtId="175" fontId="50" fillId="17" borderId="24" xfId="0" applyNumberFormat="1" applyFont="1" applyFill="1" applyBorder="1" applyAlignment="1">
      <alignment horizontal="center" vertical="center"/>
    </xf>
    <xf numFmtId="4" fontId="50" fillId="17" borderId="21" xfId="0" applyNumberFormat="1" applyFont="1" applyFill="1" applyBorder="1" applyAlignment="1">
      <alignment horizontal="center" vertical="center" wrapText="1"/>
    </xf>
    <xf numFmtId="4" fontId="50" fillId="17" borderId="27" xfId="0" applyNumberFormat="1" applyFont="1" applyFill="1" applyBorder="1" applyAlignment="1">
      <alignment horizontal="center" vertical="center" wrapText="1"/>
    </xf>
    <xf numFmtId="175" fontId="50" fillId="18" borderId="26" xfId="0" applyNumberFormat="1" applyFont="1" applyFill="1" applyBorder="1" applyAlignment="1">
      <alignment horizontal="center" vertical="center"/>
    </xf>
    <xf numFmtId="0" fontId="49" fillId="4" borderId="0" xfId="3" applyFont="1" applyFill="1" applyAlignment="1" applyProtection="1">
      <alignment horizontal="left" vertical="center" wrapText="1"/>
      <protection locked="0"/>
    </xf>
    <xf numFmtId="0" fontId="49" fillId="4" borderId="10" xfId="3" applyFont="1" applyFill="1" applyBorder="1" applyAlignment="1" applyProtection="1">
      <alignment horizontal="left" vertical="center" wrapText="1"/>
      <protection locked="0"/>
    </xf>
    <xf numFmtId="0" fontId="49" fillId="5" borderId="0" xfId="3" applyFont="1" applyFill="1" applyAlignment="1" applyProtection="1">
      <alignment horizontal="left" vertical="center"/>
      <protection locked="0"/>
    </xf>
    <xf numFmtId="0" fontId="49" fillId="5" borderId="10" xfId="3" applyFont="1" applyFill="1" applyBorder="1" applyAlignment="1" applyProtection="1">
      <alignment horizontal="left" vertical="center"/>
      <protection locked="0"/>
    </xf>
    <xf numFmtId="4" fontId="28" fillId="0" borderId="0" xfId="3" applyNumberFormat="1" applyFont="1" applyAlignment="1" applyProtection="1">
      <alignment horizontal="center" vertical="center" wrapText="1"/>
      <protection locked="0"/>
    </xf>
    <xf numFmtId="0" fontId="28" fillId="0" borderId="11" xfId="3" applyFont="1" applyBorder="1" applyAlignment="1" applyProtection="1">
      <alignment horizontal="center" vertical="center" wrapText="1"/>
      <protection locked="0"/>
    </xf>
    <xf numFmtId="0" fontId="28" fillId="0" borderId="66" xfId="3" applyFont="1" applyBorder="1" applyAlignment="1" applyProtection="1">
      <alignment horizontal="center" vertical="center" wrapText="1"/>
      <protection locked="0"/>
    </xf>
    <xf numFmtId="0" fontId="28" fillId="0" borderId="37" xfId="3" applyFont="1" applyBorder="1" applyAlignment="1" applyProtection="1">
      <alignment horizontal="center" vertical="center" wrapText="1"/>
      <protection locked="0"/>
    </xf>
    <xf numFmtId="0" fontId="28" fillId="0" borderId="9" xfId="3" applyFont="1" applyBorder="1" applyAlignment="1" applyProtection="1">
      <alignment horizontal="center" vertical="center" wrapText="1"/>
      <protection locked="0"/>
    </xf>
    <xf numFmtId="0" fontId="28" fillId="0" borderId="84" xfId="3" applyFont="1" applyBorder="1" applyAlignment="1" applyProtection="1">
      <alignment horizontal="center" vertical="center" wrapText="1"/>
      <protection locked="0"/>
    </xf>
    <xf numFmtId="0" fontId="47" fillId="14" borderId="5" xfId="3" applyFont="1" applyFill="1" applyBorder="1" applyAlignment="1">
      <alignment horizontal="left" vertical="center"/>
    </xf>
    <xf numFmtId="0" fontId="47" fillId="14" borderId="1" xfId="3" applyFont="1" applyFill="1" applyBorder="1" applyAlignment="1">
      <alignment horizontal="left" vertical="center"/>
    </xf>
    <xf numFmtId="0" fontId="47" fillId="14" borderId="6" xfId="3" applyFont="1" applyFill="1" applyBorder="1" applyAlignment="1">
      <alignment horizontal="left" vertical="center"/>
    </xf>
    <xf numFmtId="0" fontId="46" fillId="14" borderId="3" xfId="3" applyFont="1" applyFill="1" applyBorder="1" applyAlignment="1">
      <alignment horizontal="left" vertical="center"/>
    </xf>
    <xf numFmtId="0" fontId="46" fillId="14" borderId="8" xfId="3" applyFont="1" applyFill="1" applyBorder="1" applyAlignment="1">
      <alignment horizontal="left" vertical="center"/>
    </xf>
    <xf numFmtId="0" fontId="46" fillId="14" borderId="2" xfId="3" applyFont="1" applyFill="1" applyBorder="1" applyAlignment="1">
      <alignment horizontal="left" vertical="center"/>
    </xf>
    <xf numFmtId="0" fontId="57" fillId="4" borderId="5" xfId="3" applyFont="1" applyFill="1" applyBorder="1" applyAlignment="1" applyProtection="1">
      <alignment horizontal="center" vertical="center" wrapText="1"/>
      <protection locked="0"/>
    </xf>
    <xf numFmtId="0" fontId="57" fillId="4" borderId="1" xfId="3" applyFont="1" applyFill="1" applyBorder="1" applyAlignment="1" applyProtection="1">
      <alignment horizontal="center" vertical="center" wrapText="1"/>
      <protection locked="0"/>
    </xf>
    <xf numFmtId="0" fontId="57" fillId="4" borderId="6" xfId="3" applyFont="1" applyFill="1" applyBorder="1" applyAlignment="1" applyProtection="1">
      <alignment horizontal="center" vertical="center" wrapText="1"/>
      <protection locked="0"/>
    </xf>
    <xf numFmtId="0" fontId="46" fillId="14" borderId="14" xfId="3" applyFont="1" applyFill="1" applyBorder="1" applyAlignment="1">
      <alignment horizontal="left" vertical="center"/>
    </xf>
    <xf numFmtId="0" fontId="46" fillId="14" borderId="9" xfId="3" applyFont="1" applyFill="1" applyBorder="1" applyAlignment="1">
      <alignment horizontal="left" vertical="center"/>
    </xf>
    <xf numFmtId="0" fontId="46" fillId="14" borderId="15" xfId="3" applyFont="1" applyFill="1" applyBorder="1" applyAlignment="1">
      <alignment horizontal="left" vertical="center"/>
    </xf>
    <xf numFmtId="0" fontId="46" fillId="0" borderId="8" xfId="3" applyFont="1" applyBorder="1" applyAlignment="1" applyProtection="1">
      <alignment vertical="center" wrapText="1"/>
      <protection locked="0"/>
    </xf>
    <xf numFmtId="0" fontId="46" fillId="0" borderId="0" xfId="3" applyFont="1" applyAlignment="1" applyProtection="1">
      <alignment horizontal="left" vertical="center" wrapText="1"/>
      <protection locked="0"/>
    </xf>
    <xf numFmtId="4" fontId="52" fillId="15" borderId="5" xfId="8" applyNumberFormat="1" applyFont="1" applyFill="1" applyBorder="1" applyAlignment="1" applyProtection="1">
      <alignment horizontal="center" vertical="center" wrapText="1"/>
      <protection hidden="1"/>
    </xf>
    <xf numFmtId="4" fontId="52" fillId="15" borderId="1" xfId="8" applyNumberFormat="1" applyFont="1" applyFill="1" applyBorder="1" applyAlignment="1" applyProtection="1">
      <alignment horizontal="center" vertical="center" wrapText="1"/>
      <protection hidden="1"/>
    </xf>
    <xf numFmtId="4" fontId="52" fillId="15" borderId="6" xfId="8" applyNumberFormat="1" applyFont="1" applyFill="1" applyBorder="1" applyAlignment="1" applyProtection="1">
      <alignment horizontal="center" vertical="center" wrapText="1"/>
      <protection hidden="1"/>
    </xf>
    <xf numFmtId="0" fontId="47" fillId="4" borderId="0" xfId="3" applyFont="1" applyFill="1" applyAlignment="1" applyProtection="1">
      <alignment horizontal="left" vertical="center"/>
      <protection locked="0"/>
    </xf>
    <xf numFmtId="0" fontId="47" fillId="4" borderId="10" xfId="3" applyFont="1" applyFill="1" applyBorder="1" applyAlignment="1" applyProtection="1">
      <alignment horizontal="left" vertical="center"/>
      <protection locked="0"/>
    </xf>
    <xf numFmtId="0" fontId="46" fillId="0" borderId="11" xfId="3" applyFont="1" applyBorder="1" applyAlignment="1" applyProtection="1">
      <alignment horizontal="center" vertical="center"/>
      <protection locked="0"/>
    </xf>
    <xf numFmtId="0" fontId="46" fillId="0" borderId="0" xfId="3" applyFont="1" applyAlignment="1" applyProtection="1">
      <alignment horizontal="center" vertical="center"/>
      <protection locked="0"/>
    </xf>
    <xf numFmtId="0" fontId="46" fillId="0" borderId="10" xfId="3" applyFont="1" applyBorder="1" applyAlignment="1" applyProtection="1">
      <alignment horizontal="center" vertical="center"/>
      <protection locked="0"/>
    </xf>
    <xf numFmtId="14" fontId="46" fillId="0" borderId="0" xfId="3" applyNumberFormat="1" applyFont="1" applyAlignment="1" applyProtection="1">
      <alignment horizontal="center" vertical="center" wrapText="1"/>
      <protection locked="0"/>
    </xf>
    <xf numFmtId="0" fontId="28" fillId="0" borderId="73" xfId="3" applyFont="1" applyBorder="1" applyAlignment="1" applyProtection="1">
      <alignment horizontal="center" vertical="center" wrapText="1"/>
      <protection locked="0"/>
    </xf>
    <xf numFmtId="0" fontId="28" fillId="0" borderId="74" xfId="3" applyFont="1" applyBorder="1" applyAlignment="1" applyProtection="1">
      <alignment horizontal="center" vertical="center" wrapText="1"/>
      <protection locked="0"/>
    </xf>
    <xf numFmtId="4" fontId="52" fillId="14" borderId="13" xfId="3" applyNumberFormat="1" applyFont="1" applyFill="1" applyBorder="1" applyAlignment="1" applyProtection="1">
      <alignment horizontal="center" vertical="center" wrapText="1"/>
      <protection locked="0"/>
    </xf>
    <xf numFmtId="4" fontId="52" fillId="14" borderId="12" xfId="3" applyNumberFormat="1" applyFont="1" applyFill="1" applyBorder="1" applyAlignment="1" applyProtection="1">
      <alignment horizontal="center" vertical="center" wrapText="1"/>
      <protection locked="0"/>
    </xf>
    <xf numFmtId="181" fontId="60" fillId="14" borderId="5" xfId="2" applyNumberFormat="1" applyFont="1" applyFill="1" applyBorder="1" applyAlignment="1">
      <alignment horizontal="center" vertical="center"/>
    </xf>
    <xf numFmtId="181" fontId="60" fillId="14" borderId="6" xfId="2" applyNumberFormat="1" applyFont="1" applyFill="1" applyBorder="1" applyAlignment="1">
      <alignment horizontal="center" vertical="center"/>
    </xf>
    <xf numFmtId="0" fontId="28" fillId="0" borderId="76" xfId="3" applyFont="1" applyBorder="1" applyAlignment="1" applyProtection="1">
      <alignment horizontal="center" vertical="center" wrapText="1"/>
      <protection locked="0"/>
    </xf>
    <xf numFmtId="0" fontId="28" fillId="0" borderId="85" xfId="3" applyFont="1" applyBorder="1" applyAlignment="1" applyProtection="1">
      <alignment horizontal="center" vertical="center" wrapText="1"/>
      <protection locked="0"/>
    </xf>
    <xf numFmtId="0" fontId="28" fillId="0" borderId="13" xfId="3" applyFont="1" applyBorder="1" applyAlignment="1" applyProtection="1">
      <alignment horizontal="center" vertical="center" wrapText="1"/>
      <protection locked="0"/>
    </xf>
    <xf numFmtId="0" fontId="28" fillId="0" borderId="12" xfId="3" applyFont="1" applyBorder="1" applyAlignment="1" applyProtection="1">
      <alignment horizontal="center" vertical="center" wrapText="1"/>
      <protection locked="0"/>
    </xf>
    <xf numFmtId="4" fontId="28" fillId="0" borderId="13" xfId="3" applyNumberFormat="1" applyFont="1" applyBorder="1" applyAlignment="1" applyProtection="1">
      <alignment horizontal="center" vertical="center" wrapText="1"/>
      <protection locked="0"/>
    </xf>
    <xf numFmtId="4" fontId="28" fillId="0" borderId="12" xfId="3" applyNumberFormat="1" applyFont="1" applyBorder="1" applyAlignment="1" applyProtection="1">
      <alignment horizontal="center" vertical="center" wrapText="1"/>
      <protection locked="0"/>
    </xf>
    <xf numFmtId="4" fontId="28" fillId="0" borderId="67" xfId="3" applyNumberFormat="1" applyFont="1" applyBorder="1" applyAlignment="1" applyProtection="1">
      <alignment horizontal="center" vertical="center" wrapText="1"/>
      <protection locked="0"/>
    </xf>
    <xf numFmtId="4" fontId="28" fillId="0" borderId="68" xfId="3" applyNumberFormat="1" applyFont="1" applyBorder="1" applyAlignment="1" applyProtection="1">
      <alignment horizontal="center" vertical="center" wrapText="1"/>
      <protection locked="0"/>
    </xf>
    <xf numFmtId="4" fontId="28" fillId="0" borderId="69" xfId="3" applyNumberFormat="1" applyFont="1" applyBorder="1" applyAlignment="1" applyProtection="1">
      <alignment horizontal="center" vertical="center" wrapText="1"/>
      <protection locked="0"/>
    </xf>
    <xf numFmtId="0" fontId="40" fillId="13" borderId="14" xfId="3" applyFont="1" applyFill="1" applyBorder="1" applyAlignment="1">
      <alignment horizontal="center" vertical="center"/>
    </xf>
    <xf numFmtId="0" fontId="40" fillId="13" borderId="9" xfId="3" applyFont="1" applyFill="1" applyBorder="1" applyAlignment="1">
      <alignment horizontal="center" vertical="center"/>
    </xf>
    <xf numFmtId="0" fontId="37" fillId="13" borderId="4" xfId="3" applyFont="1" applyFill="1" applyBorder="1" applyAlignment="1">
      <alignment horizontal="center" vertical="center" wrapText="1"/>
    </xf>
    <xf numFmtId="0" fontId="37" fillId="13" borderId="4" xfId="3" applyFont="1" applyFill="1" applyBorder="1" applyAlignment="1">
      <alignment vertical="center" wrapText="1"/>
    </xf>
    <xf numFmtId="0" fontId="29" fillId="13" borderId="5" xfId="3" applyFont="1" applyFill="1" applyBorder="1" applyAlignment="1">
      <alignment horizontal="left" vertical="center"/>
    </xf>
    <xf numFmtId="0" fontId="29" fillId="13" borderId="1" xfId="3" applyFont="1" applyFill="1" applyBorder="1" applyAlignment="1">
      <alignment horizontal="left" vertical="center"/>
    </xf>
    <xf numFmtId="0" fontId="29" fillId="13" borderId="6" xfId="3" applyFont="1" applyFill="1" applyBorder="1" applyAlignment="1">
      <alignment horizontal="left" vertical="center"/>
    </xf>
    <xf numFmtId="0" fontId="28" fillId="13" borderId="3" xfId="3" applyFont="1" applyFill="1" applyBorder="1" applyAlignment="1">
      <alignment horizontal="left" vertical="center"/>
    </xf>
    <xf numFmtId="0" fontId="28" fillId="13" borderId="8" xfId="3" applyFont="1" applyFill="1" applyBorder="1" applyAlignment="1">
      <alignment horizontal="left" vertical="center"/>
    </xf>
    <xf numFmtId="0" fontId="28" fillId="13" borderId="2" xfId="3" applyFont="1" applyFill="1" applyBorder="1" applyAlignment="1">
      <alignment horizontal="left" vertical="center"/>
    </xf>
    <xf numFmtId="0" fontId="28" fillId="13" borderId="14" xfId="3" applyFont="1" applyFill="1" applyBorder="1" applyAlignment="1">
      <alignment horizontal="left" vertical="center" wrapText="1"/>
    </xf>
    <xf numFmtId="0" fontId="28" fillId="13" borderId="9" xfId="3" applyFont="1" applyFill="1" applyBorder="1" applyAlignment="1">
      <alignment horizontal="left" vertical="center" wrapText="1"/>
    </xf>
    <xf numFmtId="0" fontId="28" fillId="13" borderId="15" xfId="3" applyFont="1" applyFill="1" applyBorder="1" applyAlignment="1">
      <alignment horizontal="left" vertical="center" wrapText="1"/>
    </xf>
    <xf numFmtId="0" fontId="37" fillId="13" borderId="8" xfId="3" applyFont="1" applyFill="1" applyBorder="1" applyAlignment="1">
      <alignment horizontal="center" wrapText="1"/>
    </xf>
    <xf numFmtId="0" fontId="37" fillId="13" borderId="2" xfId="3" applyFont="1" applyFill="1" applyBorder="1" applyAlignment="1">
      <alignment horizontal="center" wrapText="1"/>
    </xf>
    <xf numFmtId="0" fontId="37" fillId="13" borderId="0" xfId="3" applyFont="1" applyFill="1" applyAlignment="1">
      <alignment horizontal="center" wrapText="1"/>
    </xf>
    <xf numFmtId="0" fontId="37" fillId="13" borderId="10" xfId="3" applyFont="1" applyFill="1" applyBorder="1" applyAlignment="1">
      <alignment horizontal="center" wrapText="1"/>
    </xf>
    <xf numFmtId="0" fontId="37" fillId="13" borderId="9" xfId="3" applyFont="1" applyFill="1" applyBorder="1" applyAlignment="1">
      <alignment horizontal="center" wrapText="1"/>
    </xf>
    <xf numFmtId="0" fontId="37" fillId="13" borderId="15" xfId="3" applyFont="1" applyFill="1" applyBorder="1" applyAlignment="1">
      <alignment horizontal="center" wrapText="1"/>
    </xf>
    <xf numFmtId="174" fontId="29" fillId="13" borderId="4" xfId="3" applyNumberFormat="1" applyFont="1" applyFill="1" applyBorder="1" applyAlignment="1">
      <alignment horizontal="center" vertical="center"/>
    </xf>
    <xf numFmtId="0" fontId="37" fillId="13" borderId="13" xfId="3" applyFont="1" applyFill="1" applyBorder="1" applyAlignment="1">
      <alignment horizontal="center" vertical="center" wrapText="1"/>
    </xf>
    <xf numFmtId="0" fontId="37" fillId="13" borderId="12" xfId="3" applyFont="1" applyFill="1" applyBorder="1" applyAlignment="1">
      <alignment horizontal="center" vertical="center" wrapText="1"/>
    </xf>
    <xf numFmtId="0" fontId="29" fillId="13" borderId="8" xfId="3" applyFont="1" applyFill="1" applyBorder="1" applyAlignment="1">
      <alignment horizontal="left" vertical="center" wrapText="1"/>
    </xf>
    <xf numFmtId="0" fontId="29" fillId="13" borderId="9" xfId="3" applyFont="1" applyFill="1" applyBorder="1" applyAlignment="1">
      <alignment horizontal="left" vertical="center" wrapText="1"/>
    </xf>
    <xf numFmtId="0" fontId="80" fillId="25" borderId="5" xfId="67" applyFont="1" applyFill="1" applyBorder="1" applyAlignment="1">
      <alignment horizontal="center" vertical="center"/>
    </xf>
    <xf numFmtId="0" fontId="80" fillId="25" borderId="1" xfId="67" applyFont="1" applyFill="1" applyBorder="1" applyAlignment="1">
      <alignment horizontal="center" vertical="center"/>
    </xf>
    <xf numFmtId="0" fontId="80" fillId="25" borderId="6" xfId="67" applyFont="1" applyFill="1" applyBorder="1" applyAlignment="1">
      <alignment horizontal="center" vertical="center"/>
    </xf>
    <xf numFmtId="0" fontId="78" fillId="14" borderId="79" xfId="67" applyFont="1" applyFill="1" applyBorder="1" applyAlignment="1">
      <alignment horizontal="left" vertical="center"/>
    </xf>
    <xf numFmtId="0" fontId="78" fillId="14" borderId="80" xfId="67" applyFont="1" applyFill="1" applyBorder="1" applyAlignment="1">
      <alignment horizontal="left" vertical="center"/>
    </xf>
    <xf numFmtId="0" fontId="78" fillId="14" borderId="81" xfId="67" applyFont="1" applyFill="1" applyBorder="1" applyAlignment="1">
      <alignment horizontal="left" vertical="center"/>
    </xf>
    <xf numFmtId="0" fontId="78" fillId="14" borderId="33" xfId="67" applyFont="1" applyFill="1" applyBorder="1" applyAlignment="1">
      <alignment horizontal="left" vertical="center"/>
    </xf>
    <xf numFmtId="0" fontId="78" fillId="14" borderId="4" xfId="67" applyFont="1" applyFill="1" applyBorder="1" applyAlignment="1">
      <alignment horizontal="left" vertical="center"/>
    </xf>
    <xf numFmtId="0" fontId="78" fillId="14" borderId="34" xfId="67" applyFont="1" applyFill="1" applyBorder="1" applyAlignment="1">
      <alignment horizontal="left" vertical="center"/>
    </xf>
    <xf numFmtId="0" fontId="78" fillId="14" borderId="82" xfId="67" applyFont="1" applyFill="1" applyBorder="1" applyAlignment="1">
      <alignment horizontal="left" vertical="center" wrapText="1"/>
    </xf>
    <xf numFmtId="0" fontId="78" fillId="14" borderId="83" xfId="67" applyFont="1" applyFill="1" applyBorder="1" applyAlignment="1">
      <alignment horizontal="left" vertical="center" wrapText="1"/>
    </xf>
    <xf numFmtId="0" fontId="78" fillId="14" borderId="70" xfId="67" applyFont="1" applyFill="1" applyBorder="1" applyAlignment="1">
      <alignment horizontal="left" vertical="center" wrapText="1"/>
    </xf>
    <xf numFmtId="0" fontId="76" fillId="0" borderId="35" xfId="67" applyFont="1" applyBorder="1" applyAlignment="1">
      <alignment horizontal="center"/>
    </xf>
    <xf numFmtId="0" fontId="76" fillId="0" borderId="71" xfId="67" applyFont="1" applyBorder="1" applyAlignment="1">
      <alignment horizontal="center"/>
    </xf>
    <xf numFmtId="0" fontId="76" fillId="0" borderId="72" xfId="67" applyFont="1" applyBorder="1" applyAlignment="1">
      <alignment horizontal="center"/>
    </xf>
    <xf numFmtId="0" fontId="80" fillId="25" borderId="14" xfId="67" applyFont="1" applyFill="1" applyBorder="1" applyAlignment="1">
      <alignment horizontal="center" vertical="center"/>
    </xf>
    <xf numFmtId="0" fontId="80" fillId="25" borderId="9" xfId="67" applyFont="1" applyFill="1" applyBorder="1" applyAlignment="1">
      <alignment horizontal="center" vertical="center"/>
    </xf>
    <xf numFmtId="0" fontId="80" fillId="25" borderId="15" xfId="67" applyFont="1" applyFill="1" applyBorder="1" applyAlignment="1">
      <alignment horizontal="center" vertical="center"/>
    </xf>
    <xf numFmtId="0" fontId="29" fillId="0" borderId="8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4" fillId="21" borderId="21" xfId="67" applyFont="1" applyFill="1" applyBorder="1" applyAlignment="1">
      <alignment horizontal="justify" vertical="center" wrapText="1"/>
    </xf>
    <xf numFmtId="0" fontId="4" fillId="21" borderId="43" xfId="67" applyFont="1" applyFill="1" applyBorder="1" applyAlignment="1">
      <alignment horizontal="justify" vertical="center" wrapText="1"/>
    </xf>
    <xf numFmtId="0" fontId="4" fillId="21" borderId="57" xfId="67" applyFont="1" applyFill="1" applyBorder="1" applyAlignment="1">
      <alignment horizontal="justify" vertical="center" wrapText="1"/>
    </xf>
    <xf numFmtId="0" fontId="45" fillId="19" borderId="21" xfId="67" applyFont="1" applyFill="1" applyBorder="1" applyAlignment="1">
      <alignment horizontal="center" vertical="center"/>
    </xf>
    <xf numFmtId="0" fontId="45" fillId="19" borderId="43" xfId="67" applyFont="1" applyFill="1" applyBorder="1" applyAlignment="1">
      <alignment horizontal="center" vertical="center"/>
    </xf>
    <xf numFmtId="0" fontId="45" fillId="19" borderId="57" xfId="67" applyFont="1" applyFill="1" applyBorder="1" applyAlignment="1">
      <alignment horizontal="center" vertical="center"/>
    </xf>
    <xf numFmtId="0" fontId="28" fillId="0" borderId="46" xfId="0" applyFont="1" applyBorder="1" applyAlignment="1">
      <alignment horizontal="center"/>
    </xf>
    <xf numFmtId="0" fontId="4" fillId="0" borderId="21" xfId="67" applyFont="1" applyBorder="1" applyAlignment="1">
      <alignment horizontal="left" vertical="center"/>
    </xf>
    <xf numFmtId="0" fontId="4" fillId="0" borderId="43" xfId="67" applyFont="1" applyBorder="1" applyAlignment="1">
      <alignment horizontal="left" vertical="center"/>
    </xf>
    <xf numFmtId="0" fontId="4" fillId="0" borderId="57" xfId="67" applyFont="1" applyBorder="1" applyAlignment="1">
      <alignment horizontal="left" vertical="center"/>
    </xf>
    <xf numFmtId="0" fontId="45" fillId="0" borderId="44" xfId="67" applyFont="1" applyBorder="1" applyAlignment="1">
      <alignment horizontal="center" vertical="center"/>
    </xf>
    <xf numFmtId="0" fontId="45" fillId="0" borderId="58" xfId="67" applyFont="1" applyBorder="1" applyAlignment="1">
      <alignment horizontal="center" vertical="center"/>
    </xf>
    <xf numFmtId="0" fontId="45" fillId="0" borderId="45" xfId="67" applyFont="1" applyBorder="1" applyAlignment="1">
      <alignment horizontal="center" vertical="center"/>
    </xf>
    <xf numFmtId="0" fontId="45" fillId="0" borderId="61" xfId="67" applyFont="1" applyBorder="1" applyAlignment="1">
      <alignment horizontal="center" vertical="center"/>
    </xf>
    <xf numFmtId="0" fontId="71" fillId="19" borderId="44" xfId="67" applyFont="1" applyFill="1" applyBorder="1" applyAlignment="1">
      <alignment horizontal="center" vertical="center"/>
    </xf>
    <xf numFmtId="0" fontId="71" fillId="19" borderId="59" xfId="67" applyFont="1" applyFill="1" applyBorder="1" applyAlignment="1">
      <alignment horizontal="center" vertical="center"/>
    </xf>
    <xf numFmtId="0" fontId="71" fillId="19" borderId="60" xfId="67" applyFont="1" applyFill="1" applyBorder="1" applyAlignment="1">
      <alignment horizontal="center" vertical="center"/>
    </xf>
    <xf numFmtId="0" fontId="45" fillId="19" borderId="45" xfId="67" applyFont="1" applyFill="1" applyBorder="1" applyAlignment="1">
      <alignment horizontal="center" vertical="center"/>
    </xf>
    <xf numFmtId="0" fontId="45" fillId="19" borderId="62" xfId="67" applyFont="1" applyFill="1" applyBorder="1" applyAlignment="1">
      <alignment horizontal="center" vertical="center"/>
    </xf>
    <xf numFmtId="0" fontId="45" fillId="19" borderId="63" xfId="67" applyFont="1" applyFill="1" applyBorder="1" applyAlignment="1">
      <alignment horizontal="center" vertical="center"/>
    </xf>
    <xf numFmtId="0" fontId="4" fillId="0" borderId="21" xfId="67" applyFont="1" applyBorder="1" applyAlignment="1">
      <alignment horizontal="right" vertical="center"/>
    </xf>
    <xf numFmtId="0" fontId="4" fillId="0" borderId="53" xfId="67" applyFont="1" applyBorder="1" applyAlignment="1">
      <alignment horizontal="right" vertical="center"/>
    </xf>
    <xf numFmtId="188" fontId="45" fillId="0" borderId="52" xfId="7" applyNumberFormat="1" applyFont="1" applyFill="1" applyBorder="1" applyAlignment="1">
      <alignment horizontal="center" vertical="center"/>
    </xf>
    <xf numFmtId="188" fontId="45" fillId="0" borderId="54" xfId="7" applyNumberFormat="1" applyFont="1" applyFill="1" applyBorder="1" applyAlignment="1">
      <alignment horizontal="center" vertical="center"/>
    </xf>
    <xf numFmtId="188" fontId="45" fillId="0" borderId="55" xfId="7" applyNumberFormat="1" applyFont="1" applyFill="1" applyBorder="1" applyAlignment="1">
      <alignment horizontal="center" vertical="center"/>
    </xf>
    <xf numFmtId="10" fontId="45" fillId="21" borderId="44" xfId="7" applyNumberFormat="1" applyFont="1" applyFill="1" applyBorder="1" applyAlignment="1">
      <alignment horizontal="center" vertical="center"/>
    </xf>
    <xf numFmtId="10" fontId="45" fillId="21" borderId="58" xfId="7" applyNumberFormat="1" applyFont="1" applyFill="1" applyBorder="1" applyAlignment="1">
      <alignment horizontal="center" vertical="center"/>
    </xf>
    <xf numFmtId="10" fontId="45" fillId="21" borderId="45" xfId="7" applyNumberFormat="1" applyFont="1" applyFill="1" applyBorder="1" applyAlignment="1">
      <alignment horizontal="center" vertical="center"/>
    </xf>
    <xf numFmtId="10" fontId="45" fillId="21" borderId="61" xfId="7" applyNumberFormat="1" applyFont="1" applyFill="1" applyBorder="1" applyAlignment="1">
      <alignment horizontal="center" vertical="center"/>
    </xf>
    <xf numFmtId="10" fontId="45" fillId="21" borderId="51" xfId="7" applyNumberFormat="1" applyFont="1" applyFill="1" applyBorder="1" applyAlignment="1">
      <alignment horizontal="center" vertical="center"/>
    </xf>
    <xf numFmtId="10" fontId="45" fillId="21" borderId="64" xfId="7" applyNumberFormat="1" applyFont="1" applyFill="1" applyBorder="1" applyAlignment="1">
      <alignment horizontal="center" vertical="center"/>
    </xf>
    <xf numFmtId="10" fontId="45" fillId="21" borderId="65" xfId="7" applyNumberFormat="1" applyFont="1" applyFill="1" applyBorder="1" applyAlignment="1">
      <alignment horizontal="center" vertical="center"/>
    </xf>
    <xf numFmtId="0" fontId="69" fillId="19" borderId="21" xfId="67" applyFont="1" applyFill="1" applyBorder="1" applyAlignment="1">
      <alignment horizontal="center" vertical="center" wrapText="1"/>
    </xf>
    <xf numFmtId="0" fontId="69" fillId="19" borderId="43" xfId="67" applyFont="1" applyFill="1" applyBorder="1" applyAlignment="1">
      <alignment horizontal="center" vertical="center" wrapText="1"/>
    </xf>
    <xf numFmtId="0" fontId="69" fillId="19" borderId="49" xfId="67" applyFont="1" applyFill="1" applyBorder="1" applyAlignment="1">
      <alignment horizontal="center" vertical="center" wrapText="1"/>
    </xf>
    <xf numFmtId="0" fontId="72" fillId="20" borderId="50" xfId="67" applyFont="1" applyFill="1" applyBorder="1" applyAlignment="1">
      <alignment horizontal="center" vertical="center" wrapText="1"/>
    </xf>
    <xf numFmtId="0" fontId="72" fillId="20" borderId="51" xfId="67" applyFont="1" applyFill="1" applyBorder="1" applyAlignment="1">
      <alignment horizontal="center" vertical="center" wrapText="1"/>
    </xf>
    <xf numFmtId="0" fontId="72" fillId="20" borderId="51" xfId="67" applyFont="1" applyFill="1" applyBorder="1" applyAlignment="1">
      <alignment horizontal="center" vertical="center"/>
    </xf>
    <xf numFmtId="0" fontId="72" fillId="20" borderId="52" xfId="67" applyFont="1" applyFill="1" applyBorder="1" applyAlignment="1">
      <alignment horizontal="center" vertical="center" wrapText="1"/>
    </xf>
    <xf numFmtId="0" fontId="72" fillId="20" borderId="54" xfId="67" applyFont="1" applyFill="1" applyBorder="1" applyAlignment="1">
      <alignment horizontal="center" vertical="center" wrapText="1"/>
    </xf>
    <xf numFmtId="0" fontId="72" fillId="20" borderId="55" xfId="67" applyFont="1" applyFill="1" applyBorder="1" applyAlignment="1">
      <alignment horizontal="center" vertical="center" wrapText="1"/>
    </xf>
    <xf numFmtId="0" fontId="72" fillId="20" borderId="21" xfId="67" applyFont="1" applyFill="1" applyBorder="1" applyAlignment="1">
      <alignment horizontal="center" vertical="center"/>
    </xf>
    <xf numFmtId="0" fontId="72" fillId="20" borderId="43" xfId="67" applyFont="1" applyFill="1" applyBorder="1" applyAlignment="1">
      <alignment horizontal="center" vertical="center"/>
    </xf>
    <xf numFmtId="0" fontId="72" fillId="20" borderId="53" xfId="67" applyFont="1" applyFill="1" applyBorder="1" applyAlignment="1">
      <alignment horizontal="center" vertical="center"/>
    </xf>
  </cellXfs>
  <cellStyles count="71">
    <cellStyle name="60% - Accent1" xfId="10" xr:uid="{00000000-0005-0000-0000-000000000000}"/>
    <cellStyle name="Accent1" xfId="11" xr:uid="{00000000-0005-0000-0000-000001000000}"/>
    <cellStyle name="Check Cell" xfId="12" xr:uid="{00000000-0005-0000-0000-000002000000}"/>
    <cellStyle name="Data" xfId="13" xr:uid="{00000000-0005-0000-0000-000003000000}"/>
    <cellStyle name="Euro" xfId="14" xr:uid="{00000000-0005-0000-0000-000004000000}"/>
    <cellStyle name="Excel Built-in Normal" xfId="15" xr:uid="{00000000-0005-0000-0000-000005000000}"/>
    <cellStyle name="Excel Built-in Normal 1" xfId="16" xr:uid="{00000000-0005-0000-0000-000006000000}"/>
    <cellStyle name="Excel_BuiltIn_Comma" xfId="17" xr:uid="{00000000-0005-0000-0000-000007000000}"/>
    <cellStyle name="Fixo" xfId="18" xr:uid="{00000000-0005-0000-0000-000008000000}"/>
    <cellStyle name="Good" xfId="19" xr:uid="{00000000-0005-0000-0000-000009000000}"/>
    <cellStyle name="HEADER" xfId="20" xr:uid="{00000000-0005-0000-0000-00000A000000}"/>
    <cellStyle name="Input" xfId="21" xr:uid="{00000000-0005-0000-0000-00000B000000}"/>
    <cellStyle name="Linked Cell" xfId="22" xr:uid="{00000000-0005-0000-0000-00000C000000}"/>
    <cellStyle name="Milliers [0]_after_discount" xfId="23" xr:uid="{00000000-0005-0000-0000-00000D000000}"/>
    <cellStyle name="Milliers_after_discount" xfId="24" xr:uid="{00000000-0005-0000-0000-00000E000000}"/>
    <cellStyle name="Model" xfId="25" xr:uid="{00000000-0005-0000-0000-00000F000000}"/>
    <cellStyle name="Moeda" xfId="66" builtinId="4"/>
    <cellStyle name="Moeda 2" xfId="26" xr:uid="{00000000-0005-0000-0000-000011000000}"/>
    <cellStyle name="Moeda 3" xfId="27" xr:uid="{00000000-0005-0000-0000-000012000000}"/>
    <cellStyle name="Monétaire [0]_after_discount" xfId="28" xr:uid="{00000000-0005-0000-0000-000013000000}"/>
    <cellStyle name="Monétaire_after_discount" xfId="29" xr:uid="{00000000-0005-0000-0000-000014000000}"/>
    <cellStyle name="Neutral" xfId="30" xr:uid="{00000000-0005-0000-0000-000015000000}"/>
    <cellStyle name="Normal" xfId="0" builtinId="0"/>
    <cellStyle name="Normal 10" xfId="67" xr:uid="{00000000-0005-0000-0000-000017000000}"/>
    <cellStyle name="Normal 2" xfId="3" xr:uid="{00000000-0005-0000-0000-000018000000}"/>
    <cellStyle name="Normal 2 2" xfId="31" xr:uid="{00000000-0005-0000-0000-000019000000}"/>
    <cellStyle name="Normal 2 2 2" xfId="64" xr:uid="{00000000-0005-0000-0000-00001A000000}"/>
    <cellStyle name="Normal 2 3" xfId="63" xr:uid="{00000000-0005-0000-0000-00001B000000}"/>
    <cellStyle name="Normal 2 4" xfId="68" xr:uid="{00000000-0005-0000-0000-00001C000000}"/>
    <cellStyle name="Normal 2 5" xfId="70" xr:uid="{A70928E8-5120-479B-A83B-735F08FC1CB9}"/>
    <cellStyle name="Normal 3" xfId="32" xr:uid="{00000000-0005-0000-0000-00001D000000}"/>
    <cellStyle name="Normal 4" xfId="33" xr:uid="{00000000-0005-0000-0000-00001E000000}"/>
    <cellStyle name="Normal_orç águaFAlameidaII " xfId="6" xr:uid="{00000000-0005-0000-0000-00001F000000}"/>
    <cellStyle name="Note" xfId="34" xr:uid="{00000000-0005-0000-0000-000020000000}"/>
    <cellStyle name="Œ…‹æØ‚è [0.00]_COST_SUM" xfId="35" xr:uid="{00000000-0005-0000-0000-000021000000}"/>
    <cellStyle name="Œ…‹æØ‚è_COST_SUM" xfId="36" xr:uid="{00000000-0005-0000-0000-000022000000}"/>
    <cellStyle name="Percentual" xfId="37" xr:uid="{00000000-0005-0000-0000-000023000000}"/>
    <cellStyle name="Ponto" xfId="38" xr:uid="{00000000-0005-0000-0000-000024000000}"/>
    <cellStyle name="Porcentagem" xfId="1" builtinId="5"/>
    <cellStyle name="Porcentagem 2" xfId="39" xr:uid="{00000000-0005-0000-0000-000026000000}"/>
    <cellStyle name="Porcentagem 2 2" xfId="7" xr:uid="{00000000-0005-0000-0000-000027000000}"/>
    <cellStyle name="Porcentagem 3" xfId="40" xr:uid="{00000000-0005-0000-0000-000028000000}"/>
    <cellStyle name="Porcentagem 3 2" xfId="41" xr:uid="{00000000-0005-0000-0000-000029000000}"/>
    <cellStyle name="Porcentagem 4" xfId="42" xr:uid="{00000000-0005-0000-0000-00002A000000}"/>
    <cellStyle name="Porcentagem 5" xfId="43" xr:uid="{00000000-0005-0000-0000-00002B000000}"/>
    <cellStyle name="Separador de m" xfId="44" xr:uid="{00000000-0005-0000-0000-00002C000000}"/>
    <cellStyle name="Separador de milhares 2" xfId="5" xr:uid="{00000000-0005-0000-0000-00002D000000}"/>
    <cellStyle name="Separador de milhares 2 2" xfId="9" xr:uid="{00000000-0005-0000-0000-00002E000000}"/>
    <cellStyle name="Separador de milhares 3" xfId="8" xr:uid="{00000000-0005-0000-0000-00002F000000}"/>
    <cellStyle name="Separador de milhares 3 2" xfId="45" xr:uid="{00000000-0005-0000-0000-000030000000}"/>
    <cellStyle name="Separador de milhares 4" xfId="46" xr:uid="{00000000-0005-0000-0000-000031000000}"/>
    <cellStyle name="Separador de milhares 5" xfId="47" xr:uid="{00000000-0005-0000-0000-000032000000}"/>
    <cellStyle name="Separador de milhares 6" xfId="48" xr:uid="{00000000-0005-0000-0000-000033000000}"/>
    <cellStyle name="Separador de milhares 6 2" xfId="49" xr:uid="{00000000-0005-0000-0000-000034000000}"/>
    <cellStyle name="Separador de milhares 7" xfId="50" xr:uid="{00000000-0005-0000-0000-000035000000}"/>
    <cellStyle name="Separador de milhares_Modelo Orçamento" xfId="4" xr:uid="{00000000-0005-0000-0000-000036000000}"/>
    <cellStyle name="subhead" xfId="51" xr:uid="{00000000-0005-0000-0000-000037000000}"/>
    <cellStyle name="SUBTIT" xfId="52" xr:uid="{00000000-0005-0000-0000-000038000000}"/>
    <cellStyle name="SUBTIT 2" xfId="53" xr:uid="{00000000-0005-0000-0000-000039000000}"/>
    <cellStyle name="Título 1 1" xfId="54" xr:uid="{00000000-0005-0000-0000-00003A000000}"/>
    <cellStyle name="Titulo1" xfId="55" xr:uid="{00000000-0005-0000-0000-00003B000000}"/>
    <cellStyle name="Titulo2" xfId="56" xr:uid="{00000000-0005-0000-0000-00003C000000}"/>
    <cellStyle name="Vírgula" xfId="2" builtinId="3"/>
    <cellStyle name="Vírgula 2" xfId="57" xr:uid="{00000000-0005-0000-0000-00003E000000}"/>
    <cellStyle name="Vírgula 2 2" xfId="58" xr:uid="{00000000-0005-0000-0000-00003F000000}"/>
    <cellStyle name="Vírgula 2 2 2" xfId="69" xr:uid="{00000000-0005-0000-0000-000040000000}"/>
    <cellStyle name="Vírgula 3" xfId="59" xr:uid="{00000000-0005-0000-0000-000041000000}"/>
    <cellStyle name="Vírgula 4" xfId="60" xr:uid="{00000000-0005-0000-0000-000042000000}"/>
    <cellStyle name="Vírgula 5" xfId="61" xr:uid="{00000000-0005-0000-0000-000043000000}"/>
    <cellStyle name="Vírgula 6" xfId="65" xr:uid="{00000000-0005-0000-0000-000044000000}"/>
    <cellStyle name="Warning Text" xfId="62" xr:uid="{00000000-0005-0000-0000-000045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563217</xdr:colOff>
      <xdr:row>0</xdr:row>
      <xdr:rowOff>0</xdr:rowOff>
    </xdr:from>
    <xdr:to>
      <xdr:col>3</xdr:col>
      <xdr:colOff>1876425</xdr:colOff>
      <xdr:row>0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25167" y="109743"/>
          <a:ext cx="2741958" cy="668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50" b="1" i="0" u="none" strike="noStrike" baseline="0">
              <a:solidFill>
                <a:srgbClr val="000000"/>
              </a:solidFill>
              <a:latin typeface="Aharoni"/>
              <a:cs typeface="Arial"/>
            </a:rPr>
            <a:t>ESTADO DE MINAS GERAIS</a:t>
          </a:r>
        </a:p>
        <a:p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Aharoni"/>
              <a:cs typeface="Arial"/>
            </a:rPr>
            <a:t>Secretaria de Etado de Infraestrutura e Mobilidade</a:t>
          </a:r>
        </a:p>
        <a:p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Aharoni"/>
              <a:cs typeface="Arial"/>
            </a:rPr>
            <a:t>Subsecretaria de Infraestrutura</a:t>
          </a:r>
        </a:p>
        <a:p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Aharoni"/>
              <a:cs typeface="Arial"/>
            </a:rPr>
            <a:t>Superintendência de Obras Públicas</a:t>
          </a:r>
        </a:p>
        <a:p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Aharoni"/>
              <a:cs typeface="Arial"/>
            </a:rPr>
            <a:t>Diretoria de Engenharia e Qualidade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971774</xdr:colOff>
      <xdr:row>176</xdr:row>
      <xdr:rowOff>989</xdr:rowOff>
    </xdr:from>
    <xdr:to>
      <xdr:col>11</xdr:col>
      <xdr:colOff>1239482</xdr:colOff>
      <xdr:row>178</xdr:row>
      <xdr:rowOff>1113863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5354" y="18220409"/>
          <a:ext cx="7032363" cy="3467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144780</xdr:colOff>
      <xdr:row>196</xdr:row>
      <xdr:rowOff>106134</xdr:rowOff>
    </xdr:from>
    <xdr:to>
      <xdr:col>11</xdr:col>
      <xdr:colOff>421005</xdr:colOff>
      <xdr:row>198</xdr:row>
      <xdr:rowOff>1508760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6E64C63-37BB-6C78-B51C-EB89AC3FC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780" y="26433234"/>
          <a:ext cx="5966460" cy="3018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396240</xdr:colOff>
      <xdr:row>164</xdr:row>
      <xdr:rowOff>52234</xdr:rowOff>
    </xdr:from>
    <xdr:to>
      <xdr:col>11</xdr:col>
      <xdr:colOff>1722120</xdr:colOff>
      <xdr:row>166</xdr:row>
      <xdr:rowOff>731519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3DE80BA-92D0-6023-EE59-EF3A11044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220" y="13051954"/>
          <a:ext cx="5699760" cy="288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7/PMBF/CAL&#199;AMENTO%20SANTA%20TEREZINHA/PLANILHA%20M&#218;LTIPLA%202.3_BIAS%20FORTES_REV%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Meus%20documentos\Planilhas\OR&#199;AMENTO%202.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neDrive\NOTEBOOK%20DELL\HD%20DO%20NOTEBOOK\HD%20EXTERNO%202022\2023\PM%20BOM%20JARDIM\CAL&#199;AMENTO%20ESTADUAL%20BAIRRO%20SIDNEY%20%20MARQUES\PLANILHA%20BAIRRO%20SIDNEY%20MARQUES_REV%20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al"/>
      <sheetName val="Novo!"/>
      <sheetName val="Dados"/>
      <sheetName val="BDI"/>
      <sheetName val="Orçamento"/>
      <sheetName val="Memória"/>
      <sheetName val="Comp"/>
      <sheetName val="Cot"/>
      <sheetName val="CronoFF"/>
      <sheetName val="QCI"/>
      <sheetName val="Memorial Descritivo"/>
      <sheetName val="Licitação"/>
      <sheetName val="CronoFF-L"/>
      <sheetName val="QCI-L"/>
      <sheetName val="BM"/>
      <sheetName val="RRE"/>
      <sheetName val="OFÍCIO"/>
      <sheetName val="CC"/>
    </sheetNames>
    <sheetDataSet>
      <sheetData sheetId="0"/>
      <sheetData sheetId="1"/>
      <sheetData sheetId="2">
        <row r="29">
          <cell r="G29">
            <v>42826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."/>
      <sheetName val="ORÇAMENTO"/>
      <sheetName val="CONCRETO FUNDAÇÃO"/>
      <sheetName val="CONCRETO ESTRUTURA"/>
      <sheetName val="PARETO  |  ABC"/>
      <sheetName val="GRÁFICO"/>
    </sheetNames>
    <sheetDataSet>
      <sheetData sheetId="0">
        <row r="8">
          <cell r="G8">
            <v>2.89</v>
          </cell>
        </row>
        <row r="11">
          <cell r="B11" t="str">
            <v xml:space="preserve">  Pedreiro de acabamento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Orcamentária"/>
      <sheetName val="BDI"/>
      <sheetName val="Memória de Cálculo"/>
      <sheetName val="Composição 1"/>
      <sheetName val="Cronograma"/>
    </sheetNames>
    <sheetDataSet>
      <sheetData sheetId="0">
        <row r="36">
          <cell r="B36" t="str">
            <v>Priscila Cristina de Paula</v>
          </cell>
          <cell r="E36" t="str">
            <v>CREA-MG Nº: 142.702/D</v>
          </cell>
        </row>
        <row r="38">
          <cell r="B38" t="str">
            <v>Engenheira Civil</v>
          </cell>
        </row>
        <row r="41">
          <cell r="B41" t="str">
            <v>José Francisco Matos e Silva</v>
          </cell>
        </row>
        <row r="42">
          <cell r="B42" t="str">
            <v>Prefeito Municipal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showGridLines="0" showZeros="0" tabSelected="1" view="pageBreakPreview" topLeftCell="A31" zoomScaleSheetLayoutView="100" workbookViewId="0">
      <selection activeCell="D73" sqref="D73"/>
    </sheetView>
  </sheetViews>
  <sheetFormatPr defaultColWidth="9.109375" defaultRowHeight="13.2"/>
  <cols>
    <col min="1" max="1" width="5.44140625" style="1" bestFit="1" customWidth="1"/>
    <col min="2" max="2" width="9.5546875" style="1" customWidth="1"/>
    <col min="3" max="3" width="10.6640625" style="1" bestFit="1" customWidth="1"/>
    <col min="4" max="4" width="103.77734375" style="1" customWidth="1"/>
    <col min="5" max="5" width="9.109375" style="1"/>
    <col min="6" max="6" width="10.6640625" style="1" customWidth="1"/>
    <col min="7" max="7" width="13.109375" style="3" bestFit="1" customWidth="1"/>
    <col min="8" max="8" width="13" style="1" customWidth="1"/>
    <col min="9" max="9" width="16.44140625" style="1" customWidth="1"/>
    <col min="10" max="16384" width="9.109375" style="1"/>
  </cols>
  <sheetData>
    <row r="1" spans="1:9" s="2" customFormat="1" ht="20.100000000000001" customHeight="1">
      <c r="A1" s="343" t="s">
        <v>31</v>
      </c>
      <c r="B1" s="344"/>
      <c r="C1" s="345"/>
      <c r="D1" s="345"/>
      <c r="E1" s="345"/>
      <c r="F1" s="345"/>
      <c r="G1" s="345"/>
      <c r="H1" s="345"/>
      <c r="I1" s="346"/>
    </row>
    <row r="2" spans="1:9" s="2" customFormat="1" ht="19.95" customHeight="1">
      <c r="A2" s="367" t="s">
        <v>125</v>
      </c>
      <c r="B2" s="368"/>
      <c r="C2" s="368"/>
      <c r="D2" s="368"/>
      <c r="E2" s="369"/>
      <c r="F2" s="336" t="s">
        <v>56</v>
      </c>
      <c r="G2" s="337"/>
      <c r="H2" s="334" t="s">
        <v>152</v>
      </c>
      <c r="I2" s="335"/>
    </row>
    <row r="3" spans="1:9" s="2" customFormat="1" ht="19.95" customHeight="1">
      <c r="A3" s="349" t="s">
        <v>239</v>
      </c>
      <c r="B3" s="350"/>
      <c r="C3" s="350"/>
      <c r="D3" s="350"/>
      <c r="E3" s="351"/>
      <c r="F3" s="336" t="s">
        <v>28</v>
      </c>
      <c r="G3" s="337"/>
      <c r="H3" s="347">
        <v>45782</v>
      </c>
      <c r="I3" s="348"/>
    </row>
    <row r="4" spans="1:9" s="2" customFormat="1" ht="19.95" customHeight="1">
      <c r="A4" s="352" t="s">
        <v>202</v>
      </c>
      <c r="B4" s="353"/>
      <c r="C4" s="353"/>
      <c r="D4" s="353"/>
      <c r="E4" s="353"/>
      <c r="F4" s="362" t="s">
        <v>6</v>
      </c>
      <c r="G4" s="362"/>
      <c r="H4" s="362"/>
      <c r="I4" s="363"/>
    </row>
    <row r="5" spans="1:9" s="2" customFormat="1" ht="19.95" customHeight="1">
      <c r="A5" s="354" t="s">
        <v>326</v>
      </c>
      <c r="B5" s="355"/>
      <c r="C5" s="355"/>
      <c r="D5" s="355"/>
      <c r="E5" s="356"/>
      <c r="F5" s="144" t="s">
        <v>26</v>
      </c>
      <c r="G5" s="97" t="s">
        <v>3</v>
      </c>
      <c r="H5" s="144" t="s">
        <v>70</v>
      </c>
      <c r="I5" s="146" t="s">
        <v>4</v>
      </c>
    </row>
    <row r="6" spans="1:9" s="2" customFormat="1" ht="25.05" customHeight="1">
      <c r="A6" s="364" t="s">
        <v>105</v>
      </c>
      <c r="B6" s="365"/>
      <c r="C6" s="365"/>
      <c r="D6" s="365"/>
      <c r="E6" s="366"/>
      <c r="F6" s="143" t="s">
        <v>38</v>
      </c>
      <c r="G6" s="103">
        <v>0.05</v>
      </c>
      <c r="H6" s="144" t="s">
        <v>41</v>
      </c>
      <c r="I6" s="147">
        <v>0.2928</v>
      </c>
    </row>
    <row r="7" spans="1:9" ht="3.75" customHeight="1">
      <c r="A7" s="359"/>
      <c r="B7" s="360"/>
      <c r="C7" s="360"/>
      <c r="D7" s="360"/>
      <c r="E7" s="360"/>
      <c r="F7" s="360"/>
      <c r="G7" s="360"/>
      <c r="H7" s="360"/>
      <c r="I7" s="361"/>
    </row>
    <row r="8" spans="1:9" s="28" customFormat="1" ht="25.05" customHeight="1">
      <c r="A8" s="148" t="s">
        <v>0</v>
      </c>
      <c r="B8" s="25" t="s">
        <v>71</v>
      </c>
      <c r="C8" s="25" t="s">
        <v>71</v>
      </c>
      <c r="D8" s="25" t="s">
        <v>72</v>
      </c>
      <c r="E8" s="25" t="s">
        <v>2</v>
      </c>
      <c r="F8" s="25" t="s">
        <v>1</v>
      </c>
      <c r="G8" s="26" t="s">
        <v>73</v>
      </c>
      <c r="H8" s="27" t="s">
        <v>74</v>
      </c>
      <c r="I8" s="149" t="s">
        <v>5</v>
      </c>
    </row>
    <row r="9" spans="1:9" s="28" customFormat="1" ht="15" customHeight="1">
      <c r="A9" s="150" t="s">
        <v>32</v>
      </c>
      <c r="B9" s="29"/>
      <c r="C9" s="30"/>
      <c r="D9" s="100" t="s">
        <v>14</v>
      </c>
      <c r="E9" s="31"/>
      <c r="F9" s="32"/>
      <c r="G9" s="32"/>
      <c r="H9" s="32">
        <f>ROUND(G9+(G9*$I$6),2)</f>
        <v>0</v>
      </c>
      <c r="I9" s="151">
        <f>SUM(I10:I12)</f>
        <v>14265.221149999999</v>
      </c>
    </row>
    <row r="10" spans="1:9" s="28" customFormat="1" ht="34.950000000000003" customHeight="1">
      <c r="A10" s="152" t="s">
        <v>7</v>
      </c>
      <c r="B10" s="33" t="s">
        <v>40</v>
      </c>
      <c r="C10" s="34" t="s">
        <v>116</v>
      </c>
      <c r="D10" s="35" t="s">
        <v>29</v>
      </c>
      <c r="E10" s="33" t="s">
        <v>12</v>
      </c>
      <c r="F10" s="36">
        <f>'Memória de Cálculo'!B14</f>
        <v>1</v>
      </c>
      <c r="G10" s="37">
        <v>1179.54</v>
      </c>
      <c r="H10" s="37">
        <v>1654.89</v>
      </c>
      <c r="I10" s="153">
        <f>ROUND((F10*H10),2)</f>
        <v>1654.89</v>
      </c>
    </row>
    <row r="11" spans="1:9" s="28" customFormat="1" ht="19.95" customHeight="1">
      <c r="A11" s="152" t="s">
        <v>42</v>
      </c>
      <c r="B11" s="33" t="s">
        <v>40</v>
      </c>
      <c r="C11" s="34" t="s">
        <v>43</v>
      </c>
      <c r="D11" s="35" t="s">
        <v>44</v>
      </c>
      <c r="E11" s="33" t="s">
        <v>45</v>
      </c>
      <c r="F11" s="36">
        <f>'Memória de Cálculo'!B18</f>
        <v>12</v>
      </c>
      <c r="G11" s="37">
        <v>629.66</v>
      </c>
      <c r="H11" s="37">
        <f>ROUND(G11+(G11*$I$6),2)</f>
        <v>814.02</v>
      </c>
      <c r="I11" s="153">
        <f>ROUND((F11*H11),2)</f>
        <v>9768.24</v>
      </c>
    </row>
    <row r="12" spans="1:9" s="241" customFormat="1" ht="19.95" customHeight="1">
      <c r="A12" s="234" t="s">
        <v>58</v>
      </c>
      <c r="B12" s="235" t="s">
        <v>40</v>
      </c>
      <c r="C12" s="236" t="s">
        <v>106</v>
      </c>
      <c r="D12" s="237" t="s">
        <v>107</v>
      </c>
      <c r="E12" s="235" t="s">
        <v>59</v>
      </c>
      <c r="F12" s="238">
        <v>0.5</v>
      </c>
      <c r="G12" s="239">
        <f>H12/1.2346</f>
        <v>460406.7957233112</v>
      </c>
      <c r="H12" s="239">
        <f>I10+I11+I13+I26+I33+I40+I45</f>
        <v>568418.23</v>
      </c>
      <c r="I12" s="240">
        <f>(H12/100*F12)</f>
        <v>2842.0911499999997</v>
      </c>
    </row>
    <row r="13" spans="1:9" s="28" customFormat="1" ht="15" customHeight="1">
      <c r="A13" s="150" t="s">
        <v>33</v>
      </c>
      <c r="B13" s="29"/>
      <c r="C13" s="30"/>
      <c r="D13" s="100" t="s">
        <v>69</v>
      </c>
      <c r="E13" s="31"/>
      <c r="F13" s="32"/>
      <c r="G13" s="32"/>
      <c r="H13" s="32"/>
      <c r="I13" s="151">
        <f>SUM(I14:I25)</f>
        <v>149390.87</v>
      </c>
    </row>
    <row r="14" spans="1:9" s="28" customFormat="1" ht="19.95" customHeight="1">
      <c r="A14" s="152" t="s">
        <v>288</v>
      </c>
      <c r="B14" s="33" t="s">
        <v>40</v>
      </c>
      <c r="C14" s="34" t="s">
        <v>206</v>
      </c>
      <c r="D14" s="35" t="s">
        <v>208</v>
      </c>
      <c r="E14" s="33" t="s">
        <v>49</v>
      </c>
      <c r="F14" s="36">
        <f>'Memória de Cálculo'!B39</f>
        <v>106.99</v>
      </c>
      <c r="G14" s="37">
        <v>7.48</v>
      </c>
      <c r="H14" s="37">
        <f t="shared" ref="H14" si="0">ROUND(G14+(G14*$I$6),2)</f>
        <v>9.67</v>
      </c>
      <c r="I14" s="153">
        <f t="shared" ref="I14" si="1">ROUND((F14*H14),2)</f>
        <v>1034.5899999999999</v>
      </c>
    </row>
    <row r="15" spans="1:9" s="28" customFormat="1" ht="19.95" customHeight="1">
      <c r="A15" s="152" t="s">
        <v>289</v>
      </c>
      <c r="B15" s="33" t="s">
        <v>40</v>
      </c>
      <c r="C15" s="34" t="s">
        <v>228</v>
      </c>
      <c r="D15" s="35" t="s">
        <v>227</v>
      </c>
      <c r="E15" s="33" t="s">
        <v>45</v>
      </c>
      <c r="F15" s="36">
        <f>'Memória de Cálculo'!B51</f>
        <v>77.039999999999992</v>
      </c>
      <c r="G15" s="37">
        <v>13.63</v>
      </c>
      <c r="H15" s="37">
        <f t="shared" ref="H15" si="2">ROUND(G15+(G15*$I$6),2)</f>
        <v>17.62</v>
      </c>
      <c r="I15" s="153">
        <f t="shared" ref="I15" si="3">ROUND((F15*H15),2)</f>
        <v>1357.44</v>
      </c>
    </row>
    <row r="16" spans="1:9" s="28" customFormat="1" ht="19.95" customHeight="1">
      <c r="A16" s="152" t="s">
        <v>290</v>
      </c>
      <c r="B16" s="33" t="s">
        <v>40</v>
      </c>
      <c r="C16" s="34" t="s">
        <v>229</v>
      </c>
      <c r="D16" s="35" t="s">
        <v>230</v>
      </c>
      <c r="E16" s="33" t="s">
        <v>49</v>
      </c>
      <c r="F16" s="36">
        <f>'Memória de Cálculo'!B63</f>
        <v>14.086500000000001</v>
      </c>
      <c r="G16" s="37">
        <v>406.05</v>
      </c>
      <c r="H16" s="37">
        <f t="shared" ref="H16:H21" si="4">ROUND(G16+(G16*$I$6),2)</f>
        <v>524.94000000000005</v>
      </c>
      <c r="I16" s="153">
        <f t="shared" ref="I16:I21" si="5">ROUND((F16*H16),2)</f>
        <v>7394.57</v>
      </c>
    </row>
    <row r="17" spans="1:9" s="28" customFormat="1" ht="30" customHeight="1">
      <c r="A17" s="152" t="s">
        <v>291</v>
      </c>
      <c r="B17" s="33" t="s">
        <v>40</v>
      </c>
      <c r="C17" s="34" t="s">
        <v>327</v>
      </c>
      <c r="D17" s="35" t="s">
        <v>330</v>
      </c>
      <c r="E17" s="33" t="s">
        <v>9</v>
      </c>
      <c r="F17" s="36">
        <f>'Memória de Cálculo'!B70</f>
        <v>22.599999999999998</v>
      </c>
      <c r="G17" s="37">
        <v>147.38999999999999</v>
      </c>
      <c r="H17" s="37">
        <f t="shared" si="4"/>
        <v>190.55</v>
      </c>
      <c r="I17" s="153">
        <f t="shared" si="5"/>
        <v>4306.43</v>
      </c>
    </row>
    <row r="18" spans="1:9" s="28" customFormat="1" ht="30" customHeight="1">
      <c r="A18" s="152" t="s">
        <v>292</v>
      </c>
      <c r="B18" s="33" t="s">
        <v>40</v>
      </c>
      <c r="C18" s="34" t="s">
        <v>329</v>
      </c>
      <c r="D18" s="35" t="s">
        <v>328</v>
      </c>
      <c r="E18" s="33" t="s">
        <v>9</v>
      </c>
      <c r="F18" s="36">
        <f>'Memória de Cálculo'!B77</f>
        <v>22.5</v>
      </c>
      <c r="G18" s="37">
        <v>247.72</v>
      </c>
      <c r="H18" s="37">
        <f t="shared" ref="H18" si="6">ROUND(G18+(G18*$I$6),2)</f>
        <v>320.25</v>
      </c>
      <c r="I18" s="153">
        <f t="shared" ref="I18" si="7">ROUND((F18*H18),2)</f>
        <v>7205.63</v>
      </c>
    </row>
    <row r="19" spans="1:9" s="28" customFormat="1" ht="30" customHeight="1">
      <c r="A19" s="152" t="s">
        <v>293</v>
      </c>
      <c r="B19" s="33" t="s">
        <v>40</v>
      </c>
      <c r="C19" s="34" t="s">
        <v>332</v>
      </c>
      <c r="D19" s="35" t="s">
        <v>331</v>
      </c>
      <c r="E19" s="33" t="s">
        <v>9</v>
      </c>
      <c r="F19" s="36">
        <f>'Memória de Cálculo'!B84</f>
        <v>30.95</v>
      </c>
      <c r="G19" s="37">
        <v>174.82</v>
      </c>
      <c r="H19" s="37">
        <f t="shared" ref="H19" si="8">ROUND(G19+(G19*$I$6),2)</f>
        <v>226.01</v>
      </c>
      <c r="I19" s="153">
        <f t="shared" ref="I19" si="9">ROUND((F19*H19),2)</f>
        <v>6995.01</v>
      </c>
    </row>
    <row r="20" spans="1:9" s="28" customFormat="1" ht="30" customHeight="1">
      <c r="A20" s="152" t="s">
        <v>294</v>
      </c>
      <c r="B20" s="33" t="s">
        <v>40</v>
      </c>
      <c r="C20" s="34" t="s">
        <v>334</v>
      </c>
      <c r="D20" s="35" t="s">
        <v>333</v>
      </c>
      <c r="E20" s="33" t="s">
        <v>9</v>
      </c>
      <c r="F20" s="36">
        <f>'Memória de Cálculo'!B91</f>
        <v>6</v>
      </c>
      <c r="G20" s="37">
        <v>278.44</v>
      </c>
      <c r="H20" s="37">
        <f t="shared" ref="H20" si="10">ROUND(G20+(G20*$I$6),2)</f>
        <v>359.97</v>
      </c>
      <c r="I20" s="153">
        <f t="shared" ref="I20" si="11">ROUND((F20*H20),2)</f>
        <v>2159.8200000000002</v>
      </c>
    </row>
    <row r="21" spans="1:9" s="28" customFormat="1" ht="19.95" customHeight="1">
      <c r="A21" s="152" t="s">
        <v>295</v>
      </c>
      <c r="B21" s="33" t="s">
        <v>40</v>
      </c>
      <c r="C21" s="34" t="s">
        <v>207</v>
      </c>
      <c r="D21" s="35" t="s">
        <v>209</v>
      </c>
      <c r="E21" s="33" t="s">
        <v>49</v>
      </c>
      <c r="F21" s="36">
        <f>'Memória de Cálculo'!G108</f>
        <v>78.123499999999993</v>
      </c>
      <c r="G21" s="37">
        <v>45.75</v>
      </c>
      <c r="H21" s="37">
        <f t="shared" si="4"/>
        <v>59.15</v>
      </c>
      <c r="I21" s="153">
        <f t="shared" si="5"/>
        <v>4621.01</v>
      </c>
    </row>
    <row r="22" spans="1:9" s="28" customFormat="1" ht="30" customHeight="1">
      <c r="A22" s="152" t="s">
        <v>335</v>
      </c>
      <c r="B22" s="33" t="s">
        <v>40</v>
      </c>
      <c r="C22" s="34" t="s">
        <v>113</v>
      </c>
      <c r="D22" s="35" t="s">
        <v>114</v>
      </c>
      <c r="E22" s="33" t="s">
        <v>9</v>
      </c>
      <c r="F22" s="36">
        <f>'Memória de Cálculo'!C112</f>
        <v>632.80000000000007</v>
      </c>
      <c r="G22" s="37">
        <v>76.16</v>
      </c>
      <c r="H22" s="37">
        <f t="shared" ref="H22" si="12">ROUND(G22+(G22*$I$6),2)</f>
        <v>98.46</v>
      </c>
      <c r="I22" s="153">
        <f t="shared" ref="I22" si="13">ROUND((F22*H22),2)</f>
        <v>62305.49</v>
      </c>
    </row>
    <row r="23" spans="1:9" s="28" customFormat="1" ht="25.05" customHeight="1">
      <c r="A23" s="152" t="s">
        <v>336</v>
      </c>
      <c r="B23" s="33" t="s">
        <v>247</v>
      </c>
      <c r="C23" s="34">
        <v>102674</v>
      </c>
      <c r="D23" s="35" t="s">
        <v>248</v>
      </c>
      <c r="E23" s="33" t="s">
        <v>9</v>
      </c>
      <c r="F23" s="36">
        <f>'Memória de Cálculo'!C117</f>
        <v>152.65</v>
      </c>
      <c r="G23" s="37">
        <v>141.13999999999999</v>
      </c>
      <c r="H23" s="37">
        <f t="shared" ref="H23" si="14">ROUND(G23+(G23*$I$6),2)</f>
        <v>182.47</v>
      </c>
      <c r="I23" s="153">
        <f t="shared" ref="I23" si="15">ROUND((F23*H23),2)</f>
        <v>27854.05</v>
      </c>
    </row>
    <row r="24" spans="1:9" s="28" customFormat="1" ht="19.95" customHeight="1">
      <c r="A24" s="152" t="s">
        <v>337</v>
      </c>
      <c r="B24" s="33" t="s">
        <v>40</v>
      </c>
      <c r="C24" s="34" t="s">
        <v>204</v>
      </c>
      <c r="D24" s="35" t="s">
        <v>210</v>
      </c>
      <c r="E24" s="33" t="s">
        <v>205</v>
      </c>
      <c r="F24" s="36">
        <f>'Memória de Cálculo'!C122</f>
        <v>5</v>
      </c>
      <c r="G24" s="37">
        <v>2616.81</v>
      </c>
      <c r="H24" s="37">
        <f t="shared" ref="H24" si="16">ROUND(G24+(G24*$I$6),2)</f>
        <v>3383.01</v>
      </c>
      <c r="I24" s="153">
        <f t="shared" ref="I24" si="17">ROUND((F24*H24),2)</f>
        <v>16915.05</v>
      </c>
    </row>
    <row r="25" spans="1:9" s="28" customFormat="1" ht="19.95" customHeight="1">
      <c r="A25" s="152" t="s">
        <v>340</v>
      </c>
      <c r="B25" s="33" t="s">
        <v>40</v>
      </c>
      <c r="C25" s="34" t="s">
        <v>339</v>
      </c>
      <c r="D25" s="35" t="s">
        <v>338</v>
      </c>
      <c r="E25" s="33" t="s">
        <v>205</v>
      </c>
      <c r="F25" s="36">
        <f>'Memória de Cálculo'!C127</f>
        <v>2</v>
      </c>
      <c r="G25" s="37">
        <v>2800.81</v>
      </c>
      <c r="H25" s="37">
        <f t="shared" ref="H25" si="18">ROUND(G25+(G25*$I$6),2)</f>
        <v>3620.89</v>
      </c>
      <c r="I25" s="153">
        <f t="shared" ref="I25" si="19">ROUND((F25*H25),2)</f>
        <v>7241.78</v>
      </c>
    </row>
    <row r="26" spans="1:9" s="28" customFormat="1" ht="15" customHeight="1">
      <c r="A26" s="150" t="s">
        <v>34</v>
      </c>
      <c r="B26" s="29"/>
      <c r="C26" s="30"/>
      <c r="D26" s="100" t="s">
        <v>62</v>
      </c>
      <c r="E26" s="31"/>
      <c r="F26" s="32"/>
      <c r="G26" s="32"/>
      <c r="H26" s="32">
        <f t="shared" ref="H26:H32" si="20">ROUND(G26+(G26*$I$6),2)</f>
        <v>0</v>
      </c>
      <c r="I26" s="151">
        <f>SUM(I27:I32)</f>
        <v>133177.77000000002</v>
      </c>
    </row>
    <row r="27" spans="1:9" s="28" customFormat="1" ht="19.95" customHeight="1">
      <c r="A27" s="152" t="s">
        <v>8</v>
      </c>
      <c r="B27" s="33" t="s">
        <v>40</v>
      </c>
      <c r="C27" s="34" t="s">
        <v>249</v>
      </c>
      <c r="D27" s="35" t="s">
        <v>37</v>
      </c>
      <c r="E27" s="33" t="s">
        <v>45</v>
      </c>
      <c r="F27" s="36">
        <f>'Memória de Cálculo'!C134</f>
        <v>1888.85</v>
      </c>
      <c r="G27" s="37">
        <v>0.97</v>
      </c>
      <c r="H27" s="37">
        <f t="shared" si="20"/>
        <v>1.25</v>
      </c>
      <c r="I27" s="153">
        <f t="shared" ref="I27:I31" si="21">ROUND((F27*H27),2)</f>
        <v>2361.06</v>
      </c>
    </row>
    <row r="28" spans="1:9" s="28" customFormat="1" ht="19.95" customHeight="1">
      <c r="A28" s="152" t="s">
        <v>161</v>
      </c>
      <c r="B28" s="33" t="s">
        <v>40</v>
      </c>
      <c r="C28" s="34" t="s">
        <v>310</v>
      </c>
      <c r="D28" s="35" t="s">
        <v>311</v>
      </c>
      <c r="E28" s="33" t="s">
        <v>49</v>
      </c>
      <c r="F28" s="36">
        <f>'Memória de Cálculo'!C143</f>
        <v>982.202</v>
      </c>
      <c r="G28" s="37">
        <v>9.35</v>
      </c>
      <c r="H28" s="37">
        <f t="shared" si="20"/>
        <v>12.09</v>
      </c>
      <c r="I28" s="153">
        <f t="shared" si="21"/>
        <v>11874.82</v>
      </c>
    </row>
    <row r="29" spans="1:9" s="28" customFormat="1" ht="30" customHeight="1">
      <c r="A29" s="152" t="s">
        <v>162</v>
      </c>
      <c r="B29" s="33" t="s">
        <v>40</v>
      </c>
      <c r="C29" s="34" t="s">
        <v>307</v>
      </c>
      <c r="D29" s="35" t="s">
        <v>308</v>
      </c>
      <c r="E29" s="33" t="s">
        <v>309</v>
      </c>
      <c r="F29" s="36">
        <f>'Memória de Cálculo'!D148</f>
        <v>2553.7251999999999</v>
      </c>
      <c r="G29" s="37">
        <v>2.68</v>
      </c>
      <c r="H29" s="37">
        <f t="shared" si="20"/>
        <v>3.46</v>
      </c>
      <c r="I29" s="153">
        <f t="shared" si="21"/>
        <v>8835.89</v>
      </c>
    </row>
    <row r="30" spans="1:9" s="28" customFormat="1" ht="30" customHeight="1">
      <c r="A30" s="152" t="s">
        <v>365</v>
      </c>
      <c r="B30" s="33" t="s">
        <v>40</v>
      </c>
      <c r="C30" s="34" t="s">
        <v>325</v>
      </c>
      <c r="D30" s="35" t="s">
        <v>312</v>
      </c>
      <c r="E30" s="33" t="s">
        <v>49</v>
      </c>
      <c r="F30" s="36">
        <f>'Memória de Cálculo'!C156</f>
        <v>2455.7000000000003</v>
      </c>
      <c r="G30" s="37">
        <v>12.32</v>
      </c>
      <c r="H30" s="37">
        <f t="shared" ref="H30" si="22">ROUND(G30+(G30*$I$6),2)</f>
        <v>15.93</v>
      </c>
      <c r="I30" s="153">
        <f t="shared" ref="I30" si="23">ROUND((F30*H30),2)</f>
        <v>39119.300000000003</v>
      </c>
    </row>
    <row r="31" spans="1:9" s="28" customFormat="1" ht="42" customHeight="1">
      <c r="A31" s="152" t="s">
        <v>366</v>
      </c>
      <c r="B31" s="33" t="s">
        <v>40</v>
      </c>
      <c r="C31" s="38" t="s">
        <v>285</v>
      </c>
      <c r="D31" s="35" t="s">
        <v>286</v>
      </c>
      <c r="E31" s="33" t="s">
        <v>49</v>
      </c>
      <c r="F31" s="36">
        <f>'Memória de Cálculo'!C161</f>
        <v>283.33</v>
      </c>
      <c r="G31" s="37">
        <v>167.88</v>
      </c>
      <c r="H31" s="37">
        <f t="shared" si="20"/>
        <v>217.04</v>
      </c>
      <c r="I31" s="153">
        <f t="shared" si="21"/>
        <v>61493.94</v>
      </c>
    </row>
    <row r="32" spans="1:9" s="28" customFormat="1" ht="19.95" customHeight="1">
      <c r="A32" s="152" t="s">
        <v>313</v>
      </c>
      <c r="B32" s="33" t="s">
        <v>40</v>
      </c>
      <c r="C32" s="34" t="s">
        <v>250</v>
      </c>
      <c r="D32" s="35" t="s">
        <v>251</v>
      </c>
      <c r="E32" s="33" t="s">
        <v>68</v>
      </c>
      <c r="F32" s="36">
        <f>'Memória de Cálculo'!G166</f>
        <v>11300.900379999997</v>
      </c>
      <c r="G32" s="37">
        <v>0.65</v>
      </c>
      <c r="H32" s="37">
        <f t="shared" si="20"/>
        <v>0.84</v>
      </c>
      <c r="I32" s="153">
        <f>ROUND((F32*H32),2)</f>
        <v>9492.76</v>
      </c>
    </row>
    <row r="33" spans="1:9" s="28" customFormat="1" ht="15" customHeight="1">
      <c r="A33" s="150" t="s">
        <v>35</v>
      </c>
      <c r="B33" s="29"/>
      <c r="C33" s="30"/>
      <c r="D33" s="100" t="s">
        <v>64</v>
      </c>
      <c r="E33" s="31"/>
      <c r="F33" s="32"/>
      <c r="G33" s="32"/>
      <c r="H33" s="32">
        <f t="shared" ref="H33:H39" si="24">ROUND(G33+(G33*$I$6),2)</f>
        <v>0</v>
      </c>
      <c r="I33" s="151">
        <f>SUM(I34:I39)</f>
        <v>183418.87</v>
      </c>
    </row>
    <row r="34" spans="1:9" s="28" customFormat="1" ht="19.95" customHeight="1">
      <c r="A34" s="152" t="s">
        <v>10</v>
      </c>
      <c r="B34" s="33" t="s">
        <v>280</v>
      </c>
      <c r="C34" s="282" t="s">
        <v>270</v>
      </c>
      <c r="D34" s="35" t="str">
        <f>'COMP.CUSTO'!C9</f>
        <v>IMPRIMAÇÃO (EXECUÇÃO E FORNECIMENTO DO MATERIAL BETUMINOSO, EXCLUSIVE TRANSPORTE DO MATERIAL BETUMINOSO)</v>
      </c>
      <c r="E34" s="33" t="s">
        <v>45</v>
      </c>
      <c r="F34" s="36">
        <f>'Memória de Cálculo'!C172</f>
        <v>1888.85</v>
      </c>
      <c r="G34" s="37">
        <f>'COMP.CUSTO'!G9</f>
        <v>4.6348950315519835</v>
      </c>
      <c r="H34" s="37">
        <f t="shared" si="24"/>
        <v>5.99</v>
      </c>
      <c r="I34" s="153">
        <f t="shared" ref="I34:I39" si="25">ROUND((F34*H34),2)</f>
        <v>11314.21</v>
      </c>
    </row>
    <row r="35" spans="1:9" s="28" customFormat="1" ht="19.95" customHeight="1">
      <c r="A35" s="152" t="s">
        <v>27</v>
      </c>
      <c r="B35" s="33" t="s">
        <v>40</v>
      </c>
      <c r="C35" s="34" t="s">
        <v>250</v>
      </c>
      <c r="D35" s="35" t="s">
        <v>251</v>
      </c>
      <c r="E35" s="33" t="s">
        <v>66</v>
      </c>
      <c r="F35" s="36">
        <f>'Memória de Cálculo'!D178</f>
        <v>797.85</v>
      </c>
      <c r="G35" s="37">
        <v>0.65</v>
      </c>
      <c r="H35" s="37">
        <f t="shared" si="24"/>
        <v>0.84</v>
      </c>
      <c r="I35" s="153">
        <f t="shared" si="25"/>
        <v>670.19</v>
      </c>
    </row>
    <row r="36" spans="1:9" s="28" customFormat="1" ht="19.95" customHeight="1">
      <c r="A36" s="152" t="s">
        <v>65</v>
      </c>
      <c r="B36" s="33" t="s">
        <v>280</v>
      </c>
      <c r="C36" s="282" t="s">
        <v>284</v>
      </c>
      <c r="D36" s="35" t="str">
        <f>'COMP.CUSTO'!C17</f>
        <v>PINTURA DE LIGAÇÃO (EXECUÇÃO E FORNECIMENTO DO MATERIAL BETUMINOSO, EXCLUSIVE TRANSPORTE DO MATERIAL BETUMINOSO)</v>
      </c>
      <c r="E36" s="33" t="s">
        <v>45</v>
      </c>
      <c r="F36" s="36">
        <f>'Memória de Cálculo'!C182</f>
        <v>1888.85</v>
      </c>
      <c r="G36" s="37">
        <f>'COMP.CUSTO'!G17</f>
        <v>2.0614638104386858</v>
      </c>
      <c r="H36" s="37">
        <f t="shared" si="24"/>
        <v>2.67</v>
      </c>
      <c r="I36" s="153">
        <f t="shared" si="25"/>
        <v>5043.2299999999996</v>
      </c>
    </row>
    <row r="37" spans="1:9" s="28" customFormat="1" ht="19.95" customHeight="1">
      <c r="A37" s="152" t="s">
        <v>296</v>
      </c>
      <c r="B37" s="33" t="s">
        <v>40</v>
      </c>
      <c r="C37" s="34" t="s">
        <v>250</v>
      </c>
      <c r="D37" s="35" t="s">
        <v>251</v>
      </c>
      <c r="E37" s="33" t="s">
        <v>68</v>
      </c>
      <c r="F37" s="36">
        <f>'Memória de Cálculo'!D188</f>
        <v>332.44</v>
      </c>
      <c r="G37" s="37">
        <v>0.65</v>
      </c>
      <c r="H37" s="37">
        <f t="shared" si="24"/>
        <v>0.84</v>
      </c>
      <c r="I37" s="153">
        <f t="shared" si="25"/>
        <v>279.25</v>
      </c>
    </row>
    <row r="38" spans="1:9" s="28" customFormat="1" ht="25.05" customHeight="1">
      <c r="A38" s="152" t="s">
        <v>297</v>
      </c>
      <c r="B38" s="33" t="s">
        <v>40</v>
      </c>
      <c r="C38" s="38" t="s">
        <v>111</v>
      </c>
      <c r="D38" s="35" t="s">
        <v>112</v>
      </c>
      <c r="E38" s="33" t="s">
        <v>49</v>
      </c>
      <c r="F38" s="36">
        <f>'Memória de Cálculo'!C193</f>
        <v>66.109750000000005</v>
      </c>
      <c r="G38" s="37">
        <v>1770.86</v>
      </c>
      <c r="H38" s="37">
        <f t="shared" si="24"/>
        <v>2289.37</v>
      </c>
      <c r="I38" s="153">
        <f>ROUND((F38*H38),2)</f>
        <v>151349.68</v>
      </c>
    </row>
    <row r="39" spans="1:9" s="28" customFormat="1" ht="19.95" customHeight="1">
      <c r="A39" s="152" t="s">
        <v>298</v>
      </c>
      <c r="B39" s="33" t="s">
        <v>252</v>
      </c>
      <c r="C39" s="34">
        <v>5914612</v>
      </c>
      <c r="D39" s="35" t="s">
        <v>305</v>
      </c>
      <c r="E39" s="33" t="s">
        <v>63</v>
      </c>
      <c r="F39" s="36">
        <f>'Memória de Cálculo'!C198</f>
        <v>9585.9137500000015</v>
      </c>
      <c r="G39" s="37">
        <v>1.19</v>
      </c>
      <c r="H39" s="37">
        <f t="shared" si="24"/>
        <v>1.54</v>
      </c>
      <c r="I39" s="153">
        <f t="shared" si="25"/>
        <v>14762.31</v>
      </c>
    </row>
    <row r="40" spans="1:9" s="28" customFormat="1" ht="15" customHeight="1">
      <c r="A40" s="150" t="s">
        <v>46</v>
      </c>
      <c r="B40" s="29"/>
      <c r="C40" s="30"/>
      <c r="D40" s="100" t="s">
        <v>89</v>
      </c>
      <c r="E40" s="31"/>
      <c r="F40" s="32"/>
      <c r="G40" s="32"/>
      <c r="H40" s="32">
        <f t="shared" ref="H40" si="26">ROUND(G40+(G40*$I$6),2)</f>
        <v>0</v>
      </c>
      <c r="I40" s="151">
        <f>SUM(I41:I44)</f>
        <v>16376.51</v>
      </c>
    </row>
    <row r="41" spans="1:9" s="28" customFormat="1" ht="19.95" customHeight="1">
      <c r="A41" s="152" t="s">
        <v>47</v>
      </c>
      <c r="B41" s="33" t="s">
        <v>252</v>
      </c>
      <c r="C41" s="34">
        <v>5213401</v>
      </c>
      <c r="D41" s="35" t="s">
        <v>257</v>
      </c>
      <c r="E41" s="33" t="s">
        <v>9</v>
      </c>
      <c r="F41" s="36">
        <f>'Memória de Cálculo'!L253</f>
        <v>171.64499999999998</v>
      </c>
      <c r="G41" s="37">
        <v>29.18</v>
      </c>
      <c r="H41" s="37">
        <f t="shared" ref="H41:H44" si="27">ROUND(G41+(G41*$I$6),2)</f>
        <v>37.72</v>
      </c>
      <c r="I41" s="153">
        <f t="shared" ref="I41" si="28">ROUND((F41*H41),2)</f>
        <v>6474.45</v>
      </c>
    </row>
    <row r="42" spans="1:9" s="28" customFormat="1" ht="19.95" customHeight="1">
      <c r="A42" s="152" t="s">
        <v>48</v>
      </c>
      <c r="B42" s="33" t="s">
        <v>252</v>
      </c>
      <c r="C42" s="34">
        <v>5213863</v>
      </c>
      <c r="D42" s="35" t="s">
        <v>299</v>
      </c>
      <c r="E42" s="33" t="s">
        <v>205</v>
      </c>
      <c r="F42" s="36">
        <f>'Memória de Cálculo'!E272</f>
        <v>9</v>
      </c>
      <c r="G42" s="37">
        <v>457.09</v>
      </c>
      <c r="H42" s="37">
        <f t="shared" ref="H42" si="29">ROUND(G42+(G42*$I$6),2)</f>
        <v>590.92999999999995</v>
      </c>
      <c r="I42" s="153">
        <f t="shared" ref="I42" si="30">ROUND((F42*H42),2)</f>
        <v>5318.37</v>
      </c>
    </row>
    <row r="43" spans="1:9" s="28" customFormat="1" ht="19.95" customHeight="1">
      <c r="A43" s="152" t="s">
        <v>117</v>
      </c>
      <c r="B43" s="33" t="s">
        <v>252</v>
      </c>
      <c r="C43" s="34">
        <v>5213417</v>
      </c>
      <c r="D43" s="35" t="s">
        <v>300</v>
      </c>
      <c r="E43" s="33" t="s">
        <v>45</v>
      </c>
      <c r="F43" s="36">
        <f>'Memória de Cálculo'!F272</f>
        <v>2.15395</v>
      </c>
      <c r="G43" s="37">
        <v>447.79</v>
      </c>
      <c r="H43" s="37">
        <f t="shared" ref="H43" si="31">ROUND(G43+(G43*$I$6),2)</f>
        <v>578.9</v>
      </c>
      <c r="I43" s="153">
        <f t="shared" ref="I43" si="32">ROUND((F43*H43),2)</f>
        <v>1246.92</v>
      </c>
    </row>
    <row r="44" spans="1:9" s="28" customFormat="1" ht="19.95" customHeight="1">
      <c r="A44" s="152" t="s">
        <v>232</v>
      </c>
      <c r="B44" s="33" t="s">
        <v>252</v>
      </c>
      <c r="C44" s="34">
        <v>5213405</v>
      </c>
      <c r="D44" s="35" t="s">
        <v>258</v>
      </c>
      <c r="E44" s="33" t="s">
        <v>45</v>
      </c>
      <c r="F44" s="36">
        <f>'Memória de Cálculo'!D285</f>
        <v>61.53</v>
      </c>
      <c r="G44" s="37">
        <v>41.95</v>
      </c>
      <c r="H44" s="37">
        <f t="shared" si="27"/>
        <v>54.23</v>
      </c>
      <c r="I44" s="153">
        <f t="shared" ref="I44" si="33">ROUND((F44*H44),2)</f>
        <v>3336.77</v>
      </c>
    </row>
    <row r="45" spans="1:9" s="28" customFormat="1" ht="15" customHeight="1">
      <c r="A45" s="150" t="s">
        <v>119</v>
      </c>
      <c r="B45" s="29"/>
      <c r="C45" s="30"/>
      <c r="D45" s="100" t="s">
        <v>132</v>
      </c>
      <c r="E45" s="31"/>
      <c r="F45" s="32"/>
      <c r="G45" s="32"/>
      <c r="H45" s="32">
        <f t="shared" ref="H45" si="34">ROUND(G45+(G45*$I$6),2)</f>
        <v>0</v>
      </c>
      <c r="I45" s="151">
        <f>SUM(I46:I50)</f>
        <v>74631.08</v>
      </c>
    </row>
    <row r="46" spans="1:9" s="28" customFormat="1" ht="25.05" customHeight="1">
      <c r="A46" s="152" t="s">
        <v>120</v>
      </c>
      <c r="B46" s="33" t="s">
        <v>40</v>
      </c>
      <c r="C46" s="34" t="s">
        <v>127</v>
      </c>
      <c r="D46" s="35" t="s">
        <v>126</v>
      </c>
      <c r="E46" s="33" t="s">
        <v>45</v>
      </c>
      <c r="F46" s="36">
        <f>'Memória de Cálculo'!C310</f>
        <v>317.09999999999997</v>
      </c>
      <c r="G46" s="37">
        <v>103.51</v>
      </c>
      <c r="H46" s="37">
        <f t="shared" ref="H46:H48" si="35">ROUND(G46+(G46*$I$6),2)</f>
        <v>133.82</v>
      </c>
      <c r="I46" s="153">
        <f t="shared" ref="I46:I48" si="36">ROUND((F46*H46),2)</f>
        <v>42434.32</v>
      </c>
    </row>
    <row r="47" spans="1:9" s="28" customFormat="1" ht="25.05" customHeight="1">
      <c r="A47" s="152" t="s">
        <v>121</v>
      </c>
      <c r="B47" s="33" t="s">
        <v>40</v>
      </c>
      <c r="C47" s="34" t="s">
        <v>129</v>
      </c>
      <c r="D47" s="35" t="s">
        <v>128</v>
      </c>
      <c r="E47" s="33" t="s">
        <v>45</v>
      </c>
      <c r="F47" s="36">
        <f>'Memória de Cálculo'!C339</f>
        <v>369.95000000000005</v>
      </c>
      <c r="G47" s="37">
        <v>9.58</v>
      </c>
      <c r="H47" s="37">
        <f t="shared" si="35"/>
        <v>12.39</v>
      </c>
      <c r="I47" s="153">
        <f t="shared" si="36"/>
        <v>4583.68</v>
      </c>
    </row>
    <row r="48" spans="1:9" s="28" customFormat="1" ht="25.05" customHeight="1">
      <c r="A48" s="152" t="s">
        <v>122</v>
      </c>
      <c r="B48" s="33" t="s">
        <v>40</v>
      </c>
      <c r="C48" s="34" t="s">
        <v>130</v>
      </c>
      <c r="D48" s="35" t="s">
        <v>131</v>
      </c>
      <c r="E48" s="33" t="s">
        <v>45</v>
      </c>
      <c r="F48" s="36">
        <f>F47</f>
        <v>369.95000000000005</v>
      </c>
      <c r="G48" s="37">
        <v>34.71</v>
      </c>
      <c r="H48" s="37">
        <f t="shared" si="35"/>
        <v>44.87</v>
      </c>
      <c r="I48" s="153">
        <f t="shared" si="36"/>
        <v>16599.66</v>
      </c>
    </row>
    <row r="49" spans="1:9" s="28" customFormat="1" ht="19.95" customHeight="1">
      <c r="A49" s="152" t="s">
        <v>143</v>
      </c>
      <c r="B49" s="33" t="s">
        <v>40</v>
      </c>
      <c r="C49" s="38" t="s">
        <v>155</v>
      </c>
      <c r="D49" s="35" t="s">
        <v>156</v>
      </c>
      <c r="E49" s="33" t="s">
        <v>45</v>
      </c>
      <c r="F49" s="36">
        <f>F48</f>
        <v>369.95000000000005</v>
      </c>
      <c r="G49" s="37">
        <v>7.17</v>
      </c>
      <c r="H49" s="37">
        <f t="shared" ref="H49:H50" si="37">ROUND(G49+(G49*$I$6),2)</f>
        <v>9.27</v>
      </c>
      <c r="I49" s="153">
        <f t="shared" ref="I49:I50" si="38">ROUND((F49*H49),2)</f>
        <v>3429.44</v>
      </c>
    </row>
    <row r="50" spans="1:9" s="28" customFormat="1" ht="19.95" customHeight="1">
      <c r="A50" s="152" t="s">
        <v>160</v>
      </c>
      <c r="B50" s="33" t="s">
        <v>40</v>
      </c>
      <c r="C50" s="38" t="s">
        <v>157</v>
      </c>
      <c r="D50" s="35" t="s">
        <v>159</v>
      </c>
      <c r="E50" s="33" t="s">
        <v>45</v>
      </c>
      <c r="F50" s="36">
        <f>F49</f>
        <v>369.95000000000005</v>
      </c>
      <c r="G50" s="37">
        <v>15.86</v>
      </c>
      <c r="H50" s="37">
        <f t="shared" si="37"/>
        <v>20.5</v>
      </c>
      <c r="I50" s="153">
        <f t="shared" si="38"/>
        <v>7583.98</v>
      </c>
    </row>
    <row r="51" spans="1:9" s="28" customFormat="1" ht="15" customHeight="1">
      <c r="A51" s="357" t="s">
        <v>11</v>
      </c>
      <c r="B51" s="358"/>
      <c r="C51" s="358"/>
      <c r="D51" s="358"/>
      <c r="E51" s="358"/>
      <c r="F51" s="358"/>
      <c r="G51" s="358"/>
      <c r="H51" s="358"/>
      <c r="I51" s="154">
        <f>I9+I13+I26+I33+I40+I45</f>
        <v>571260.32114999997</v>
      </c>
    </row>
    <row r="52" spans="1:9" ht="14.25" customHeight="1">
      <c r="A52" s="155"/>
      <c r="B52" s="318"/>
      <c r="C52" s="318"/>
      <c r="D52" s="318"/>
      <c r="E52" s="318"/>
      <c r="F52" s="319"/>
      <c r="G52" s="319"/>
      <c r="H52" s="319"/>
      <c r="I52" s="156"/>
    </row>
    <row r="53" spans="1:9" ht="11.25" customHeight="1">
      <c r="A53" s="157"/>
      <c r="B53" s="320"/>
      <c r="C53" s="340"/>
      <c r="D53" s="340"/>
      <c r="E53" s="320"/>
      <c r="F53" s="342"/>
      <c r="G53" s="342"/>
      <c r="H53" s="342"/>
      <c r="I53" s="156"/>
    </row>
    <row r="54" spans="1:9">
      <c r="A54" s="157"/>
      <c r="B54" s="320"/>
      <c r="C54" s="338" t="s">
        <v>108</v>
      </c>
      <c r="D54" s="338"/>
      <c r="E54" s="320"/>
      <c r="F54" s="158"/>
      <c r="H54" s="321"/>
      <c r="I54" s="156"/>
    </row>
    <row r="55" spans="1:9" hidden="1">
      <c r="A55" s="159"/>
      <c r="B55" s="158"/>
      <c r="C55" s="158"/>
      <c r="D55" s="158"/>
      <c r="E55" s="158"/>
      <c r="F55" s="158"/>
      <c r="G55" s="322"/>
      <c r="H55" s="158"/>
      <c r="I55" s="160"/>
    </row>
    <row r="56" spans="1:9">
      <c r="A56" s="159"/>
      <c r="B56" s="158"/>
      <c r="C56" s="341" t="s">
        <v>109</v>
      </c>
      <c r="D56" s="341"/>
      <c r="E56" s="158"/>
      <c r="F56" s="342"/>
      <c r="G56" s="342"/>
      <c r="H56" s="342"/>
      <c r="I56" s="156"/>
    </row>
    <row r="57" spans="1:9" ht="13.8">
      <c r="A57" s="159"/>
      <c r="B57" s="158"/>
      <c r="C57" s="341" t="s">
        <v>110</v>
      </c>
      <c r="D57" s="341"/>
      <c r="E57" s="158"/>
      <c r="F57" s="158"/>
      <c r="G57" s="322"/>
      <c r="H57" s="158"/>
      <c r="I57" s="161"/>
    </row>
    <row r="58" spans="1:9" ht="19.2" customHeight="1">
      <c r="A58" s="159"/>
      <c r="B58" s="158"/>
      <c r="C58" s="321"/>
      <c r="D58" s="321"/>
      <c r="E58" s="158"/>
      <c r="F58" s="158"/>
      <c r="G58" s="322"/>
      <c r="H58" s="158"/>
      <c r="I58" s="160"/>
    </row>
    <row r="59" spans="1:9" ht="11.25" customHeight="1">
      <c r="A59" s="157"/>
      <c r="B59" s="320"/>
      <c r="C59" s="340"/>
      <c r="D59" s="340"/>
      <c r="E59" s="320"/>
      <c r="F59" s="341"/>
      <c r="G59" s="341"/>
      <c r="H59" s="321"/>
      <c r="I59" s="162"/>
    </row>
    <row r="60" spans="1:9">
      <c r="A60" s="163"/>
      <c r="B60" s="323"/>
      <c r="C60" s="338" t="s">
        <v>123</v>
      </c>
      <c r="D60" s="338"/>
      <c r="E60" s="323"/>
      <c r="F60" s="339"/>
      <c r="G60" s="339"/>
      <c r="H60" s="324"/>
      <c r="I60" s="164"/>
    </row>
    <row r="61" spans="1:9" ht="12" customHeight="1">
      <c r="A61" s="159"/>
      <c r="B61" s="158"/>
      <c r="C61" s="341" t="s">
        <v>124</v>
      </c>
      <c r="D61" s="341"/>
      <c r="E61" s="158"/>
      <c r="F61" s="158"/>
      <c r="G61" s="322"/>
      <c r="H61" s="158"/>
      <c r="I61" s="160"/>
    </row>
    <row r="62" spans="1:9" ht="7.2" customHeight="1" thickBot="1">
      <c r="A62" s="325"/>
      <c r="B62" s="326"/>
      <c r="C62" s="327"/>
      <c r="D62" s="327"/>
      <c r="E62" s="326"/>
      <c r="F62" s="326"/>
      <c r="G62" s="328"/>
      <c r="H62" s="326"/>
      <c r="I62" s="329"/>
    </row>
    <row r="63" spans="1:9" hidden="1">
      <c r="A63" s="165"/>
      <c r="B63" s="101"/>
      <c r="C63" s="101"/>
      <c r="D63" s="101"/>
      <c r="E63" s="101"/>
      <c r="F63" s="101"/>
      <c r="G63" s="102"/>
      <c r="H63" s="101"/>
      <c r="I63" s="166"/>
    </row>
    <row r="64" spans="1:9" ht="13.8" thickBot="1">
      <c r="A64" s="167"/>
      <c r="B64" s="168"/>
      <c r="C64" s="168"/>
      <c r="D64" s="168"/>
      <c r="E64" s="168"/>
      <c r="F64" s="168"/>
      <c r="G64" s="169"/>
      <c r="H64" s="168"/>
      <c r="I64" s="170"/>
    </row>
  </sheetData>
  <mergeCells count="24">
    <mergeCell ref="A1:I1"/>
    <mergeCell ref="H3:I3"/>
    <mergeCell ref="F59:G59"/>
    <mergeCell ref="A3:E3"/>
    <mergeCell ref="C61:D61"/>
    <mergeCell ref="C54:D54"/>
    <mergeCell ref="C57:D57"/>
    <mergeCell ref="C53:D53"/>
    <mergeCell ref="A4:E4"/>
    <mergeCell ref="A5:E5"/>
    <mergeCell ref="A51:H51"/>
    <mergeCell ref="A7:I7"/>
    <mergeCell ref="F4:I4"/>
    <mergeCell ref="A6:E6"/>
    <mergeCell ref="A2:E2"/>
    <mergeCell ref="F2:G2"/>
    <mergeCell ref="H2:I2"/>
    <mergeCell ref="F3:G3"/>
    <mergeCell ref="C60:D60"/>
    <mergeCell ref="F60:G60"/>
    <mergeCell ref="C59:D59"/>
    <mergeCell ref="C56:D56"/>
    <mergeCell ref="F53:H53"/>
    <mergeCell ref="F56:H56"/>
  </mergeCells>
  <phoneticPr fontId="4" type="noConversion"/>
  <printOptions horizontalCentered="1"/>
  <pageMargins left="0" right="0" top="0.39370078740157483" bottom="0" header="0" footer="0"/>
  <pageSetup paperSize="9" scale="74" orientation="landscape" horizontalDpi="4294967295" r:id="rId1"/>
  <headerFooter alignWithMargins="0"/>
  <rowBreaks count="1" manualBreakCount="1">
    <brk id="32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6"/>
  <sheetViews>
    <sheetView showGridLines="0" view="pageBreakPreview" zoomScale="80" zoomScaleSheetLayoutView="80" workbookViewId="0">
      <selection activeCell="K5" sqref="K5"/>
    </sheetView>
  </sheetViews>
  <sheetFormatPr defaultRowHeight="15" customHeight="1"/>
  <cols>
    <col min="1" max="1" width="20.109375" style="61" customWidth="1"/>
    <col min="2" max="2" width="16.44140625" style="61" customWidth="1"/>
    <col min="3" max="3" width="17.21875" style="59" customWidth="1"/>
    <col min="4" max="4" width="20.33203125" style="61" customWidth="1"/>
    <col min="5" max="5" width="16.5546875" style="61" customWidth="1"/>
    <col min="6" max="6" width="15.6640625" style="61" customWidth="1"/>
    <col min="7" max="7" width="19.109375" style="59" customWidth="1"/>
    <col min="8" max="8" width="20.33203125" style="61" customWidth="1"/>
    <col min="9" max="9" width="16.6640625" style="61" customWidth="1"/>
    <col min="10" max="10" width="14.33203125" style="58" customWidth="1"/>
    <col min="11" max="11" width="12.44140625" style="58" customWidth="1"/>
    <col min="12" max="12" width="30.109375" style="60" customWidth="1"/>
    <col min="13" max="13" width="4" style="40" customWidth="1"/>
    <col min="14" max="14" width="9.109375" style="40"/>
    <col min="15" max="15" width="11.5546875" style="40" customWidth="1"/>
    <col min="16" max="18" width="9.109375" style="40"/>
    <col min="19" max="19" width="10" style="40" bestFit="1" customWidth="1"/>
    <col min="20" max="20" width="13.44140625" style="40" customWidth="1"/>
    <col min="21" max="21" width="14.44140625" style="40" bestFit="1" customWidth="1"/>
    <col min="22" max="22" width="14.109375" style="40" customWidth="1"/>
    <col min="23" max="257" width="9.109375" style="40"/>
    <col min="258" max="258" width="19.88671875" style="40" customWidth="1"/>
    <col min="259" max="259" width="16" style="40" customWidth="1"/>
    <col min="260" max="260" width="15.6640625" style="40" customWidth="1"/>
    <col min="261" max="261" width="17.6640625" style="40" customWidth="1"/>
    <col min="262" max="263" width="15.6640625" style="40" customWidth="1"/>
    <col min="264" max="264" width="16.6640625" style="40" customWidth="1"/>
    <col min="265" max="265" width="16.33203125" style="40" customWidth="1"/>
    <col min="266" max="266" width="17.6640625" style="40" customWidth="1"/>
    <col min="267" max="267" width="14" style="40" customWidth="1"/>
    <col min="268" max="268" width="15" style="40" customWidth="1"/>
    <col min="269" max="269" width="4" style="40" customWidth="1"/>
    <col min="270" max="270" width="9.109375" style="40"/>
    <col min="271" max="271" width="11.5546875" style="40" customWidth="1"/>
    <col min="272" max="274" width="9.109375" style="40"/>
    <col min="275" max="275" width="10" style="40" bestFit="1" customWidth="1"/>
    <col min="276" max="276" width="13.44140625" style="40" customWidth="1"/>
    <col min="277" max="277" width="14.44140625" style="40" bestFit="1" customWidth="1"/>
    <col min="278" max="278" width="14.109375" style="40" customWidth="1"/>
    <col min="279" max="513" width="9.109375" style="40"/>
    <col min="514" max="514" width="19.88671875" style="40" customWidth="1"/>
    <col min="515" max="515" width="16" style="40" customWidth="1"/>
    <col min="516" max="516" width="15.6640625" style="40" customWidth="1"/>
    <col min="517" max="517" width="17.6640625" style="40" customWidth="1"/>
    <col min="518" max="519" width="15.6640625" style="40" customWidth="1"/>
    <col min="520" max="520" width="16.6640625" style="40" customWidth="1"/>
    <col min="521" max="521" width="16.33203125" style="40" customWidth="1"/>
    <col min="522" max="522" width="17.6640625" style="40" customWidth="1"/>
    <col min="523" max="523" width="14" style="40" customWidth="1"/>
    <col min="524" max="524" width="15" style="40" customWidth="1"/>
    <col min="525" max="525" width="4" style="40" customWidth="1"/>
    <col min="526" max="526" width="9.109375" style="40"/>
    <col min="527" max="527" width="11.5546875" style="40" customWidth="1"/>
    <col min="528" max="530" width="9.109375" style="40"/>
    <col min="531" max="531" width="10" style="40" bestFit="1" customWidth="1"/>
    <col min="532" max="532" width="13.44140625" style="40" customWidth="1"/>
    <col min="533" max="533" width="14.44140625" style="40" bestFit="1" customWidth="1"/>
    <col min="534" max="534" width="14.109375" style="40" customWidth="1"/>
    <col min="535" max="769" width="9.109375" style="40"/>
    <col min="770" max="770" width="19.88671875" style="40" customWidth="1"/>
    <col min="771" max="771" width="16" style="40" customWidth="1"/>
    <col min="772" max="772" width="15.6640625" style="40" customWidth="1"/>
    <col min="773" max="773" width="17.6640625" style="40" customWidth="1"/>
    <col min="774" max="775" width="15.6640625" style="40" customWidth="1"/>
    <col min="776" max="776" width="16.6640625" style="40" customWidth="1"/>
    <col min="777" max="777" width="16.33203125" style="40" customWidth="1"/>
    <col min="778" max="778" width="17.6640625" style="40" customWidth="1"/>
    <col min="779" max="779" width="14" style="40" customWidth="1"/>
    <col min="780" max="780" width="15" style="40" customWidth="1"/>
    <col min="781" max="781" width="4" style="40" customWidth="1"/>
    <col min="782" max="782" width="9.109375" style="40"/>
    <col min="783" max="783" width="11.5546875" style="40" customWidth="1"/>
    <col min="784" max="786" width="9.109375" style="40"/>
    <col min="787" max="787" width="10" style="40" bestFit="1" customWidth="1"/>
    <col min="788" max="788" width="13.44140625" style="40" customWidth="1"/>
    <col min="789" max="789" width="14.44140625" style="40" bestFit="1" customWidth="1"/>
    <col min="790" max="790" width="14.109375" style="40" customWidth="1"/>
    <col min="791" max="1025" width="9.109375" style="40"/>
    <col min="1026" max="1026" width="19.88671875" style="40" customWidth="1"/>
    <col min="1027" max="1027" width="16" style="40" customWidth="1"/>
    <col min="1028" max="1028" width="15.6640625" style="40" customWidth="1"/>
    <col min="1029" max="1029" width="17.6640625" style="40" customWidth="1"/>
    <col min="1030" max="1031" width="15.6640625" style="40" customWidth="1"/>
    <col min="1032" max="1032" width="16.6640625" style="40" customWidth="1"/>
    <col min="1033" max="1033" width="16.33203125" style="40" customWidth="1"/>
    <col min="1034" max="1034" width="17.6640625" style="40" customWidth="1"/>
    <col min="1035" max="1035" width="14" style="40" customWidth="1"/>
    <col min="1036" max="1036" width="15" style="40" customWidth="1"/>
    <col min="1037" max="1037" width="4" style="40" customWidth="1"/>
    <col min="1038" max="1038" width="9.109375" style="40"/>
    <col min="1039" max="1039" width="11.5546875" style="40" customWidth="1"/>
    <col min="1040" max="1042" width="9.109375" style="40"/>
    <col min="1043" max="1043" width="10" style="40" bestFit="1" customWidth="1"/>
    <col min="1044" max="1044" width="13.44140625" style="40" customWidth="1"/>
    <col min="1045" max="1045" width="14.44140625" style="40" bestFit="1" customWidth="1"/>
    <col min="1046" max="1046" width="14.109375" style="40" customWidth="1"/>
    <col min="1047" max="1281" width="9.109375" style="40"/>
    <col min="1282" max="1282" width="19.88671875" style="40" customWidth="1"/>
    <col min="1283" max="1283" width="16" style="40" customWidth="1"/>
    <col min="1284" max="1284" width="15.6640625" style="40" customWidth="1"/>
    <col min="1285" max="1285" width="17.6640625" style="40" customWidth="1"/>
    <col min="1286" max="1287" width="15.6640625" style="40" customWidth="1"/>
    <col min="1288" max="1288" width="16.6640625" style="40" customWidth="1"/>
    <col min="1289" max="1289" width="16.33203125" style="40" customWidth="1"/>
    <col min="1290" max="1290" width="17.6640625" style="40" customWidth="1"/>
    <col min="1291" max="1291" width="14" style="40" customWidth="1"/>
    <col min="1292" max="1292" width="15" style="40" customWidth="1"/>
    <col min="1293" max="1293" width="4" style="40" customWidth="1"/>
    <col min="1294" max="1294" width="9.109375" style="40"/>
    <col min="1295" max="1295" width="11.5546875" style="40" customWidth="1"/>
    <col min="1296" max="1298" width="9.109375" style="40"/>
    <col min="1299" max="1299" width="10" style="40" bestFit="1" customWidth="1"/>
    <col min="1300" max="1300" width="13.44140625" style="40" customWidth="1"/>
    <col min="1301" max="1301" width="14.44140625" style="40" bestFit="1" customWidth="1"/>
    <col min="1302" max="1302" width="14.109375" style="40" customWidth="1"/>
    <col min="1303" max="1537" width="9.109375" style="40"/>
    <col min="1538" max="1538" width="19.88671875" style="40" customWidth="1"/>
    <col min="1539" max="1539" width="16" style="40" customWidth="1"/>
    <col min="1540" max="1540" width="15.6640625" style="40" customWidth="1"/>
    <col min="1541" max="1541" width="17.6640625" style="40" customWidth="1"/>
    <col min="1542" max="1543" width="15.6640625" style="40" customWidth="1"/>
    <col min="1544" max="1544" width="16.6640625" style="40" customWidth="1"/>
    <col min="1545" max="1545" width="16.33203125" style="40" customWidth="1"/>
    <col min="1546" max="1546" width="17.6640625" style="40" customWidth="1"/>
    <col min="1547" max="1547" width="14" style="40" customWidth="1"/>
    <col min="1548" max="1548" width="15" style="40" customWidth="1"/>
    <col min="1549" max="1549" width="4" style="40" customWidth="1"/>
    <col min="1550" max="1550" width="9.109375" style="40"/>
    <col min="1551" max="1551" width="11.5546875" style="40" customWidth="1"/>
    <col min="1552" max="1554" width="9.109375" style="40"/>
    <col min="1555" max="1555" width="10" style="40" bestFit="1" customWidth="1"/>
    <col min="1556" max="1556" width="13.44140625" style="40" customWidth="1"/>
    <col min="1557" max="1557" width="14.44140625" style="40" bestFit="1" customWidth="1"/>
    <col min="1558" max="1558" width="14.109375" style="40" customWidth="1"/>
    <col min="1559" max="1793" width="9.109375" style="40"/>
    <col min="1794" max="1794" width="19.88671875" style="40" customWidth="1"/>
    <col min="1795" max="1795" width="16" style="40" customWidth="1"/>
    <col min="1796" max="1796" width="15.6640625" style="40" customWidth="1"/>
    <col min="1797" max="1797" width="17.6640625" style="40" customWidth="1"/>
    <col min="1798" max="1799" width="15.6640625" style="40" customWidth="1"/>
    <col min="1800" max="1800" width="16.6640625" style="40" customWidth="1"/>
    <col min="1801" max="1801" width="16.33203125" style="40" customWidth="1"/>
    <col min="1802" max="1802" width="17.6640625" style="40" customWidth="1"/>
    <col min="1803" max="1803" width="14" style="40" customWidth="1"/>
    <col min="1804" max="1804" width="15" style="40" customWidth="1"/>
    <col min="1805" max="1805" width="4" style="40" customWidth="1"/>
    <col min="1806" max="1806" width="9.109375" style="40"/>
    <col min="1807" max="1807" width="11.5546875" style="40" customWidth="1"/>
    <col min="1808" max="1810" width="9.109375" style="40"/>
    <col min="1811" max="1811" width="10" style="40" bestFit="1" customWidth="1"/>
    <col min="1812" max="1812" width="13.44140625" style="40" customWidth="1"/>
    <col min="1813" max="1813" width="14.44140625" style="40" bestFit="1" customWidth="1"/>
    <col min="1814" max="1814" width="14.109375" style="40" customWidth="1"/>
    <col min="1815" max="2049" width="9.109375" style="40"/>
    <col min="2050" max="2050" width="19.88671875" style="40" customWidth="1"/>
    <col min="2051" max="2051" width="16" style="40" customWidth="1"/>
    <col min="2052" max="2052" width="15.6640625" style="40" customWidth="1"/>
    <col min="2053" max="2053" width="17.6640625" style="40" customWidth="1"/>
    <col min="2054" max="2055" width="15.6640625" style="40" customWidth="1"/>
    <col min="2056" max="2056" width="16.6640625" style="40" customWidth="1"/>
    <col min="2057" max="2057" width="16.33203125" style="40" customWidth="1"/>
    <col min="2058" max="2058" width="17.6640625" style="40" customWidth="1"/>
    <col min="2059" max="2059" width="14" style="40" customWidth="1"/>
    <col min="2060" max="2060" width="15" style="40" customWidth="1"/>
    <col min="2061" max="2061" width="4" style="40" customWidth="1"/>
    <col min="2062" max="2062" width="9.109375" style="40"/>
    <col min="2063" max="2063" width="11.5546875" style="40" customWidth="1"/>
    <col min="2064" max="2066" width="9.109375" style="40"/>
    <col min="2067" max="2067" width="10" style="40" bestFit="1" customWidth="1"/>
    <col min="2068" max="2068" width="13.44140625" style="40" customWidth="1"/>
    <col min="2069" max="2069" width="14.44140625" style="40" bestFit="1" customWidth="1"/>
    <col min="2070" max="2070" width="14.109375" style="40" customWidth="1"/>
    <col min="2071" max="2305" width="9.109375" style="40"/>
    <col min="2306" max="2306" width="19.88671875" style="40" customWidth="1"/>
    <col min="2307" max="2307" width="16" style="40" customWidth="1"/>
    <col min="2308" max="2308" width="15.6640625" style="40" customWidth="1"/>
    <col min="2309" max="2309" width="17.6640625" style="40" customWidth="1"/>
    <col min="2310" max="2311" width="15.6640625" style="40" customWidth="1"/>
    <col min="2312" max="2312" width="16.6640625" style="40" customWidth="1"/>
    <col min="2313" max="2313" width="16.33203125" style="40" customWidth="1"/>
    <col min="2314" max="2314" width="17.6640625" style="40" customWidth="1"/>
    <col min="2315" max="2315" width="14" style="40" customWidth="1"/>
    <col min="2316" max="2316" width="15" style="40" customWidth="1"/>
    <col min="2317" max="2317" width="4" style="40" customWidth="1"/>
    <col min="2318" max="2318" width="9.109375" style="40"/>
    <col min="2319" max="2319" width="11.5546875" style="40" customWidth="1"/>
    <col min="2320" max="2322" width="9.109375" style="40"/>
    <col min="2323" max="2323" width="10" style="40" bestFit="1" customWidth="1"/>
    <col min="2324" max="2324" width="13.44140625" style="40" customWidth="1"/>
    <col min="2325" max="2325" width="14.44140625" style="40" bestFit="1" customWidth="1"/>
    <col min="2326" max="2326" width="14.109375" style="40" customWidth="1"/>
    <col min="2327" max="2561" width="9.109375" style="40"/>
    <col min="2562" max="2562" width="19.88671875" style="40" customWidth="1"/>
    <col min="2563" max="2563" width="16" style="40" customWidth="1"/>
    <col min="2564" max="2564" width="15.6640625" style="40" customWidth="1"/>
    <col min="2565" max="2565" width="17.6640625" style="40" customWidth="1"/>
    <col min="2566" max="2567" width="15.6640625" style="40" customWidth="1"/>
    <col min="2568" max="2568" width="16.6640625" style="40" customWidth="1"/>
    <col min="2569" max="2569" width="16.33203125" style="40" customWidth="1"/>
    <col min="2570" max="2570" width="17.6640625" style="40" customWidth="1"/>
    <col min="2571" max="2571" width="14" style="40" customWidth="1"/>
    <col min="2572" max="2572" width="15" style="40" customWidth="1"/>
    <col min="2573" max="2573" width="4" style="40" customWidth="1"/>
    <col min="2574" max="2574" width="9.109375" style="40"/>
    <col min="2575" max="2575" width="11.5546875" style="40" customWidth="1"/>
    <col min="2576" max="2578" width="9.109375" style="40"/>
    <col min="2579" max="2579" width="10" style="40" bestFit="1" customWidth="1"/>
    <col min="2580" max="2580" width="13.44140625" style="40" customWidth="1"/>
    <col min="2581" max="2581" width="14.44140625" style="40" bestFit="1" customWidth="1"/>
    <col min="2582" max="2582" width="14.109375" style="40" customWidth="1"/>
    <col min="2583" max="2817" width="9.109375" style="40"/>
    <col min="2818" max="2818" width="19.88671875" style="40" customWidth="1"/>
    <col min="2819" max="2819" width="16" style="40" customWidth="1"/>
    <col min="2820" max="2820" width="15.6640625" style="40" customWidth="1"/>
    <col min="2821" max="2821" width="17.6640625" style="40" customWidth="1"/>
    <col min="2822" max="2823" width="15.6640625" style="40" customWidth="1"/>
    <col min="2824" max="2824" width="16.6640625" style="40" customWidth="1"/>
    <col min="2825" max="2825" width="16.33203125" style="40" customWidth="1"/>
    <col min="2826" max="2826" width="17.6640625" style="40" customWidth="1"/>
    <col min="2827" max="2827" width="14" style="40" customWidth="1"/>
    <col min="2828" max="2828" width="15" style="40" customWidth="1"/>
    <col min="2829" max="2829" width="4" style="40" customWidth="1"/>
    <col min="2830" max="2830" width="9.109375" style="40"/>
    <col min="2831" max="2831" width="11.5546875" style="40" customWidth="1"/>
    <col min="2832" max="2834" width="9.109375" style="40"/>
    <col min="2835" max="2835" width="10" style="40" bestFit="1" customWidth="1"/>
    <col min="2836" max="2836" width="13.44140625" style="40" customWidth="1"/>
    <col min="2837" max="2837" width="14.44140625" style="40" bestFit="1" customWidth="1"/>
    <col min="2838" max="2838" width="14.109375" style="40" customWidth="1"/>
    <col min="2839" max="3073" width="9.109375" style="40"/>
    <col min="3074" max="3074" width="19.88671875" style="40" customWidth="1"/>
    <col min="3075" max="3075" width="16" style="40" customWidth="1"/>
    <col min="3076" max="3076" width="15.6640625" style="40" customWidth="1"/>
    <col min="3077" max="3077" width="17.6640625" style="40" customWidth="1"/>
    <col min="3078" max="3079" width="15.6640625" style="40" customWidth="1"/>
    <col min="3080" max="3080" width="16.6640625" style="40" customWidth="1"/>
    <col min="3081" max="3081" width="16.33203125" style="40" customWidth="1"/>
    <col min="3082" max="3082" width="17.6640625" style="40" customWidth="1"/>
    <col min="3083" max="3083" width="14" style="40" customWidth="1"/>
    <col min="3084" max="3084" width="15" style="40" customWidth="1"/>
    <col min="3085" max="3085" width="4" style="40" customWidth="1"/>
    <col min="3086" max="3086" width="9.109375" style="40"/>
    <col min="3087" max="3087" width="11.5546875" style="40" customWidth="1"/>
    <col min="3088" max="3090" width="9.109375" style="40"/>
    <col min="3091" max="3091" width="10" style="40" bestFit="1" customWidth="1"/>
    <col min="3092" max="3092" width="13.44140625" style="40" customWidth="1"/>
    <col min="3093" max="3093" width="14.44140625" style="40" bestFit="1" customWidth="1"/>
    <col min="3094" max="3094" width="14.109375" style="40" customWidth="1"/>
    <col min="3095" max="3329" width="9.109375" style="40"/>
    <col min="3330" max="3330" width="19.88671875" style="40" customWidth="1"/>
    <col min="3331" max="3331" width="16" style="40" customWidth="1"/>
    <col min="3332" max="3332" width="15.6640625" style="40" customWidth="1"/>
    <col min="3333" max="3333" width="17.6640625" style="40" customWidth="1"/>
    <col min="3334" max="3335" width="15.6640625" style="40" customWidth="1"/>
    <col min="3336" max="3336" width="16.6640625" style="40" customWidth="1"/>
    <col min="3337" max="3337" width="16.33203125" style="40" customWidth="1"/>
    <col min="3338" max="3338" width="17.6640625" style="40" customWidth="1"/>
    <col min="3339" max="3339" width="14" style="40" customWidth="1"/>
    <col min="3340" max="3340" width="15" style="40" customWidth="1"/>
    <col min="3341" max="3341" width="4" style="40" customWidth="1"/>
    <col min="3342" max="3342" width="9.109375" style="40"/>
    <col min="3343" max="3343" width="11.5546875" style="40" customWidth="1"/>
    <col min="3344" max="3346" width="9.109375" style="40"/>
    <col min="3347" max="3347" width="10" style="40" bestFit="1" customWidth="1"/>
    <col min="3348" max="3348" width="13.44140625" style="40" customWidth="1"/>
    <col min="3349" max="3349" width="14.44140625" style="40" bestFit="1" customWidth="1"/>
    <col min="3350" max="3350" width="14.109375" style="40" customWidth="1"/>
    <col min="3351" max="3585" width="9.109375" style="40"/>
    <col min="3586" max="3586" width="19.88671875" style="40" customWidth="1"/>
    <col min="3587" max="3587" width="16" style="40" customWidth="1"/>
    <col min="3588" max="3588" width="15.6640625" style="40" customWidth="1"/>
    <col min="3589" max="3589" width="17.6640625" style="40" customWidth="1"/>
    <col min="3590" max="3591" width="15.6640625" style="40" customWidth="1"/>
    <col min="3592" max="3592" width="16.6640625" style="40" customWidth="1"/>
    <col min="3593" max="3593" width="16.33203125" style="40" customWidth="1"/>
    <col min="3594" max="3594" width="17.6640625" style="40" customWidth="1"/>
    <col min="3595" max="3595" width="14" style="40" customWidth="1"/>
    <col min="3596" max="3596" width="15" style="40" customWidth="1"/>
    <col min="3597" max="3597" width="4" style="40" customWidth="1"/>
    <col min="3598" max="3598" width="9.109375" style="40"/>
    <col min="3599" max="3599" width="11.5546875" style="40" customWidth="1"/>
    <col min="3600" max="3602" width="9.109375" style="40"/>
    <col min="3603" max="3603" width="10" style="40" bestFit="1" customWidth="1"/>
    <col min="3604" max="3604" width="13.44140625" style="40" customWidth="1"/>
    <col min="3605" max="3605" width="14.44140625" style="40" bestFit="1" customWidth="1"/>
    <col min="3606" max="3606" width="14.109375" style="40" customWidth="1"/>
    <col min="3607" max="3841" width="9.109375" style="40"/>
    <col min="3842" max="3842" width="19.88671875" style="40" customWidth="1"/>
    <col min="3843" max="3843" width="16" style="40" customWidth="1"/>
    <col min="3844" max="3844" width="15.6640625" style="40" customWidth="1"/>
    <col min="3845" max="3845" width="17.6640625" style="40" customWidth="1"/>
    <col min="3846" max="3847" width="15.6640625" style="40" customWidth="1"/>
    <col min="3848" max="3848" width="16.6640625" style="40" customWidth="1"/>
    <col min="3849" max="3849" width="16.33203125" style="40" customWidth="1"/>
    <col min="3850" max="3850" width="17.6640625" style="40" customWidth="1"/>
    <col min="3851" max="3851" width="14" style="40" customWidth="1"/>
    <col min="3852" max="3852" width="15" style="40" customWidth="1"/>
    <col min="3853" max="3853" width="4" style="40" customWidth="1"/>
    <col min="3854" max="3854" width="9.109375" style="40"/>
    <col min="3855" max="3855" width="11.5546875" style="40" customWidth="1"/>
    <col min="3856" max="3858" width="9.109375" style="40"/>
    <col min="3859" max="3859" width="10" style="40" bestFit="1" customWidth="1"/>
    <col min="3860" max="3860" width="13.44140625" style="40" customWidth="1"/>
    <col min="3861" max="3861" width="14.44140625" style="40" bestFit="1" customWidth="1"/>
    <col min="3862" max="3862" width="14.109375" style="40" customWidth="1"/>
    <col min="3863" max="4097" width="9.109375" style="40"/>
    <col min="4098" max="4098" width="19.88671875" style="40" customWidth="1"/>
    <col min="4099" max="4099" width="16" style="40" customWidth="1"/>
    <col min="4100" max="4100" width="15.6640625" style="40" customWidth="1"/>
    <col min="4101" max="4101" width="17.6640625" style="40" customWidth="1"/>
    <col min="4102" max="4103" width="15.6640625" style="40" customWidth="1"/>
    <col min="4104" max="4104" width="16.6640625" style="40" customWidth="1"/>
    <col min="4105" max="4105" width="16.33203125" style="40" customWidth="1"/>
    <col min="4106" max="4106" width="17.6640625" style="40" customWidth="1"/>
    <col min="4107" max="4107" width="14" style="40" customWidth="1"/>
    <col min="4108" max="4108" width="15" style="40" customWidth="1"/>
    <col min="4109" max="4109" width="4" style="40" customWidth="1"/>
    <col min="4110" max="4110" width="9.109375" style="40"/>
    <col min="4111" max="4111" width="11.5546875" style="40" customWidth="1"/>
    <col min="4112" max="4114" width="9.109375" style="40"/>
    <col min="4115" max="4115" width="10" style="40" bestFit="1" customWidth="1"/>
    <col min="4116" max="4116" width="13.44140625" style="40" customWidth="1"/>
    <col min="4117" max="4117" width="14.44140625" style="40" bestFit="1" customWidth="1"/>
    <col min="4118" max="4118" width="14.109375" style="40" customWidth="1"/>
    <col min="4119" max="4353" width="9.109375" style="40"/>
    <col min="4354" max="4354" width="19.88671875" style="40" customWidth="1"/>
    <col min="4355" max="4355" width="16" style="40" customWidth="1"/>
    <col min="4356" max="4356" width="15.6640625" style="40" customWidth="1"/>
    <col min="4357" max="4357" width="17.6640625" style="40" customWidth="1"/>
    <col min="4358" max="4359" width="15.6640625" style="40" customWidth="1"/>
    <col min="4360" max="4360" width="16.6640625" style="40" customWidth="1"/>
    <col min="4361" max="4361" width="16.33203125" style="40" customWidth="1"/>
    <col min="4362" max="4362" width="17.6640625" style="40" customWidth="1"/>
    <col min="4363" max="4363" width="14" style="40" customWidth="1"/>
    <col min="4364" max="4364" width="15" style="40" customWidth="1"/>
    <col min="4365" max="4365" width="4" style="40" customWidth="1"/>
    <col min="4366" max="4366" width="9.109375" style="40"/>
    <col min="4367" max="4367" width="11.5546875" style="40" customWidth="1"/>
    <col min="4368" max="4370" width="9.109375" style="40"/>
    <col min="4371" max="4371" width="10" style="40" bestFit="1" customWidth="1"/>
    <col min="4372" max="4372" width="13.44140625" style="40" customWidth="1"/>
    <col min="4373" max="4373" width="14.44140625" style="40" bestFit="1" customWidth="1"/>
    <col min="4374" max="4374" width="14.109375" style="40" customWidth="1"/>
    <col min="4375" max="4609" width="9.109375" style="40"/>
    <col min="4610" max="4610" width="19.88671875" style="40" customWidth="1"/>
    <col min="4611" max="4611" width="16" style="40" customWidth="1"/>
    <col min="4612" max="4612" width="15.6640625" style="40" customWidth="1"/>
    <col min="4613" max="4613" width="17.6640625" style="40" customWidth="1"/>
    <col min="4614" max="4615" width="15.6640625" style="40" customWidth="1"/>
    <col min="4616" max="4616" width="16.6640625" style="40" customWidth="1"/>
    <col min="4617" max="4617" width="16.33203125" style="40" customWidth="1"/>
    <col min="4618" max="4618" width="17.6640625" style="40" customWidth="1"/>
    <col min="4619" max="4619" width="14" style="40" customWidth="1"/>
    <col min="4620" max="4620" width="15" style="40" customWidth="1"/>
    <col min="4621" max="4621" width="4" style="40" customWidth="1"/>
    <col min="4622" max="4622" width="9.109375" style="40"/>
    <col min="4623" max="4623" width="11.5546875" style="40" customWidth="1"/>
    <col min="4624" max="4626" width="9.109375" style="40"/>
    <col min="4627" max="4627" width="10" style="40" bestFit="1" customWidth="1"/>
    <col min="4628" max="4628" width="13.44140625" style="40" customWidth="1"/>
    <col min="4629" max="4629" width="14.44140625" style="40" bestFit="1" customWidth="1"/>
    <col min="4630" max="4630" width="14.109375" style="40" customWidth="1"/>
    <col min="4631" max="4865" width="9.109375" style="40"/>
    <col min="4866" max="4866" width="19.88671875" style="40" customWidth="1"/>
    <col min="4867" max="4867" width="16" style="40" customWidth="1"/>
    <col min="4868" max="4868" width="15.6640625" style="40" customWidth="1"/>
    <col min="4869" max="4869" width="17.6640625" style="40" customWidth="1"/>
    <col min="4870" max="4871" width="15.6640625" style="40" customWidth="1"/>
    <col min="4872" max="4872" width="16.6640625" style="40" customWidth="1"/>
    <col min="4873" max="4873" width="16.33203125" style="40" customWidth="1"/>
    <col min="4874" max="4874" width="17.6640625" style="40" customWidth="1"/>
    <col min="4875" max="4875" width="14" style="40" customWidth="1"/>
    <col min="4876" max="4876" width="15" style="40" customWidth="1"/>
    <col min="4877" max="4877" width="4" style="40" customWidth="1"/>
    <col min="4878" max="4878" width="9.109375" style="40"/>
    <col min="4879" max="4879" width="11.5546875" style="40" customWidth="1"/>
    <col min="4880" max="4882" width="9.109375" style="40"/>
    <col min="4883" max="4883" width="10" style="40" bestFit="1" customWidth="1"/>
    <col min="4884" max="4884" width="13.44140625" style="40" customWidth="1"/>
    <col min="4885" max="4885" width="14.44140625" style="40" bestFit="1" customWidth="1"/>
    <col min="4886" max="4886" width="14.109375" style="40" customWidth="1"/>
    <col min="4887" max="5121" width="9.109375" style="40"/>
    <col min="5122" max="5122" width="19.88671875" style="40" customWidth="1"/>
    <col min="5123" max="5123" width="16" style="40" customWidth="1"/>
    <col min="5124" max="5124" width="15.6640625" style="40" customWidth="1"/>
    <col min="5125" max="5125" width="17.6640625" style="40" customWidth="1"/>
    <col min="5126" max="5127" width="15.6640625" style="40" customWidth="1"/>
    <col min="5128" max="5128" width="16.6640625" style="40" customWidth="1"/>
    <col min="5129" max="5129" width="16.33203125" style="40" customWidth="1"/>
    <col min="5130" max="5130" width="17.6640625" style="40" customWidth="1"/>
    <col min="5131" max="5131" width="14" style="40" customWidth="1"/>
    <col min="5132" max="5132" width="15" style="40" customWidth="1"/>
    <col min="5133" max="5133" width="4" style="40" customWidth="1"/>
    <col min="5134" max="5134" width="9.109375" style="40"/>
    <col min="5135" max="5135" width="11.5546875" style="40" customWidth="1"/>
    <col min="5136" max="5138" width="9.109375" style="40"/>
    <col min="5139" max="5139" width="10" style="40" bestFit="1" customWidth="1"/>
    <col min="5140" max="5140" width="13.44140625" style="40" customWidth="1"/>
    <col min="5141" max="5141" width="14.44140625" style="40" bestFit="1" customWidth="1"/>
    <col min="5142" max="5142" width="14.109375" style="40" customWidth="1"/>
    <col min="5143" max="5377" width="9.109375" style="40"/>
    <col min="5378" max="5378" width="19.88671875" style="40" customWidth="1"/>
    <col min="5379" max="5379" width="16" style="40" customWidth="1"/>
    <col min="5380" max="5380" width="15.6640625" style="40" customWidth="1"/>
    <col min="5381" max="5381" width="17.6640625" style="40" customWidth="1"/>
    <col min="5382" max="5383" width="15.6640625" style="40" customWidth="1"/>
    <col min="5384" max="5384" width="16.6640625" style="40" customWidth="1"/>
    <col min="5385" max="5385" width="16.33203125" style="40" customWidth="1"/>
    <col min="5386" max="5386" width="17.6640625" style="40" customWidth="1"/>
    <col min="5387" max="5387" width="14" style="40" customWidth="1"/>
    <col min="5388" max="5388" width="15" style="40" customWidth="1"/>
    <col min="5389" max="5389" width="4" style="40" customWidth="1"/>
    <col min="5390" max="5390" width="9.109375" style="40"/>
    <col min="5391" max="5391" width="11.5546875" style="40" customWidth="1"/>
    <col min="5392" max="5394" width="9.109375" style="40"/>
    <col min="5395" max="5395" width="10" style="40" bestFit="1" customWidth="1"/>
    <col min="5396" max="5396" width="13.44140625" style="40" customWidth="1"/>
    <col min="5397" max="5397" width="14.44140625" style="40" bestFit="1" customWidth="1"/>
    <col min="5398" max="5398" width="14.109375" style="40" customWidth="1"/>
    <col min="5399" max="5633" width="9.109375" style="40"/>
    <col min="5634" max="5634" width="19.88671875" style="40" customWidth="1"/>
    <col min="5635" max="5635" width="16" style="40" customWidth="1"/>
    <col min="5636" max="5636" width="15.6640625" style="40" customWidth="1"/>
    <col min="5637" max="5637" width="17.6640625" style="40" customWidth="1"/>
    <col min="5638" max="5639" width="15.6640625" style="40" customWidth="1"/>
    <col min="5640" max="5640" width="16.6640625" style="40" customWidth="1"/>
    <col min="5641" max="5641" width="16.33203125" style="40" customWidth="1"/>
    <col min="5642" max="5642" width="17.6640625" style="40" customWidth="1"/>
    <col min="5643" max="5643" width="14" style="40" customWidth="1"/>
    <col min="5644" max="5644" width="15" style="40" customWidth="1"/>
    <col min="5645" max="5645" width="4" style="40" customWidth="1"/>
    <col min="5646" max="5646" width="9.109375" style="40"/>
    <col min="5647" max="5647" width="11.5546875" style="40" customWidth="1"/>
    <col min="5648" max="5650" width="9.109375" style="40"/>
    <col min="5651" max="5651" width="10" style="40" bestFit="1" customWidth="1"/>
    <col min="5652" max="5652" width="13.44140625" style="40" customWidth="1"/>
    <col min="5653" max="5653" width="14.44140625" style="40" bestFit="1" customWidth="1"/>
    <col min="5654" max="5654" width="14.109375" style="40" customWidth="1"/>
    <col min="5655" max="5889" width="9.109375" style="40"/>
    <col min="5890" max="5890" width="19.88671875" style="40" customWidth="1"/>
    <col min="5891" max="5891" width="16" style="40" customWidth="1"/>
    <col min="5892" max="5892" width="15.6640625" style="40" customWidth="1"/>
    <col min="5893" max="5893" width="17.6640625" style="40" customWidth="1"/>
    <col min="5894" max="5895" width="15.6640625" style="40" customWidth="1"/>
    <col min="5896" max="5896" width="16.6640625" style="40" customWidth="1"/>
    <col min="5897" max="5897" width="16.33203125" style="40" customWidth="1"/>
    <col min="5898" max="5898" width="17.6640625" style="40" customWidth="1"/>
    <col min="5899" max="5899" width="14" style="40" customWidth="1"/>
    <col min="5900" max="5900" width="15" style="40" customWidth="1"/>
    <col min="5901" max="5901" width="4" style="40" customWidth="1"/>
    <col min="5902" max="5902" width="9.109375" style="40"/>
    <col min="5903" max="5903" width="11.5546875" style="40" customWidth="1"/>
    <col min="5904" max="5906" width="9.109375" style="40"/>
    <col min="5907" max="5907" width="10" style="40" bestFit="1" customWidth="1"/>
    <col min="5908" max="5908" width="13.44140625" style="40" customWidth="1"/>
    <col min="5909" max="5909" width="14.44140625" style="40" bestFit="1" customWidth="1"/>
    <col min="5910" max="5910" width="14.109375" style="40" customWidth="1"/>
    <col min="5911" max="6145" width="9.109375" style="40"/>
    <col min="6146" max="6146" width="19.88671875" style="40" customWidth="1"/>
    <col min="6147" max="6147" width="16" style="40" customWidth="1"/>
    <col min="6148" max="6148" width="15.6640625" style="40" customWidth="1"/>
    <col min="6149" max="6149" width="17.6640625" style="40" customWidth="1"/>
    <col min="6150" max="6151" width="15.6640625" style="40" customWidth="1"/>
    <col min="6152" max="6152" width="16.6640625" style="40" customWidth="1"/>
    <col min="6153" max="6153" width="16.33203125" style="40" customWidth="1"/>
    <col min="6154" max="6154" width="17.6640625" style="40" customWidth="1"/>
    <col min="6155" max="6155" width="14" style="40" customWidth="1"/>
    <col min="6156" max="6156" width="15" style="40" customWidth="1"/>
    <col min="6157" max="6157" width="4" style="40" customWidth="1"/>
    <col min="6158" max="6158" width="9.109375" style="40"/>
    <col min="6159" max="6159" width="11.5546875" style="40" customWidth="1"/>
    <col min="6160" max="6162" width="9.109375" style="40"/>
    <col min="6163" max="6163" width="10" style="40" bestFit="1" customWidth="1"/>
    <col min="6164" max="6164" width="13.44140625" style="40" customWidth="1"/>
    <col min="6165" max="6165" width="14.44140625" style="40" bestFit="1" customWidth="1"/>
    <col min="6166" max="6166" width="14.109375" style="40" customWidth="1"/>
    <col min="6167" max="6401" width="9.109375" style="40"/>
    <col min="6402" max="6402" width="19.88671875" style="40" customWidth="1"/>
    <col min="6403" max="6403" width="16" style="40" customWidth="1"/>
    <col min="6404" max="6404" width="15.6640625" style="40" customWidth="1"/>
    <col min="6405" max="6405" width="17.6640625" style="40" customWidth="1"/>
    <col min="6406" max="6407" width="15.6640625" style="40" customWidth="1"/>
    <col min="6408" max="6408" width="16.6640625" style="40" customWidth="1"/>
    <col min="6409" max="6409" width="16.33203125" style="40" customWidth="1"/>
    <col min="6410" max="6410" width="17.6640625" style="40" customWidth="1"/>
    <col min="6411" max="6411" width="14" style="40" customWidth="1"/>
    <col min="6412" max="6412" width="15" style="40" customWidth="1"/>
    <col min="6413" max="6413" width="4" style="40" customWidth="1"/>
    <col min="6414" max="6414" width="9.109375" style="40"/>
    <col min="6415" max="6415" width="11.5546875" style="40" customWidth="1"/>
    <col min="6416" max="6418" width="9.109375" style="40"/>
    <col min="6419" max="6419" width="10" style="40" bestFit="1" customWidth="1"/>
    <col min="6420" max="6420" width="13.44140625" style="40" customWidth="1"/>
    <col min="6421" max="6421" width="14.44140625" style="40" bestFit="1" customWidth="1"/>
    <col min="6422" max="6422" width="14.109375" style="40" customWidth="1"/>
    <col min="6423" max="6657" width="9.109375" style="40"/>
    <col min="6658" max="6658" width="19.88671875" style="40" customWidth="1"/>
    <col min="6659" max="6659" width="16" style="40" customWidth="1"/>
    <col min="6660" max="6660" width="15.6640625" style="40" customWidth="1"/>
    <col min="6661" max="6661" width="17.6640625" style="40" customWidth="1"/>
    <col min="6662" max="6663" width="15.6640625" style="40" customWidth="1"/>
    <col min="6664" max="6664" width="16.6640625" style="40" customWidth="1"/>
    <col min="6665" max="6665" width="16.33203125" style="40" customWidth="1"/>
    <col min="6666" max="6666" width="17.6640625" style="40" customWidth="1"/>
    <col min="6667" max="6667" width="14" style="40" customWidth="1"/>
    <col min="6668" max="6668" width="15" style="40" customWidth="1"/>
    <col min="6669" max="6669" width="4" style="40" customWidth="1"/>
    <col min="6670" max="6670" width="9.109375" style="40"/>
    <col min="6671" max="6671" width="11.5546875" style="40" customWidth="1"/>
    <col min="6672" max="6674" width="9.109375" style="40"/>
    <col min="6675" max="6675" width="10" style="40" bestFit="1" customWidth="1"/>
    <col min="6676" max="6676" width="13.44140625" style="40" customWidth="1"/>
    <col min="6677" max="6677" width="14.44140625" style="40" bestFit="1" customWidth="1"/>
    <col min="6678" max="6678" width="14.109375" style="40" customWidth="1"/>
    <col min="6679" max="6913" width="9.109375" style="40"/>
    <col min="6914" max="6914" width="19.88671875" style="40" customWidth="1"/>
    <col min="6915" max="6915" width="16" style="40" customWidth="1"/>
    <col min="6916" max="6916" width="15.6640625" style="40" customWidth="1"/>
    <col min="6917" max="6917" width="17.6640625" style="40" customWidth="1"/>
    <col min="6918" max="6919" width="15.6640625" style="40" customWidth="1"/>
    <col min="6920" max="6920" width="16.6640625" style="40" customWidth="1"/>
    <col min="6921" max="6921" width="16.33203125" style="40" customWidth="1"/>
    <col min="6922" max="6922" width="17.6640625" style="40" customWidth="1"/>
    <col min="6923" max="6923" width="14" style="40" customWidth="1"/>
    <col min="6924" max="6924" width="15" style="40" customWidth="1"/>
    <col min="6925" max="6925" width="4" style="40" customWidth="1"/>
    <col min="6926" max="6926" width="9.109375" style="40"/>
    <col min="6927" max="6927" width="11.5546875" style="40" customWidth="1"/>
    <col min="6928" max="6930" width="9.109375" style="40"/>
    <col min="6931" max="6931" width="10" style="40" bestFit="1" customWidth="1"/>
    <col min="6932" max="6932" width="13.44140625" style="40" customWidth="1"/>
    <col min="6933" max="6933" width="14.44140625" style="40" bestFit="1" customWidth="1"/>
    <col min="6934" max="6934" width="14.109375" style="40" customWidth="1"/>
    <col min="6935" max="7169" width="9.109375" style="40"/>
    <col min="7170" max="7170" width="19.88671875" style="40" customWidth="1"/>
    <col min="7171" max="7171" width="16" style="40" customWidth="1"/>
    <col min="7172" max="7172" width="15.6640625" style="40" customWidth="1"/>
    <col min="7173" max="7173" width="17.6640625" style="40" customWidth="1"/>
    <col min="7174" max="7175" width="15.6640625" style="40" customWidth="1"/>
    <col min="7176" max="7176" width="16.6640625" style="40" customWidth="1"/>
    <col min="7177" max="7177" width="16.33203125" style="40" customWidth="1"/>
    <col min="7178" max="7178" width="17.6640625" style="40" customWidth="1"/>
    <col min="7179" max="7179" width="14" style="40" customWidth="1"/>
    <col min="7180" max="7180" width="15" style="40" customWidth="1"/>
    <col min="7181" max="7181" width="4" style="40" customWidth="1"/>
    <col min="7182" max="7182" width="9.109375" style="40"/>
    <col min="7183" max="7183" width="11.5546875" style="40" customWidth="1"/>
    <col min="7184" max="7186" width="9.109375" style="40"/>
    <col min="7187" max="7187" width="10" style="40" bestFit="1" customWidth="1"/>
    <col min="7188" max="7188" width="13.44140625" style="40" customWidth="1"/>
    <col min="7189" max="7189" width="14.44140625" style="40" bestFit="1" customWidth="1"/>
    <col min="7190" max="7190" width="14.109375" style="40" customWidth="1"/>
    <col min="7191" max="7425" width="9.109375" style="40"/>
    <col min="7426" max="7426" width="19.88671875" style="40" customWidth="1"/>
    <col min="7427" max="7427" width="16" style="40" customWidth="1"/>
    <col min="7428" max="7428" width="15.6640625" style="40" customWidth="1"/>
    <col min="7429" max="7429" width="17.6640625" style="40" customWidth="1"/>
    <col min="7430" max="7431" width="15.6640625" style="40" customWidth="1"/>
    <col min="7432" max="7432" width="16.6640625" style="40" customWidth="1"/>
    <col min="7433" max="7433" width="16.33203125" style="40" customWidth="1"/>
    <col min="7434" max="7434" width="17.6640625" style="40" customWidth="1"/>
    <col min="7435" max="7435" width="14" style="40" customWidth="1"/>
    <col min="7436" max="7436" width="15" style="40" customWidth="1"/>
    <col min="7437" max="7437" width="4" style="40" customWidth="1"/>
    <col min="7438" max="7438" width="9.109375" style="40"/>
    <col min="7439" max="7439" width="11.5546875" style="40" customWidth="1"/>
    <col min="7440" max="7442" width="9.109375" style="40"/>
    <col min="7443" max="7443" width="10" style="40" bestFit="1" customWidth="1"/>
    <col min="7444" max="7444" width="13.44140625" style="40" customWidth="1"/>
    <col min="7445" max="7445" width="14.44140625" style="40" bestFit="1" customWidth="1"/>
    <col min="7446" max="7446" width="14.109375" style="40" customWidth="1"/>
    <col min="7447" max="7681" width="9.109375" style="40"/>
    <col min="7682" max="7682" width="19.88671875" style="40" customWidth="1"/>
    <col min="7683" max="7683" width="16" style="40" customWidth="1"/>
    <col min="7684" max="7684" width="15.6640625" style="40" customWidth="1"/>
    <col min="7685" max="7685" width="17.6640625" style="40" customWidth="1"/>
    <col min="7686" max="7687" width="15.6640625" style="40" customWidth="1"/>
    <col min="7688" max="7688" width="16.6640625" style="40" customWidth="1"/>
    <col min="7689" max="7689" width="16.33203125" style="40" customWidth="1"/>
    <col min="7690" max="7690" width="17.6640625" style="40" customWidth="1"/>
    <col min="7691" max="7691" width="14" style="40" customWidth="1"/>
    <col min="7692" max="7692" width="15" style="40" customWidth="1"/>
    <col min="7693" max="7693" width="4" style="40" customWidth="1"/>
    <col min="7694" max="7694" width="9.109375" style="40"/>
    <col min="7695" max="7695" width="11.5546875" style="40" customWidth="1"/>
    <col min="7696" max="7698" width="9.109375" style="40"/>
    <col min="7699" max="7699" width="10" style="40" bestFit="1" customWidth="1"/>
    <col min="7700" max="7700" width="13.44140625" style="40" customWidth="1"/>
    <col min="7701" max="7701" width="14.44140625" style="40" bestFit="1" customWidth="1"/>
    <col min="7702" max="7702" width="14.109375" style="40" customWidth="1"/>
    <col min="7703" max="7937" width="9.109375" style="40"/>
    <col min="7938" max="7938" width="19.88671875" style="40" customWidth="1"/>
    <col min="7939" max="7939" width="16" style="40" customWidth="1"/>
    <col min="7940" max="7940" width="15.6640625" style="40" customWidth="1"/>
    <col min="7941" max="7941" width="17.6640625" style="40" customWidth="1"/>
    <col min="7942" max="7943" width="15.6640625" style="40" customWidth="1"/>
    <col min="7944" max="7944" width="16.6640625" style="40" customWidth="1"/>
    <col min="7945" max="7945" width="16.33203125" style="40" customWidth="1"/>
    <col min="7946" max="7946" width="17.6640625" style="40" customWidth="1"/>
    <col min="7947" max="7947" width="14" style="40" customWidth="1"/>
    <col min="7948" max="7948" width="15" style="40" customWidth="1"/>
    <col min="7949" max="7949" width="4" style="40" customWidth="1"/>
    <col min="7950" max="7950" width="9.109375" style="40"/>
    <col min="7951" max="7951" width="11.5546875" style="40" customWidth="1"/>
    <col min="7952" max="7954" width="9.109375" style="40"/>
    <col min="7955" max="7955" width="10" style="40" bestFit="1" customWidth="1"/>
    <col min="7956" max="7956" width="13.44140625" style="40" customWidth="1"/>
    <col min="7957" max="7957" width="14.44140625" style="40" bestFit="1" customWidth="1"/>
    <col min="7958" max="7958" width="14.109375" style="40" customWidth="1"/>
    <col min="7959" max="8193" width="9.109375" style="40"/>
    <col min="8194" max="8194" width="19.88671875" style="40" customWidth="1"/>
    <col min="8195" max="8195" width="16" style="40" customWidth="1"/>
    <col min="8196" max="8196" width="15.6640625" style="40" customWidth="1"/>
    <col min="8197" max="8197" width="17.6640625" style="40" customWidth="1"/>
    <col min="8198" max="8199" width="15.6640625" style="40" customWidth="1"/>
    <col min="8200" max="8200" width="16.6640625" style="40" customWidth="1"/>
    <col min="8201" max="8201" width="16.33203125" style="40" customWidth="1"/>
    <col min="8202" max="8202" width="17.6640625" style="40" customWidth="1"/>
    <col min="8203" max="8203" width="14" style="40" customWidth="1"/>
    <col min="8204" max="8204" width="15" style="40" customWidth="1"/>
    <col min="8205" max="8205" width="4" style="40" customWidth="1"/>
    <col min="8206" max="8206" width="9.109375" style="40"/>
    <col min="8207" max="8207" width="11.5546875" style="40" customWidth="1"/>
    <col min="8208" max="8210" width="9.109375" style="40"/>
    <col min="8211" max="8211" width="10" style="40" bestFit="1" customWidth="1"/>
    <col min="8212" max="8212" width="13.44140625" style="40" customWidth="1"/>
    <col min="8213" max="8213" width="14.44140625" style="40" bestFit="1" customWidth="1"/>
    <col min="8214" max="8214" width="14.109375" style="40" customWidth="1"/>
    <col min="8215" max="8449" width="9.109375" style="40"/>
    <col min="8450" max="8450" width="19.88671875" style="40" customWidth="1"/>
    <col min="8451" max="8451" width="16" style="40" customWidth="1"/>
    <col min="8452" max="8452" width="15.6640625" style="40" customWidth="1"/>
    <col min="8453" max="8453" width="17.6640625" style="40" customWidth="1"/>
    <col min="8454" max="8455" width="15.6640625" style="40" customWidth="1"/>
    <col min="8456" max="8456" width="16.6640625" style="40" customWidth="1"/>
    <col min="8457" max="8457" width="16.33203125" style="40" customWidth="1"/>
    <col min="8458" max="8458" width="17.6640625" style="40" customWidth="1"/>
    <col min="8459" max="8459" width="14" style="40" customWidth="1"/>
    <col min="8460" max="8460" width="15" style="40" customWidth="1"/>
    <col min="8461" max="8461" width="4" style="40" customWidth="1"/>
    <col min="8462" max="8462" width="9.109375" style="40"/>
    <col min="8463" max="8463" width="11.5546875" style="40" customWidth="1"/>
    <col min="8464" max="8466" width="9.109375" style="40"/>
    <col min="8467" max="8467" width="10" style="40" bestFit="1" customWidth="1"/>
    <col min="8468" max="8468" width="13.44140625" style="40" customWidth="1"/>
    <col min="8469" max="8469" width="14.44140625" style="40" bestFit="1" customWidth="1"/>
    <col min="8470" max="8470" width="14.109375" style="40" customWidth="1"/>
    <col min="8471" max="8705" width="9.109375" style="40"/>
    <col min="8706" max="8706" width="19.88671875" style="40" customWidth="1"/>
    <col min="8707" max="8707" width="16" style="40" customWidth="1"/>
    <col min="8708" max="8708" width="15.6640625" style="40" customWidth="1"/>
    <col min="8709" max="8709" width="17.6640625" style="40" customWidth="1"/>
    <col min="8710" max="8711" width="15.6640625" style="40" customWidth="1"/>
    <col min="8712" max="8712" width="16.6640625" style="40" customWidth="1"/>
    <col min="8713" max="8713" width="16.33203125" style="40" customWidth="1"/>
    <col min="8714" max="8714" width="17.6640625" style="40" customWidth="1"/>
    <col min="8715" max="8715" width="14" style="40" customWidth="1"/>
    <col min="8716" max="8716" width="15" style="40" customWidth="1"/>
    <col min="8717" max="8717" width="4" style="40" customWidth="1"/>
    <col min="8718" max="8718" width="9.109375" style="40"/>
    <col min="8719" max="8719" width="11.5546875" style="40" customWidth="1"/>
    <col min="8720" max="8722" width="9.109375" style="40"/>
    <col min="8723" max="8723" width="10" style="40" bestFit="1" customWidth="1"/>
    <col min="8724" max="8724" width="13.44140625" style="40" customWidth="1"/>
    <col min="8725" max="8725" width="14.44140625" style="40" bestFit="1" customWidth="1"/>
    <col min="8726" max="8726" width="14.109375" style="40" customWidth="1"/>
    <col min="8727" max="8961" width="9.109375" style="40"/>
    <col min="8962" max="8962" width="19.88671875" style="40" customWidth="1"/>
    <col min="8963" max="8963" width="16" style="40" customWidth="1"/>
    <col min="8964" max="8964" width="15.6640625" style="40" customWidth="1"/>
    <col min="8965" max="8965" width="17.6640625" style="40" customWidth="1"/>
    <col min="8966" max="8967" width="15.6640625" style="40" customWidth="1"/>
    <col min="8968" max="8968" width="16.6640625" style="40" customWidth="1"/>
    <col min="8969" max="8969" width="16.33203125" style="40" customWidth="1"/>
    <col min="8970" max="8970" width="17.6640625" style="40" customWidth="1"/>
    <col min="8971" max="8971" width="14" style="40" customWidth="1"/>
    <col min="8972" max="8972" width="15" style="40" customWidth="1"/>
    <col min="8973" max="8973" width="4" style="40" customWidth="1"/>
    <col min="8974" max="8974" width="9.109375" style="40"/>
    <col min="8975" max="8975" width="11.5546875" style="40" customWidth="1"/>
    <col min="8976" max="8978" width="9.109375" style="40"/>
    <col min="8979" max="8979" width="10" style="40" bestFit="1" customWidth="1"/>
    <col min="8980" max="8980" width="13.44140625" style="40" customWidth="1"/>
    <col min="8981" max="8981" width="14.44140625" style="40" bestFit="1" customWidth="1"/>
    <col min="8982" max="8982" width="14.109375" style="40" customWidth="1"/>
    <col min="8983" max="9217" width="9.109375" style="40"/>
    <col min="9218" max="9218" width="19.88671875" style="40" customWidth="1"/>
    <col min="9219" max="9219" width="16" style="40" customWidth="1"/>
    <col min="9220" max="9220" width="15.6640625" style="40" customWidth="1"/>
    <col min="9221" max="9221" width="17.6640625" style="40" customWidth="1"/>
    <col min="9222" max="9223" width="15.6640625" style="40" customWidth="1"/>
    <col min="9224" max="9224" width="16.6640625" style="40" customWidth="1"/>
    <col min="9225" max="9225" width="16.33203125" style="40" customWidth="1"/>
    <col min="9226" max="9226" width="17.6640625" style="40" customWidth="1"/>
    <col min="9227" max="9227" width="14" style="40" customWidth="1"/>
    <col min="9228" max="9228" width="15" style="40" customWidth="1"/>
    <col min="9229" max="9229" width="4" style="40" customWidth="1"/>
    <col min="9230" max="9230" width="9.109375" style="40"/>
    <col min="9231" max="9231" width="11.5546875" style="40" customWidth="1"/>
    <col min="9232" max="9234" width="9.109375" style="40"/>
    <col min="9235" max="9235" width="10" style="40" bestFit="1" customWidth="1"/>
    <col min="9236" max="9236" width="13.44140625" style="40" customWidth="1"/>
    <col min="9237" max="9237" width="14.44140625" style="40" bestFit="1" customWidth="1"/>
    <col min="9238" max="9238" width="14.109375" style="40" customWidth="1"/>
    <col min="9239" max="9473" width="9.109375" style="40"/>
    <col min="9474" max="9474" width="19.88671875" style="40" customWidth="1"/>
    <col min="9475" max="9475" width="16" style="40" customWidth="1"/>
    <col min="9476" max="9476" width="15.6640625" style="40" customWidth="1"/>
    <col min="9477" max="9477" width="17.6640625" style="40" customWidth="1"/>
    <col min="9478" max="9479" width="15.6640625" style="40" customWidth="1"/>
    <col min="9480" max="9480" width="16.6640625" style="40" customWidth="1"/>
    <col min="9481" max="9481" width="16.33203125" style="40" customWidth="1"/>
    <col min="9482" max="9482" width="17.6640625" style="40" customWidth="1"/>
    <col min="9483" max="9483" width="14" style="40" customWidth="1"/>
    <col min="9484" max="9484" width="15" style="40" customWidth="1"/>
    <col min="9485" max="9485" width="4" style="40" customWidth="1"/>
    <col min="9486" max="9486" width="9.109375" style="40"/>
    <col min="9487" max="9487" width="11.5546875" style="40" customWidth="1"/>
    <col min="9488" max="9490" width="9.109375" style="40"/>
    <col min="9491" max="9491" width="10" style="40" bestFit="1" customWidth="1"/>
    <col min="9492" max="9492" width="13.44140625" style="40" customWidth="1"/>
    <col min="9493" max="9493" width="14.44140625" style="40" bestFit="1" customWidth="1"/>
    <col min="9494" max="9494" width="14.109375" style="40" customWidth="1"/>
    <col min="9495" max="9729" width="9.109375" style="40"/>
    <col min="9730" max="9730" width="19.88671875" style="40" customWidth="1"/>
    <col min="9731" max="9731" width="16" style="40" customWidth="1"/>
    <col min="9732" max="9732" width="15.6640625" style="40" customWidth="1"/>
    <col min="9733" max="9733" width="17.6640625" style="40" customWidth="1"/>
    <col min="9734" max="9735" width="15.6640625" style="40" customWidth="1"/>
    <col min="9736" max="9736" width="16.6640625" style="40" customWidth="1"/>
    <col min="9737" max="9737" width="16.33203125" style="40" customWidth="1"/>
    <col min="9738" max="9738" width="17.6640625" style="40" customWidth="1"/>
    <col min="9739" max="9739" width="14" style="40" customWidth="1"/>
    <col min="9740" max="9740" width="15" style="40" customWidth="1"/>
    <col min="9741" max="9741" width="4" style="40" customWidth="1"/>
    <col min="9742" max="9742" width="9.109375" style="40"/>
    <col min="9743" max="9743" width="11.5546875" style="40" customWidth="1"/>
    <col min="9744" max="9746" width="9.109375" style="40"/>
    <col min="9747" max="9747" width="10" style="40" bestFit="1" customWidth="1"/>
    <col min="9748" max="9748" width="13.44140625" style="40" customWidth="1"/>
    <col min="9749" max="9749" width="14.44140625" style="40" bestFit="1" customWidth="1"/>
    <col min="9750" max="9750" width="14.109375" style="40" customWidth="1"/>
    <col min="9751" max="9985" width="9.109375" style="40"/>
    <col min="9986" max="9986" width="19.88671875" style="40" customWidth="1"/>
    <col min="9987" max="9987" width="16" style="40" customWidth="1"/>
    <col min="9988" max="9988" width="15.6640625" style="40" customWidth="1"/>
    <col min="9989" max="9989" width="17.6640625" style="40" customWidth="1"/>
    <col min="9990" max="9991" width="15.6640625" style="40" customWidth="1"/>
    <col min="9992" max="9992" width="16.6640625" style="40" customWidth="1"/>
    <col min="9993" max="9993" width="16.33203125" style="40" customWidth="1"/>
    <col min="9994" max="9994" width="17.6640625" style="40" customWidth="1"/>
    <col min="9995" max="9995" width="14" style="40" customWidth="1"/>
    <col min="9996" max="9996" width="15" style="40" customWidth="1"/>
    <col min="9997" max="9997" width="4" style="40" customWidth="1"/>
    <col min="9998" max="9998" width="9.109375" style="40"/>
    <col min="9999" max="9999" width="11.5546875" style="40" customWidth="1"/>
    <col min="10000" max="10002" width="9.109375" style="40"/>
    <col min="10003" max="10003" width="10" style="40" bestFit="1" customWidth="1"/>
    <col min="10004" max="10004" width="13.44140625" style="40" customWidth="1"/>
    <col min="10005" max="10005" width="14.44140625" style="40" bestFit="1" customWidth="1"/>
    <col min="10006" max="10006" width="14.109375" style="40" customWidth="1"/>
    <col min="10007" max="10241" width="9.109375" style="40"/>
    <col min="10242" max="10242" width="19.88671875" style="40" customWidth="1"/>
    <col min="10243" max="10243" width="16" style="40" customWidth="1"/>
    <col min="10244" max="10244" width="15.6640625" style="40" customWidth="1"/>
    <col min="10245" max="10245" width="17.6640625" style="40" customWidth="1"/>
    <col min="10246" max="10247" width="15.6640625" style="40" customWidth="1"/>
    <col min="10248" max="10248" width="16.6640625" style="40" customWidth="1"/>
    <col min="10249" max="10249" width="16.33203125" style="40" customWidth="1"/>
    <col min="10250" max="10250" width="17.6640625" style="40" customWidth="1"/>
    <col min="10251" max="10251" width="14" style="40" customWidth="1"/>
    <col min="10252" max="10252" width="15" style="40" customWidth="1"/>
    <col min="10253" max="10253" width="4" style="40" customWidth="1"/>
    <col min="10254" max="10254" width="9.109375" style="40"/>
    <col min="10255" max="10255" width="11.5546875" style="40" customWidth="1"/>
    <col min="10256" max="10258" width="9.109375" style="40"/>
    <col min="10259" max="10259" width="10" style="40" bestFit="1" customWidth="1"/>
    <col min="10260" max="10260" width="13.44140625" style="40" customWidth="1"/>
    <col min="10261" max="10261" width="14.44140625" style="40" bestFit="1" customWidth="1"/>
    <col min="10262" max="10262" width="14.109375" style="40" customWidth="1"/>
    <col min="10263" max="10497" width="9.109375" style="40"/>
    <col min="10498" max="10498" width="19.88671875" style="40" customWidth="1"/>
    <col min="10499" max="10499" width="16" style="40" customWidth="1"/>
    <col min="10500" max="10500" width="15.6640625" style="40" customWidth="1"/>
    <col min="10501" max="10501" width="17.6640625" style="40" customWidth="1"/>
    <col min="10502" max="10503" width="15.6640625" style="40" customWidth="1"/>
    <col min="10504" max="10504" width="16.6640625" style="40" customWidth="1"/>
    <col min="10505" max="10505" width="16.33203125" style="40" customWidth="1"/>
    <col min="10506" max="10506" width="17.6640625" style="40" customWidth="1"/>
    <col min="10507" max="10507" width="14" style="40" customWidth="1"/>
    <col min="10508" max="10508" width="15" style="40" customWidth="1"/>
    <col min="10509" max="10509" width="4" style="40" customWidth="1"/>
    <col min="10510" max="10510" width="9.109375" style="40"/>
    <col min="10511" max="10511" width="11.5546875" style="40" customWidth="1"/>
    <col min="10512" max="10514" width="9.109375" style="40"/>
    <col min="10515" max="10515" width="10" style="40" bestFit="1" customWidth="1"/>
    <col min="10516" max="10516" width="13.44140625" style="40" customWidth="1"/>
    <col min="10517" max="10517" width="14.44140625" style="40" bestFit="1" customWidth="1"/>
    <col min="10518" max="10518" width="14.109375" style="40" customWidth="1"/>
    <col min="10519" max="10753" width="9.109375" style="40"/>
    <col min="10754" max="10754" width="19.88671875" style="40" customWidth="1"/>
    <col min="10755" max="10755" width="16" style="40" customWidth="1"/>
    <col min="10756" max="10756" width="15.6640625" style="40" customWidth="1"/>
    <col min="10757" max="10757" width="17.6640625" style="40" customWidth="1"/>
    <col min="10758" max="10759" width="15.6640625" style="40" customWidth="1"/>
    <col min="10760" max="10760" width="16.6640625" style="40" customWidth="1"/>
    <col min="10761" max="10761" width="16.33203125" style="40" customWidth="1"/>
    <col min="10762" max="10762" width="17.6640625" style="40" customWidth="1"/>
    <col min="10763" max="10763" width="14" style="40" customWidth="1"/>
    <col min="10764" max="10764" width="15" style="40" customWidth="1"/>
    <col min="10765" max="10765" width="4" style="40" customWidth="1"/>
    <col min="10766" max="10766" width="9.109375" style="40"/>
    <col min="10767" max="10767" width="11.5546875" style="40" customWidth="1"/>
    <col min="10768" max="10770" width="9.109375" style="40"/>
    <col min="10771" max="10771" width="10" style="40" bestFit="1" customWidth="1"/>
    <col min="10772" max="10772" width="13.44140625" style="40" customWidth="1"/>
    <col min="10773" max="10773" width="14.44140625" style="40" bestFit="1" customWidth="1"/>
    <col min="10774" max="10774" width="14.109375" style="40" customWidth="1"/>
    <col min="10775" max="11009" width="9.109375" style="40"/>
    <col min="11010" max="11010" width="19.88671875" style="40" customWidth="1"/>
    <col min="11011" max="11011" width="16" style="40" customWidth="1"/>
    <col min="11012" max="11012" width="15.6640625" style="40" customWidth="1"/>
    <col min="11013" max="11013" width="17.6640625" style="40" customWidth="1"/>
    <col min="11014" max="11015" width="15.6640625" style="40" customWidth="1"/>
    <col min="11016" max="11016" width="16.6640625" style="40" customWidth="1"/>
    <col min="11017" max="11017" width="16.33203125" style="40" customWidth="1"/>
    <col min="11018" max="11018" width="17.6640625" style="40" customWidth="1"/>
    <col min="11019" max="11019" width="14" style="40" customWidth="1"/>
    <col min="11020" max="11020" width="15" style="40" customWidth="1"/>
    <col min="11021" max="11021" width="4" style="40" customWidth="1"/>
    <col min="11022" max="11022" width="9.109375" style="40"/>
    <col min="11023" max="11023" width="11.5546875" style="40" customWidth="1"/>
    <col min="11024" max="11026" width="9.109375" style="40"/>
    <col min="11027" max="11027" width="10" style="40" bestFit="1" customWidth="1"/>
    <col min="11028" max="11028" width="13.44140625" style="40" customWidth="1"/>
    <col min="11029" max="11029" width="14.44140625" style="40" bestFit="1" customWidth="1"/>
    <col min="11030" max="11030" width="14.109375" style="40" customWidth="1"/>
    <col min="11031" max="11265" width="9.109375" style="40"/>
    <col min="11266" max="11266" width="19.88671875" style="40" customWidth="1"/>
    <col min="11267" max="11267" width="16" style="40" customWidth="1"/>
    <col min="11268" max="11268" width="15.6640625" style="40" customWidth="1"/>
    <col min="11269" max="11269" width="17.6640625" style="40" customWidth="1"/>
    <col min="11270" max="11271" width="15.6640625" style="40" customWidth="1"/>
    <col min="11272" max="11272" width="16.6640625" style="40" customWidth="1"/>
    <col min="11273" max="11273" width="16.33203125" style="40" customWidth="1"/>
    <col min="11274" max="11274" width="17.6640625" style="40" customWidth="1"/>
    <col min="11275" max="11275" width="14" style="40" customWidth="1"/>
    <col min="11276" max="11276" width="15" style="40" customWidth="1"/>
    <col min="11277" max="11277" width="4" style="40" customWidth="1"/>
    <col min="11278" max="11278" width="9.109375" style="40"/>
    <col min="11279" max="11279" width="11.5546875" style="40" customWidth="1"/>
    <col min="11280" max="11282" width="9.109375" style="40"/>
    <col min="11283" max="11283" width="10" style="40" bestFit="1" customWidth="1"/>
    <col min="11284" max="11284" width="13.44140625" style="40" customWidth="1"/>
    <col min="11285" max="11285" width="14.44140625" style="40" bestFit="1" customWidth="1"/>
    <col min="11286" max="11286" width="14.109375" style="40" customWidth="1"/>
    <col min="11287" max="11521" width="9.109375" style="40"/>
    <col min="11522" max="11522" width="19.88671875" style="40" customWidth="1"/>
    <col min="11523" max="11523" width="16" style="40" customWidth="1"/>
    <col min="11524" max="11524" width="15.6640625" style="40" customWidth="1"/>
    <col min="11525" max="11525" width="17.6640625" style="40" customWidth="1"/>
    <col min="11526" max="11527" width="15.6640625" style="40" customWidth="1"/>
    <col min="11528" max="11528" width="16.6640625" style="40" customWidth="1"/>
    <col min="11529" max="11529" width="16.33203125" style="40" customWidth="1"/>
    <col min="11530" max="11530" width="17.6640625" style="40" customWidth="1"/>
    <col min="11531" max="11531" width="14" style="40" customWidth="1"/>
    <col min="11532" max="11532" width="15" style="40" customWidth="1"/>
    <col min="11533" max="11533" width="4" style="40" customWidth="1"/>
    <col min="11534" max="11534" width="9.109375" style="40"/>
    <col min="11535" max="11535" width="11.5546875" style="40" customWidth="1"/>
    <col min="11536" max="11538" width="9.109375" style="40"/>
    <col min="11539" max="11539" width="10" style="40" bestFit="1" customWidth="1"/>
    <col min="11540" max="11540" width="13.44140625" style="40" customWidth="1"/>
    <col min="11541" max="11541" width="14.44140625" style="40" bestFit="1" customWidth="1"/>
    <col min="11542" max="11542" width="14.109375" style="40" customWidth="1"/>
    <col min="11543" max="11777" width="9.109375" style="40"/>
    <col min="11778" max="11778" width="19.88671875" style="40" customWidth="1"/>
    <col min="11779" max="11779" width="16" style="40" customWidth="1"/>
    <col min="11780" max="11780" width="15.6640625" style="40" customWidth="1"/>
    <col min="11781" max="11781" width="17.6640625" style="40" customWidth="1"/>
    <col min="11782" max="11783" width="15.6640625" style="40" customWidth="1"/>
    <col min="11784" max="11784" width="16.6640625" style="40" customWidth="1"/>
    <col min="11785" max="11785" width="16.33203125" style="40" customWidth="1"/>
    <col min="11786" max="11786" width="17.6640625" style="40" customWidth="1"/>
    <col min="11787" max="11787" width="14" style="40" customWidth="1"/>
    <col min="11788" max="11788" width="15" style="40" customWidth="1"/>
    <col min="11789" max="11789" width="4" style="40" customWidth="1"/>
    <col min="11790" max="11790" width="9.109375" style="40"/>
    <col min="11791" max="11791" width="11.5546875" style="40" customWidth="1"/>
    <col min="11792" max="11794" width="9.109375" style="40"/>
    <col min="11795" max="11795" width="10" style="40" bestFit="1" customWidth="1"/>
    <col min="11796" max="11796" width="13.44140625" style="40" customWidth="1"/>
    <col min="11797" max="11797" width="14.44140625" style="40" bestFit="1" customWidth="1"/>
    <col min="11798" max="11798" width="14.109375" style="40" customWidth="1"/>
    <col min="11799" max="12033" width="9.109375" style="40"/>
    <col min="12034" max="12034" width="19.88671875" style="40" customWidth="1"/>
    <col min="12035" max="12035" width="16" style="40" customWidth="1"/>
    <col min="12036" max="12036" width="15.6640625" style="40" customWidth="1"/>
    <col min="12037" max="12037" width="17.6640625" style="40" customWidth="1"/>
    <col min="12038" max="12039" width="15.6640625" style="40" customWidth="1"/>
    <col min="12040" max="12040" width="16.6640625" style="40" customWidth="1"/>
    <col min="12041" max="12041" width="16.33203125" style="40" customWidth="1"/>
    <col min="12042" max="12042" width="17.6640625" style="40" customWidth="1"/>
    <col min="12043" max="12043" width="14" style="40" customWidth="1"/>
    <col min="12044" max="12044" width="15" style="40" customWidth="1"/>
    <col min="12045" max="12045" width="4" style="40" customWidth="1"/>
    <col min="12046" max="12046" width="9.109375" style="40"/>
    <col min="12047" max="12047" width="11.5546875" style="40" customWidth="1"/>
    <col min="12048" max="12050" width="9.109375" style="40"/>
    <col min="12051" max="12051" width="10" style="40" bestFit="1" customWidth="1"/>
    <col min="12052" max="12052" width="13.44140625" style="40" customWidth="1"/>
    <col min="12053" max="12053" width="14.44140625" style="40" bestFit="1" customWidth="1"/>
    <col min="12054" max="12054" width="14.109375" style="40" customWidth="1"/>
    <col min="12055" max="12289" width="9.109375" style="40"/>
    <col min="12290" max="12290" width="19.88671875" style="40" customWidth="1"/>
    <col min="12291" max="12291" width="16" style="40" customWidth="1"/>
    <col min="12292" max="12292" width="15.6640625" style="40" customWidth="1"/>
    <col min="12293" max="12293" width="17.6640625" style="40" customWidth="1"/>
    <col min="12294" max="12295" width="15.6640625" style="40" customWidth="1"/>
    <col min="12296" max="12296" width="16.6640625" style="40" customWidth="1"/>
    <col min="12297" max="12297" width="16.33203125" style="40" customWidth="1"/>
    <col min="12298" max="12298" width="17.6640625" style="40" customWidth="1"/>
    <col min="12299" max="12299" width="14" style="40" customWidth="1"/>
    <col min="12300" max="12300" width="15" style="40" customWidth="1"/>
    <col min="12301" max="12301" width="4" style="40" customWidth="1"/>
    <col min="12302" max="12302" width="9.109375" style="40"/>
    <col min="12303" max="12303" width="11.5546875" style="40" customWidth="1"/>
    <col min="12304" max="12306" width="9.109375" style="40"/>
    <col min="12307" max="12307" width="10" style="40" bestFit="1" customWidth="1"/>
    <col min="12308" max="12308" width="13.44140625" style="40" customWidth="1"/>
    <col min="12309" max="12309" width="14.44140625" style="40" bestFit="1" customWidth="1"/>
    <col min="12310" max="12310" width="14.109375" style="40" customWidth="1"/>
    <col min="12311" max="12545" width="9.109375" style="40"/>
    <col min="12546" max="12546" width="19.88671875" style="40" customWidth="1"/>
    <col min="12547" max="12547" width="16" style="40" customWidth="1"/>
    <col min="12548" max="12548" width="15.6640625" style="40" customWidth="1"/>
    <col min="12549" max="12549" width="17.6640625" style="40" customWidth="1"/>
    <col min="12550" max="12551" width="15.6640625" style="40" customWidth="1"/>
    <col min="12552" max="12552" width="16.6640625" style="40" customWidth="1"/>
    <col min="12553" max="12553" width="16.33203125" style="40" customWidth="1"/>
    <col min="12554" max="12554" width="17.6640625" style="40" customWidth="1"/>
    <col min="12555" max="12555" width="14" style="40" customWidth="1"/>
    <col min="12556" max="12556" width="15" style="40" customWidth="1"/>
    <col min="12557" max="12557" width="4" style="40" customWidth="1"/>
    <col min="12558" max="12558" width="9.109375" style="40"/>
    <col min="12559" max="12559" width="11.5546875" style="40" customWidth="1"/>
    <col min="12560" max="12562" width="9.109375" style="40"/>
    <col min="12563" max="12563" width="10" style="40" bestFit="1" customWidth="1"/>
    <col min="12564" max="12564" width="13.44140625" style="40" customWidth="1"/>
    <col min="12565" max="12565" width="14.44140625" style="40" bestFit="1" customWidth="1"/>
    <col min="12566" max="12566" width="14.109375" style="40" customWidth="1"/>
    <col min="12567" max="12801" width="9.109375" style="40"/>
    <col min="12802" max="12802" width="19.88671875" style="40" customWidth="1"/>
    <col min="12803" max="12803" width="16" style="40" customWidth="1"/>
    <col min="12804" max="12804" width="15.6640625" style="40" customWidth="1"/>
    <col min="12805" max="12805" width="17.6640625" style="40" customWidth="1"/>
    <col min="12806" max="12807" width="15.6640625" style="40" customWidth="1"/>
    <col min="12808" max="12808" width="16.6640625" style="40" customWidth="1"/>
    <col min="12809" max="12809" width="16.33203125" style="40" customWidth="1"/>
    <col min="12810" max="12810" width="17.6640625" style="40" customWidth="1"/>
    <col min="12811" max="12811" width="14" style="40" customWidth="1"/>
    <col min="12812" max="12812" width="15" style="40" customWidth="1"/>
    <col min="12813" max="12813" width="4" style="40" customWidth="1"/>
    <col min="12814" max="12814" width="9.109375" style="40"/>
    <col min="12815" max="12815" width="11.5546875" style="40" customWidth="1"/>
    <col min="12816" max="12818" width="9.109375" style="40"/>
    <col min="12819" max="12819" width="10" style="40" bestFit="1" customWidth="1"/>
    <col min="12820" max="12820" width="13.44140625" style="40" customWidth="1"/>
    <col min="12821" max="12821" width="14.44140625" style="40" bestFit="1" customWidth="1"/>
    <col min="12822" max="12822" width="14.109375" style="40" customWidth="1"/>
    <col min="12823" max="13057" width="9.109375" style="40"/>
    <col min="13058" max="13058" width="19.88671875" style="40" customWidth="1"/>
    <col min="13059" max="13059" width="16" style="40" customWidth="1"/>
    <col min="13060" max="13060" width="15.6640625" style="40" customWidth="1"/>
    <col min="13061" max="13061" width="17.6640625" style="40" customWidth="1"/>
    <col min="13062" max="13063" width="15.6640625" style="40" customWidth="1"/>
    <col min="13064" max="13064" width="16.6640625" style="40" customWidth="1"/>
    <col min="13065" max="13065" width="16.33203125" style="40" customWidth="1"/>
    <col min="13066" max="13066" width="17.6640625" style="40" customWidth="1"/>
    <col min="13067" max="13067" width="14" style="40" customWidth="1"/>
    <col min="13068" max="13068" width="15" style="40" customWidth="1"/>
    <col min="13069" max="13069" width="4" style="40" customWidth="1"/>
    <col min="13070" max="13070" width="9.109375" style="40"/>
    <col min="13071" max="13071" width="11.5546875" style="40" customWidth="1"/>
    <col min="13072" max="13074" width="9.109375" style="40"/>
    <col min="13075" max="13075" width="10" style="40" bestFit="1" customWidth="1"/>
    <col min="13076" max="13076" width="13.44140625" style="40" customWidth="1"/>
    <col min="13077" max="13077" width="14.44140625" style="40" bestFit="1" customWidth="1"/>
    <col min="13078" max="13078" width="14.109375" style="40" customWidth="1"/>
    <col min="13079" max="13313" width="9.109375" style="40"/>
    <col min="13314" max="13314" width="19.88671875" style="40" customWidth="1"/>
    <col min="13315" max="13315" width="16" style="40" customWidth="1"/>
    <col min="13316" max="13316" width="15.6640625" style="40" customWidth="1"/>
    <col min="13317" max="13317" width="17.6640625" style="40" customWidth="1"/>
    <col min="13318" max="13319" width="15.6640625" style="40" customWidth="1"/>
    <col min="13320" max="13320" width="16.6640625" style="40" customWidth="1"/>
    <col min="13321" max="13321" width="16.33203125" style="40" customWidth="1"/>
    <col min="13322" max="13322" width="17.6640625" style="40" customWidth="1"/>
    <col min="13323" max="13323" width="14" style="40" customWidth="1"/>
    <col min="13324" max="13324" width="15" style="40" customWidth="1"/>
    <col min="13325" max="13325" width="4" style="40" customWidth="1"/>
    <col min="13326" max="13326" width="9.109375" style="40"/>
    <col min="13327" max="13327" width="11.5546875" style="40" customWidth="1"/>
    <col min="13328" max="13330" width="9.109375" style="40"/>
    <col min="13331" max="13331" width="10" style="40" bestFit="1" customWidth="1"/>
    <col min="13332" max="13332" width="13.44140625" style="40" customWidth="1"/>
    <col min="13333" max="13333" width="14.44140625" style="40" bestFit="1" customWidth="1"/>
    <col min="13334" max="13334" width="14.109375" style="40" customWidth="1"/>
    <col min="13335" max="13569" width="9.109375" style="40"/>
    <col min="13570" max="13570" width="19.88671875" style="40" customWidth="1"/>
    <col min="13571" max="13571" width="16" style="40" customWidth="1"/>
    <col min="13572" max="13572" width="15.6640625" style="40" customWidth="1"/>
    <col min="13573" max="13573" width="17.6640625" style="40" customWidth="1"/>
    <col min="13574" max="13575" width="15.6640625" style="40" customWidth="1"/>
    <col min="13576" max="13576" width="16.6640625" style="40" customWidth="1"/>
    <col min="13577" max="13577" width="16.33203125" style="40" customWidth="1"/>
    <col min="13578" max="13578" width="17.6640625" style="40" customWidth="1"/>
    <col min="13579" max="13579" width="14" style="40" customWidth="1"/>
    <col min="13580" max="13580" width="15" style="40" customWidth="1"/>
    <col min="13581" max="13581" width="4" style="40" customWidth="1"/>
    <col min="13582" max="13582" width="9.109375" style="40"/>
    <col min="13583" max="13583" width="11.5546875" style="40" customWidth="1"/>
    <col min="13584" max="13586" width="9.109375" style="40"/>
    <col min="13587" max="13587" width="10" style="40" bestFit="1" customWidth="1"/>
    <col min="13588" max="13588" width="13.44140625" style="40" customWidth="1"/>
    <col min="13589" max="13589" width="14.44140625" style="40" bestFit="1" customWidth="1"/>
    <col min="13590" max="13590" width="14.109375" style="40" customWidth="1"/>
    <col min="13591" max="13825" width="9.109375" style="40"/>
    <col min="13826" max="13826" width="19.88671875" style="40" customWidth="1"/>
    <col min="13827" max="13827" width="16" style="40" customWidth="1"/>
    <col min="13828" max="13828" width="15.6640625" style="40" customWidth="1"/>
    <col min="13829" max="13829" width="17.6640625" style="40" customWidth="1"/>
    <col min="13830" max="13831" width="15.6640625" style="40" customWidth="1"/>
    <col min="13832" max="13832" width="16.6640625" style="40" customWidth="1"/>
    <col min="13833" max="13833" width="16.33203125" style="40" customWidth="1"/>
    <col min="13834" max="13834" width="17.6640625" style="40" customWidth="1"/>
    <col min="13835" max="13835" width="14" style="40" customWidth="1"/>
    <col min="13836" max="13836" width="15" style="40" customWidth="1"/>
    <col min="13837" max="13837" width="4" style="40" customWidth="1"/>
    <col min="13838" max="13838" width="9.109375" style="40"/>
    <col min="13839" max="13839" width="11.5546875" style="40" customWidth="1"/>
    <col min="13840" max="13842" width="9.109375" style="40"/>
    <col min="13843" max="13843" width="10" style="40" bestFit="1" customWidth="1"/>
    <col min="13844" max="13844" width="13.44140625" style="40" customWidth="1"/>
    <col min="13845" max="13845" width="14.44140625" style="40" bestFit="1" customWidth="1"/>
    <col min="13846" max="13846" width="14.109375" style="40" customWidth="1"/>
    <col min="13847" max="14081" width="9.109375" style="40"/>
    <col min="14082" max="14082" width="19.88671875" style="40" customWidth="1"/>
    <col min="14083" max="14083" width="16" style="40" customWidth="1"/>
    <col min="14084" max="14084" width="15.6640625" style="40" customWidth="1"/>
    <col min="14085" max="14085" width="17.6640625" style="40" customWidth="1"/>
    <col min="14086" max="14087" width="15.6640625" style="40" customWidth="1"/>
    <col min="14088" max="14088" width="16.6640625" style="40" customWidth="1"/>
    <col min="14089" max="14089" width="16.33203125" style="40" customWidth="1"/>
    <col min="14090" max="14090" width="17.6640625" style="40" customWidth="1"/>
    <col min="14091" max="14091" width="14" style="40" customWidth="1"/>
    <col min="14092" max="14092" width="15" style="40" customWidth="1"/>
    <col min="14093" max="14093" width="4" style="40" customWidth="1"/>
    <col min="14094" max="14094" width="9.109375" style="40"/>
    <col min="14095" max="14095" width="11.5546875" style="40" customWidth="1"/>
    <col min="14096" max="14098" width="9.109375" style="40"/>
    <col min="14099" max="14099" width="10" style="40" bestFit="1" customWidth="1"/>
    <col min="14100" max="14100" width="13.44140625" style="40" customWidth="1"/>
    <col min="14101" max="14101" width="14.44140625" style="40" bestFit="1" customWidth="1"/>
    <col min="14102" max="14102" width="14.109375" style="40" customWidth="1"/>
    <col min="14103" max="14337" width="9.109375" style="40"/>
    <col min="14338" max="14338" width="19.88671875" style="40" customWidth="1"/>
    <col min="14339" max="14339" width="16" style="40" customWidth="1"/>
    <col min="14340" max="14340" width="15.6640625" style="40" customWidth="1"/>
    <col min="14341" max="14341" width="17.6640625" style="40" customWidth="1"/>
    <col min="14342" max="14343" width="15.6640625" style="40" customWidth="1"/>
    <col min="14344" max="14344" width="16.6640625" style="40" customWidth="1"/>
    <col min="14345" max="14345" width="16.33203125" style="40" customWidth="1"/>
    <col min="14346" max="14346" width="17.6640625" style="40" customWidth="1"/>
    <col min="14347" max="14347" width="14" style="40" customWidth="1"/>
    <col min="14348" max="14348" width="15" style="40" customWidth="1"/>
    <col min="14349" max="14349" width="4" style="40" customWidth="1"/>
    <col min="14350" max="14350" width="9.109375" style="40"/>
    <col min="14351" max="14351" width="11.5546875" style="40" customWidth="1"/>
    <col min="14352" max="14354" width="9.109375" style="40"/>
    <col min="14355" max="14355" width="10" style="40" bestFit="1" customWidth="1"/>
    <col min="14356" max="14356" width="13.44140625" style="40" customWidth="1"/>
    <col min="14357" max="14357" width="14.44140625" style="40" bestFit="1" customWidth="1"/>
    <col min="14358" max="14358" width="14.109375" style="40" customWidth="1"/>
    <col min="14359" max="14593" width="9.109375" style="40"/>
    <col min="14594" max="14594" width="19.88671875" style="40" customWidth="1"/>
    <col min="14595" max="14595" width="16" style="40" customWidth="1"/>
    <col min="14596" max="14596" width="15.6640625" style="40" customWidth="1"/>
    <col min="14597" max="14597" width="17.6640625" style="40" customWidth="1"/>
    <col min="14598" max="14599" width="15.6640625" style="40" customWidth="1"/>
    <col min="14600" max="14600" width="16.6640625" style="40" customWidth="1"/>
    <col min="14601" max="14601" width="16.33203125" style="40" customWidth="1"/>
    <col min="14602" max="14602" width="17.6640625" style="40" customWidth="1"/>
    <col min="14603" max="14603" width="14" style="40" customWidth="1"/>
    <col min="14604" max="14604" width="15" style="40" customWidth="1"/>
    <col min="14605" max="14605" width="4" style="40" customWidth="1"/>
    <col min="14606" max="14606" width="9.109375" style="40"/>
    <col min="14607" max="14607" width="11.5546875" style="40" customWidth="1"/>
    <col min="14608" max="14610" width="9.109375" style="40"/>
    <col min="14611" max="14611" width="10" style="40" bestFit="1" customWidth="1"/>
    <col min="14612" max="14612" width="13.44140625" style="40" customWidth="1"/>
    <col min="14613" max="14613" width="14.44140625" style="40" bestFit="1" customWidth="1"/>
    <col min="14614" max="14614" width="14.109375" style="40" customWidth="1"/>
    <col min="14615" max="14849" width="9.109375" style="40"/>
    <col min="14850" max="14850" width="19.88671875" style="40" customWidth="1"/>
    <col min="14851" max="14851" width="16" style="40" customWidth="1"/>
    <col min="14852" max="14852" width="15.6640625" style="40" customWidth="1"/>
    <col min="14853" max="14853" width="17.6640625" style="40" customWidth="1"/>
    <col min="14854" max="14855" width="15.6640625" style="40" customWidth="1"/>
    <col min="14856" max="14856" width="16.6640625" style="40" customWidth="1"/>
    <col min="14857" max="14857" width="16.33203125" style="40" customWidth="1"/>
    <col min="14858" max="14858" width="17.6640625" style="40" customWidth="1"/>
    <col min="14859" max="14859" width="14" style="40" customWidth="1"/>
    <col min="14860" max="14860" width="15" style="40" customWidth="1"/>
    <col min="14861" max="14861" width="4" style="40" customWidth="1"/>
    <col min="14862" max="14862" width="9.109375" style="40"/>
    <col min="14863" max="14863" width="11.5546875" style="40" customWidth="1"/>
    <col min="14864" max="14866" width="9.109375" style="40"/>
    <col min="14867" max="14867" width="10" style="40" bestFit="1" customWidth="1"/>
    <col min="14868" max="14868" width="13.44140625" style="40" customWidth="1"/>
    <col min="14869" max="14869" width="14.44140625" style="40" bestFit="1" customWidth="1"/>
    <col min="14870" max="14870" width="14.109375" style="40" customWidth="1"/>
    <col min="14871" max="15105" width="9.109375" style="40"/>
    <col min="15106" max="15106" width="19.88671875" style="40" customWidth="1"/>
    <col min="15107" max="15107" width="16" style="40" customWidth="1"/>
    <col min="15108" max="15108" width="15.6640625" style="40" customWidth="1"/>
    <col min="15109" max="15109" width="17.6640625" style="40" customWidth="1"/>
    <col min="15110" max="15111" width="15.6640625" style="40" customWidth="1"/>
    <col min="15112" max="15112" width="16.6640625" style="40" customWidth="1"/>
    <col min="15113" max="15113" width="16.33203125" style="40" customWidth="1"/>
    <col min="15114" max="15114" width="17.6640625" style="40" customWidth="1"/>
    <col min="15115" max="15115" width="14" style="40" customWidth="1"/>
    <col min="15116" max="15116" width="15" style="40" customWidth="1"/>
    <col min="15117" max="15117" width="4" style="40" customWidth="1"/>
    <col min="15118" max="15118" width="9.109375" style="40"/>
    <col min="15119" max="15119" width="11.5546875" style="40" customWidth="1"/>
    <col min="15120" max="15122" width="9.109375" style="40"/>
    <col min="15123" max="15123" width="10" style="40" bestFit="1" customWidth="1"/>
    <col min="15124" max="15124" width="13.44140625" style="40" customWidth="1"/>
    <col min="15125" max="15125" width="14.44140625" style="40" bestFit="1" customWidth="1"/>
    <col min="15126" max="15126" width="14.109375" style="40" customWidth="1"/>
    <col min="15127" max="15361" width="9.109375" style="40"/>
    <col min="15362" max="15362" width="19.88671875" style="40" customWidth="1"/>
    <col min="15363" max="15363" width="16" style="40" customWidth="1"/>
    <col min="15364" max="15364" width="15.6640625" style="40" customWidth="1"/>
    <col min="15365" max="15365" width="17.6640625" style="40" customWidth="1"/>
    <col min="15366" max="15367" width="15.6640625" style="40" customWidth="1"/>
    <col min="15368" max="15368" width="16.6640625" style="40" customWidth="1"/>
    <col min="15369" max="15369" width="16.33203125" style="40" customWidth="1"/>
    <col min="15370" max="15370" width="17.6640625" style="40" customWidth="1"/>
    <col min="15371" max="15371" width="14" style="40" customWidth="1"/>
    <col min="15372" max="15372" width="15" style="40" customWidth="1"/>
    <col min="15373" max="15373" width="4" style="40" customWidth="1"/>
    <col min="15374" max="15374" width="9.109375" style="40"/>
    <col min="15375" max="15375" width="11.5546875" style="40" customWidth="1"/>
    <col min="15376" max="15378" width="9.109375" style="40"/>
    <col min="15379" max="15379" width="10" style="40" bestFit="1" customWidth="1"/>
    <col min="15380" max="15380" width="13.44140625" style="40" customWidth="1"/>
    <col min="15381" max="15381" width="14.44140625" style="40" bestFit="1" customWidth="1"/>
    <col min="15382" max="15382" width="14.109375" style="40" customWidth="1"/>
    <col min="15383" max="15617" width="9.109375" style="40"/>
    <col min="15618" max="15618" width="19.88671875" style="40" customWidth="1"/>
    <col min="15619" max="15619" width="16" style="40" customWidth="1"/>
    <col min="15620" max="15620" width="15.6640625" style="40" customWidth="1"/>
    <col min="15621" max="15621" width="17.6640625" style="40" customWidth="1"/>
    <col min="15622" max="15623" width="15.6640625" style="40" customWidth="1"/>
    <col min="15624" max="15624" width="16.6640625" style="40" customWidth="1"/>
    <col min="15625" max="15625" width="16.33203125" style="40" customWidth="1"/>
    <col min="15626" max="15626" width="17.6640625" style="40" customWidth="1"/>
    <col min="15627" max="15627" width="14" style="40" customWidth="1"/>
    <col min="15628" max="15628" width="15" style="40" customWidth="1"/>
    <col min="15629" max="15629" width="4" style="40" customWidth="1"/>
    <col min="15630" max="15630" width="9.109375" style="40"/>
    <col min="15631" max="15631" width="11.5546875" style="40" customWidth="1"/>
    <col min="15632" max="15634" width="9.109375" style="40"/>
    <col min="15635" max="15635" width="10" style="40" bestFit="1" customWidth="1"/>
    <col min="15636" max="15636" width="13.44140625" style="40" customWidth="1"/>
    <col min="15637" max="15637" width="14.44140625" style="40" bestFit="1" customWidth="1"/>
    <col min="15638" max="15638" width="14.109375" style="40" customWidth="1"/>
    <col min="15639" max="15873" width="9.109375" style="40"/>
    <col min="15874" max="15874" width="19.88671875" style="40" customWidth="1"/>
    <col min="15875" max="15875" width="16" style="40" customWidth="1"/>
    <col min="15876" max="15876" width="15.6640625" style="40" customWidth="1"/>
    <col min="15877" max="15877" width="17.6640625" style="40" customWidth="1"/>
    <col min="15878" max="15879" width="15.6640625" style="40" customWidth="1"/>
    <col min="15880" max="15880" width="16.6640625" style="40" customWidth="1"/>
    <col min="15881" max="15881" width="16.33203125" style="40" customWidth="1"/>
    <col min="15882" max="15882" width="17.6640625" style="40" customWidth="1"/>
    <col min="15883" max="15883" width="14" style="40" customWidth="1"/>
    <col min="15884" max="15884" width="15" style="40" customWidth="1"/>
    <col min="15885" max="15885" width="4" style="40" customWidth="1"/>
    <col min="15886" max="15886" width="9.109375" style="40"/>
    <col min="15887" max="15887" width="11.5546875" style="40" customWidth="1"/>
    <col min="15888" max="15890" width="9.109375" style="40"/>
    <col min="15891" max="15891" width="10" style="40" bestFit="1" customWidth="1"/>
    <col min="15892" max="15892" width="13.44140625" style="40" customWidth="1"/>
    <col min="15893" max="15893" width="14.44140625" style="40" bestFit="1" customWidth="1"/>
    <col min="15894" max="15894" width="14.109375" style="40" customWidth="1"/>
    <col min="15895" max="16129" width="9.109375" style="40"/>
    <col min="16130" max="16130" width="19.88671875" style="40" customWidth="1"/>
    <col min="16131" max="16131" width="16" style="40" customWidth="1"/>
    <col min="16132" max="16132" width="15.6640625" style="40" customWidth="1"/>
    <col min="16133" max="16133" width="17.6640625" style="40" customWidth="1"/>
    <col min="16134" max="16135" width="15.6640625" style="40" customWidth="1"/>
    <col min="16136" max="16136" width="16.6640625" style="40" customWidth="1"/>
    <col min="16137" max="16137" width="16.33203125" style="40" customWidth="1"/>
    <col min="16138" max="16138" width="17.6640625" style="40" customWidth="1"/>
    <col min="16139" max="16139" width="14" style="40" customWidth="1"/>
    <col min="16140" max="16140" width="15" style="40" customWidth="1"/>
    <col min="16141" max="16141" width="4" style="40" customWidth="1"/>
    <col min="16142" max="16142" width="9.109375" style="40"/>
    <col min="16143" max="16143" width="11.5546875" style="40" customWidth="1"/>
    <col min="16144" max="16146" width="9.109375" style="40"/>
    <col min="16147" max="16147" width="10" style="40" bestFit="1" customWidth="1"/>
    <col min="16148" max="16148" width="13.44140625" style="40" customWidth="1"/>
    <col min="16149" max="16149" width="14.44140625" style="40" bestFit="1" customWidth="1"/>
    <col min="16150" max="16150" width="14.109375" style="40" customWidth="1"/>
    <col min="16151" max="16384" width="9.109375" style="40"/>
  </cols>
  <sheetData>
    <row r="1" spans="1:12" ht="26.25" customHeight="1">
      <c r="A1" s="424" t="s">
        <v>36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6"/>
    </row>
    <row r="2" spans="1:12" s="39" customFormat="1" ht="24.75" customHeight="1">
      <c r="A2" s="418" t="str">
        <f>'Planilha Orcamentária'!$A$2</f>
        <v>PREFEITURA MUNICIPAL DE BOM JARDIM DE MINAS /MG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20"/>
    </row>
    <row r="3" spans="1:12" s="39" customFormat="1" ht="25.5" customHeight="1">
      <c r="A3" s="421" t="str">
        <f>'Planilha Orcamentária'!$A$3</f>
        <v>OBRA: PAVIMENTAÇÃO ASFÁLTICA EM CBUQ E EXECUÇÃO DE INFRAESTRUTURA EM VIA URBANA - ETAPA 02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3"/>
    </row>
    <row r="4" spans="1:12" s="39" customFormat="1" ht="23.25" customHeight="1">
      <c r="A4" s="427" t="str">
        <f>'Planilha Orcamentária'!$A$4</f>
        <v>LOCAL: AVENIDA PREFEITO GENIVALDO MARQUES DE PAULA - CENTRO (ENTRADA DO MUNICIPIO DE BOM JARDIM DE MINAS)/MG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9"/>
    </row>
    <row r="5" spans="1:12" s="43" customFormat="1" ht="15" customHeight="1">
      <c r="A5" s="111"/>
      <c r="B5" s="41"/>
      <c r="C5" s="431"/>
      <c r="D5" s="431"/>
      <c r="E5" s="41"/>
      <c r="F5" s="430"/>
      <c r="G5" s="430"/>
      <c r="H5" s="430"/>
      <c r="I5" s="42"/>
      <c r="J5" s="65" t="s">
        <v>76</v>
      </c>
      <c r="K5" s="110">
        <v>45417</v>
      </c>
      <c r="L5" s="112"/>
    </row>
    <row r="6" spans="1:12" s="43" customFormat="1" ht="15" customHeight="1">
      <c r="A6" s="111" t="s">
        <v>88</v>
      </c>
      <c r="B6" s="41"/>
      <c r="C6" s="431" t="str">
        <f>'Planilha Orcamentária'!C54</f>
        <v>Priscila Cristina de Paula Neto</v>
      </c>
      <c r="D6" s="431"/>
      <c r="E6" s="41" t="str">
        <f>'Planilha Orcamentária'!C56</f>
        <v>Engenheira Civil</v>
      </c>
      <c r="F6" s="431" t="str">
        <f>'Planilha Orcamentária'!C57</f>
        <v>CREA-MG Nº: 142702/D</v>
      </c>
      <c r="G6" s="431"/>
      <c r="H6" s="41"/>
      <c r="I6" s="41"/>
      <c r="K6" s="44"/>
      <c r="L6" s="113"/>
    </row>
    <row r="7" spans="1:12" s="43" customFormat="1" ht="30" customHeight="1">
      <c r="A7" s="114"/>
      <c r="H7" s="41"/>
      <c r="I7" s="41"/>
      <c r="J7" s="440" t="s">
        <v>75</v>
      </c>
      <c r="K7" s="440"/>
      <c r="L7" s="112"/>
    </row>
    <row r="8" spans="1:12" ht="15" customHeight="1">
      <c r="A8" s="115" t="s">
        <v>0</v>
      </c>
      <c r="B8" s="45" t="s">
        <v>39</v>
      </c>
      <c r="C8" s="435" t="s">
        <v>15</v>
      </c>
      <c r="D8" s="435"/>
      <c r="E8" s="435"/>
      <c r="F8" s="435"/>
      <c r="G8" s="435"/>
      <c r="H8" s="435"/>
      <c r="I8" s="435"/>
      <c r="J8" s="435"/>
      <c r="K8" s="435"/>
      <c r="L8" s="436"/>
    </row>
    <row r="9" spans="1:12" ht="16.2">
      <c r="A9" s="437"/>
      <c r="B9" s="438"/>
      <c r="C9" s="438"/>
      <c r="D9" s="438"/>
      <c r="E9" s="438"/>
      <c r="F9" s="438"/>
      <c r="G9" s="438"/>
      <c r="H9" s="438"/>
      <c r="I9" s="438"/>
      <c r="J9" s="438"/>
      <c r="K9" s="438"/>
      <c r="L9" s="439"/>
    </row>
    <row r="10" spans="1:12" s="71" customFormat="1" ht="15" customHeight="1">
      <c r="A10" s="116" t="str">
        <f>'Planilha Orcamentária'!A9</f>
        <v>1.0</v>
      </c>
      <c r="B10" s="74"/>
      <c r="C10" s="410" t="str">
        <f>'Planilha Orcamentária'!D9</f>
        <v>SERVIÇOS PRELIMINARES</v>
      </c>
      <c r="D10" s="410"/>
      <c r="E10" s="410"/>
      <c r="F10" s="410"/>
      <c r="G10" s="410"/>
      <c r="H10" s="410"/>
      <c r="I10" s="410"/>
      <c r="J10" s="410"/>
      <c r="K10" s="410"/>
      <c r="L10" s="411"/>
    </row>
    <row r="11" spans="1:12" s="46" customFormat="1" ht="16.2">
      <c r="A11" s="117"/>
      <c r="B11" s="47"/>
      <c r="C11" s="48"/>
      <c r="D11" s="49"/>
      <c r="E11" s="50"/>
      <c r="F11" s="50"/>
      <c r="G11" s="50"/>
      <c r="H11" s="51"/>
      <c r="I11" s="50"/>
      <c r="J11" s="50"/>
      <c r="K11" s="51"/>
      <c r="L11" s="118"/>
    </row>
    <row r="12" spans="1:12" s="76" customFormat="1" ht="33" customHeight="1">
      <c r="A12" s="119" t="str">
        <f>'Planilha Orcamentária'!A10</f>
        <v>1.1</v>
      </c>
      <c r="B12" s="75" t="str">
        <f>'Planilha Orcamentária'!C10</f>
        <v>ED-28427</v>
      </c>
      <c r="C12" s="374" t="str">
        <f>'Planilha Orcamentária'!D10</f>
        <v>FORNECIMENTO E COLOCAÇÃO DE PLACA DE OBRA EM CHAPA GALVANIZADA (3,00 X 1,50 M) - EM CHAPA GALVANIZADA 0,26 AFIXADAS COM REBITES 540 E PARAFUSOS 3/8, EM ESTRUTURA METÁLICA VIGA U 2" ENRIJECIDA COM METALON 20 X 20, SUPORTE EM EUCALIPTO AUTOCLAVADO PINTADAS</v>
      </c>
      <c r="D12" s="374"/>
      <c r="E12" s="374"/>
      <c r="F12" s="374"/>
      <c r="G12" s="374"/>
      <c r="H12" s="374"/>
      <c r="I12" s="374"/>
      <c r="J12" s="374"/>
      <c r="K12" s="374"/>
      <c r="L12" s="375"/>
    </row>
    <row r="13" spans="1:12" s="46" customFormat="1" ht="16.2">
      <c r="A13" s="117"/>
      <c r="B13" s="47"/>
      <c r="C13" s="48"/>
      <c r="D13" s="49"/>
      <c r="E13" s="52"/>
      <c r="F13" s="52"/>
      <c r="G13" s="52"/>
      <c r="H13" s="53"/>
      <c r="I13" s="52"/>
      <c r="J13" s="52"/>
      <c r="K13" s="53"/>
      <c r="L13" s="118"/>
    </row>
    <row r="14" spans="1:12" s="72" customFormat="1" ht="18.75" customHeight="1">
      <c r="A14" s="120" t="s">
        <v>16</v>
      </c>
      <c r="B14" s="83">
        <v>1</v>
      </c>
      <c r="C14" s="78" t="s">
        <v>12</v>
      </c>
      <c r="F14" s="82"/>
      <c r="G14" s="81"/>
      <c r="H14" s="82"/>
      <c r="I14" s="82"/>
      <c r="J14" s="81"/>
      <c r="L14" s="121"/>
    </row>
    <row r="15" spans="1:12" s="46" customFormat="1" ht="15" customHeight="1">
      <c r="A15" s="122"/>
      <c r="B15" s="48"/>
      <c r="D15" s="52"/>
      <c r="F15" s="52"/>
      <c r="G15" s="53"/>
      <c r="H15" s="52"/>
      <c r="I15" s="52"/>
      <c r="J15" s="53"/>
      <c r="L15" s="118"/>
    </row>
    <row r="16" spans="1:12" s="57" customFormat="1" ht="18.75" customHeight="1">
      <c r="A16" s="119" t="str">
        <f>'Planilha Orcamentária'!A11</f>
        <v>1.2</v>
      </c>
      <c r="B16" s="70" t="str">
        <f>'Planilha Orcamentária'!C11</f>
        <v>ED-50135</v>
      </c>
      <c r="C16" s="374" t="str">
        <f>'Planilha Orcamentária'!D11</f>
        <v>BARRACÃO DE OBRA, EM CHAPA DE COMPENSADO RESINADO, INCLUSIVE INSTALAÇÕES SANITÁRIAS E MOBILIÁRIO - PADRÃO DERMG</v>
      </c>
      <c r="D16" s="374"/>
      <c r="E16" s="374"/>
      <c r="F16" s="374"/>
      <c r="G16" s="374"/>
      <c r="H16" s="374"/>
      <c r="I16" s="374"/>
      <c r="J16" s="374"/>
      <c r="K16" s="374"/>
      <c r="L16" s="375"/>
    </row>
    <row r="17" spans="1:12" s="46" customFormat="1" ht="16.2">
      <c r="A17" s="117"/>
      <c r="B17" s="47"/>
      <c r="C17" s="48"/>
      <c r="D17" s="49"/>
      <c r="E17" s="52"/>
      <c r="F17" s="52"/>
      <c r="G17" s="52"/>
      <c r="H17" s="53"/>
      <c r="I17" s="52"/>
      <c r="J17" s="52"/>
      <c r="K17" s="53"/>
      <c r="L17" s="118"/>
    </row>
    <row r="18" spans="1:12" s="72" customFormat="1" ht="61.5" customHeight="1">
      <c r="A18" s="120" t="s">
        <v>16</v>
      </c>
      <c r="B18" s="77">
        <v>12</v>
      </c>
      <c r="C18" s="78" t="s">
        <v>45</v>
      </c>
      <c r="D18" s="432" t="s">
        <v>79</v>
      </c>
      <c r="E18" s="433"/>
      <c r="F18" s="434"/>
      <c r="G18" s="81"/>
      <c r="H18" s="82"/>
      <c r="I18" s="82"/>
      <c r="J18" s="81"/>
      <c r="L18" s="121"/>
    </row>
    <row r="19" spans="1:12" s="46" customFormat="1" ht="15" customHeight="1">
      <c r="A19" s="122"/>
      <c r="B19" s="48"/>
      <c r="D19" s="52"/>
      <c r="F19" s="52"/>
      <c r="G19" s="53"/>
      <c r="H19" s="52"/>
      <c r="I19" s="52"/>
      <c r="J19" s="53"/>
      <c r="L19" s="118"/>
    </row>
    <row r="20" spans="1:12" s="57" customFormat="1" ht="18.75" customHeight="1">
      <c r="A20" s="119" t="str">
        <f>'Planilha Orcamentária'!A12</f>
        <v>1.3</v>
      </c>
      <c r="B20" s="70" t="str">
        <f>'Planilha Orcamentária'!C12</f>
        <v>ED-50392</v>
      </c>
      <c r="C20" s="374" t="str">
        <f>'Planilha Orcamentária'!D12</f>
        <v>MOBILIZAÇÃO E DESMOBILIZAÇÃO DE OBRA EM CENTRO URBANO OU REGIÃO LIMÍTROFE COM VALOR ATÉ O VALOR DE 1.000.000,00</v>
      </c>
      <c r="D20" s="374"/>
      <c r="E20" s="374"/>
      <c r="F20" s="374"/>
      <c r="G20" s="374"/>
      <c r="H20" s="374"/>
      <c r="I20" s="374"/>
      <c r="J20" s="374"/>
      <c r="K20" s="374"/>
      <c r="L20" s="375"/>
    </row>
    <row r="21" spans="1:12" s="56" customFormat="1" ht="16.2">
      <c r="A21" s="123"/>
      <c r="B21" s="54"/>
      <c r="C21" s="55"/>
      <c r="D21" s="55"/>
      <c r="E21" s="55"/>
      <c r="F21" s="55"/>
      <c r="G21" s="55"/>
      <c r="H21" s="55"/>
      <c r="I21" s="55"/>
      <c r="J21" s="55"/>
      <c r="K21" s="55"/>
      <c r="L21" s="124"/>
    </row>
    <row r="22" spans="1:12" s="56" customFormat="1" ht="21.9" customHeight="1">
      <c r="A22" s="125">
        <f>'Planilha Orcamentária'!F12</f>
        <v>0.5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126"/>
    </row>
    <row r="23" spans="1:12" s="56" customFormat="1" ht="16.2">
      <c r="A23" s="127"/>
      <c r="B23" s="66"/>
      <c r="C23" s="55"/>
      <c r="D23" s="55"/>
      <c r="E23" s="55"/>
      <c r="F23" s="55"/>
      <c r="G23" s="55"/>
      <c r="H23" s="55"/>
      <c r="I23" s="55"/>
      <c r="J23" s="55"/>
      <c r="K23" s="55"/>
      <c r="L23" s="126"/>
    </row>
    <row r="24" spans="1:12" s="80" customFormat="1" ht="48.75" customHeight="1">
      <c r="A24" s="399" t="s">
        <v>60</v>
      </c>
      <c r="B24" s="400"/>
      <c r="C24" s="401" t="s">
        <v>61</v>
      </c>
      <c r="D24" s="401"/>
      <c r="E24" s="405" t="s">
        <v>118</v>
      </c>
      <c r="F24" s="406"/>
      <c r="G24" s="79"/>
      <c r="H24" s="79"/>
      <c r="I24" s="79"/>
      <c r="J24" s="79"/>
      <c r="K24" s="79"/>
      <c r="L24" s="128"/>
    </row>
    <row r="25" spans="1:12" s="80" customFormat="1" ht="21.75" customHeight="1">
      <c r="A25" s="402">
        <f>'Planilha Orcamentária'!G12</f>
        <v>460406.7957233112</v>
      </c>
      <c r="B25" s="403"/>
      <c r="C25" s="404">
        <f>'Planilha Orcamentária'!H12</f>
        <v>568418.23</v>
      </c>
      <c r="D25" s="404"/>
      <c r="E25" s="407">
        <f>'Planilha Orcamentária'!I12</f>
        <v>2842.0911499999997</v>
      </c>
      <c r="F25" s="407"/>
      <c r="G25" s="79"/>
      <c r="H25" s="79"/>
      <c r="I25" s="79"/>
      <c r="J25" s="79"/>
      <c r="K25" s="79"/>
      <c r="L25" s="128"/>
    </row>
    <row r="26" spans="1:12" s="46" customFormat="1" ht="15" customHeight="1">
      <c r="A26" s="122"/>
      <c r="B26" s="48"/>
      <c r="D26" s="52"/>
      <c r="F26" s="52"/>
      <c r="G26" s="53"/>
      <c r="H26" s="52"/>
      <c r="I26" s="52"/>
      <c r="J26" s="53"/>
      <c r="L26" s="118"/>
    </row>
    <row r="27" spans="1:12" s="71" customFormat="1" ht="15" customHeight="1">
      <c r="A27" s="116" t="str">
        <f>'Planilha Orcamentária'!A13</f>
        <v>2.0</v>
      </c>
      <c r="B27" s="74"/>
      <c r="C27" s="410" t="str">
        <f>'Planilha Orcamentária'!D13</f>
        <v>DRENAGEM PLUVIAL</v>
      </c>
      <c r="D27" s="410"/>
      <c r="E27" s="410"/>
      <c r="F27" s="410"/>
      <c r="G27" s="410"/>
      <c r="H27" s="410"/>
      <c r="I27" s="410"/>
      <c r="J27" s="410"/>
      <c r="K27" s="410"/>
      <c r="L27" s="411"/>
    </row>
    <row r="28" spans="1:12" s="63" customFormat="1" ht="15" customHeight="1">
      <c r="A28" s="131"/>
      <c r="B28" s="64"/>
      <c r="C28" s="62"/>
      <c r="D28" s="62"/>
      <c r="E28" s="62"/>
      <c r="F28" s="62"/>
      <c r="G28" s="62"/>
      <c r="H28" s="62"/>
      <c r="I28" s="62"/>
      <c r="J28" s="62"/>
      <c r="K28" s="62"/>
      <c r="L28" s="130"/>
    </row>
    <row r="29" spans="1:12" s="71" customFormat="1" ht="15" customHeight="1">
      <c r="A29" s="119" t="str">
        <f>'Planilha Orcamentária'!A14</f>
        <v>2.1</v>
      </c>
      <c r="B29" s="70" t="s">
        <v>206</v>
      </c>
      <c r="C29" s="374" t="str">
        <f>'Planilha Orcamentária'!D14</f>
        <v>ESCAVAÇÃO MECÂNICA EM MATERIAL DE 1ª CATEGORIA, INCLUSIVE CARGA EM CAMINHÃO, EXCLUSIVE TRANSPORTE E DESCARGA</v>
      </c>
      <c r="D29" s="374"/>
      <c r="E29" s="374"/>
      <c r="F29" s="374"/>
      <c r="G29" s="374"/>
      <c r="H29" s="374"/>
      <c r="I29" s="374"/>
      <c r="J29" s="374"/>
      <c r="K29" s="374"/>
      <c r="L29" s="375"/>
    </row>
    <row r="30" spans="1:12" s="205" customFormat="1" ht="13.2">
      <c r="A30" s="206"/>
      <c r="B30" s="207"/>
      <c r="C30" s="207"/>
      <c r="D30" s="207"/>
      <c r="E30" s="207"/>
      <c r="F30" s="207"/>
      <c r="G30" s="207"/>
      <c r="H30" s="207"/>
      <c r="I30" s="207"/>
      <c r="J30" s="207"/>
      <c r="K30" s="207"/>
    </row>
    <row r="31" spans="1:12" s="205" customFormat="1" ht="30" customHeight="1">
      <c r="A31" s="208" t="s">
        <v>347</v>
      </c>
      <c r="B31" s="209" t="s">
        <v>213</v>
      </c>
      <c r="C31" s="210">
        <f>0.9+0.4</f>
        <v>1.3</v>
      </c>
      <c r="D31" s="209" t="s">
        <v>214</v>
      </c>
      <c r="E31" s="209" t="s">
        <v>215</v>
      </c>
      <c r="F31" s="210">
        <v>0.8</v>
      </c>
      <c r="G31" s="209" t="s">
        <v>216</v>
      </c>
      <c r="H31" s="209" t="s">
        <v>351</v>
      </c>
      <c r="I31" s="210">
        <f>B70</f>
        <v>22.599999999999998</v>
      </c>
      <c r="J31" s="209" t="s">
        <v>217</v>
      </c>
      <c r="K31" s="213">
        <f>ROUND(C31*F31*I31,2)</f>
        <v>23.5</v>
      </c>
    </row>
    <row r="32" spans="1:12" s="205" customFormat="1" ht="13.2">
      <c r="A32" s="314"/>
      <c r="B32" s="314"/>
      <c r="C32" s="314"/>
      <c r="D32" s="314"/>
      <c r="E32" s="314"/>
      <c r="F32" s="314"/>
      <c r="G32" s="314"/>
      <c r="H32" s="314"/>
      <c r="I32" s="314"/>
      <c r="J32" s="314"/>
      <c r="K32" s="314"/>
    </row>
    <row r="33" spans="1:12" s="205" customFormat="1" ht="30" customHeight="1">
      <c r="A33" s="208" t="s">
        <v>348</v>
      </c>
      <c r="B33" s="209" t="s">
        <v>213</v>
      </c>
      <c r="C33" s="210">
        <f>0.9+0.6</f>
        <v>1.5</v>
      </c>
      <c r="D33" s="209" t="s">
        <v>214</v>
      </c>
      <c r="E33" s="209" t="s">
        <v>215</v>
      </c>
      <c r="F33" s="210">
        <v>1.2</v>
      </c>
      <c r="G33" s="209" t="s">
        <v>216</v>
      </c>
      <c r="H33" s="209" t="s">
        <v>352</v>
      </c>
      <c r="I33" s="210">
        <f>B77</f>
        <v>22.5</v>
      </c>
      <c r="J33" s="209" t="s">
        <v>217</v>
      </c>
      <c r="K33" s="213">
        <f>ROUND(C33*F33*I33,2)</f>
        <v>40.5</v>
      </c>
    </row>
    <row r="34" spans="1:12" s="205" customFormat="1" ht="13.2">
      <c r="A34" s="314"/>
      <c r="B34" s="314"/>
      <c r="C34" s="314"/>
      <c r="D34" s="314"/>
      <c r="E34" s="314"/>
      <c r="F34" s="314"/>
      <c r="G34" s="314"/>
      <c r="H34" s="314"/>
      <c r="I34" s="314"/>
      <c r="J34" s="314"/>
      <c r="K34" s="314"/>
    </row>
    <row r="35" spans="1:12" s="205" customFormat="1" ht="30" customHeight="1">
      <c r="A35" s="208" t="s">
        <v>349</v>
      </c>
      <c r="B35" s="209" t="s">
        <v>213</v>
      </c>
      <c r="C35" s="210">
        <f>0.9+0.4</f>
        <v>1.3</v>
      </c>
      <c r="D35" s="209" t="s">
        <v>214</v>
      </c>
      <c r="E35" s="209" t="s">
        <v>215</v>
      </c>
      <c r="F35" s="210">
        <v>0.8</v>
      </c>
      <c r="G35" s="209" t="s">
        <v>216</v>
      </c>
      <c r="H35" s="209" t="s">
        <v>353</v>
      </c>
      <c r="I35" s="210">
        <f>'Memória de Cálculo'!B84</f>
        <v>30.95</v>
      </c>
      <c r="J35" s="209" t="s">
        <v>217</v>
      </c>
      <c r="K35" s="213">
        <f>ROUND(C35*F35*I35,2)</f>
        <v>32.19</v>
      </c>
    </row>
    <row r="36" spans="1:12" s="205" customFormat="1" ht="13.2">
      <c r="A36" s="314"/>
      <c r="B36" s="314"/>
      <c r="C36" s="314"/>
      <c r="D36" s="314"/>
      <c r="E36" s="314"/>
      <c r="F36" s="314"/>
      <c r="G36" s="314"/>
      <c r="H36" s="314"/>
      <c r="I36" s="314"/>
      <c r="J36" s="314"/>
      <c r="K36" s="314"/>
    </row>
    <row r="37" spans="1:12" s="205" customFormat="1" ht="30" customHeight="1">
      <c r="A37" s="208" t="s">
        <v>350</v>
      </c>
      <c r="B37" s="209" t="s">
        <v>213</v>
      </c>
      <c r="C37" s="210">
        <f>0.9+0.6</f>
        <v>1.5</v>
      </c>
      <c r="D37" s="209" t="s">
        <v>214</v>
      </c>
      <c r="E37" s="209" t="s">
        <v>215</v>
      </c>
      <c r="F37" s="210">
        <v>1.2</v>
      </c>
      <c r="G37" s="209" t="s">
        <v>216</v>
      </c>
      <c r="H37" s="209" t="s">
        <v>354</v>
      </c>
      <c r="I37" s="210">
        <f>B91</f>
        <v>6</v>
      </c>
      <c r="J37" s="209" t="s">
        <v>217</v>
      </c>
      <c r="K37" s="213">
        <f>ROUND(C37*F37*I37,2)</f>
        <v>10.8</v>
      </c>
    </row>
    <row r="38" spans="1:12" s="205" customFormat="1" ht="13.2">
      <c r="A38" s="314"/>
      <c r="B38" s="314"/>
      <c r="C38" s="314"/>
      <c r="D38" s="314"/>
      <c r="E38" s="314"/>
      <c r="F38" s="314"/>
      <c r="G38" s="314"/>
      <c r="H38" s="314"/>
      <c r="I38" s="314"/>
      <c r="J38" s="314"/>
      <c r="K38" s="314"/>
    </row>
    <row r="39" spans="1:12" s="205" customFormat="1" ht="15" customHeight="1">
      <c r="A39" s="208" t="s">
        <v>218</v>
      </c>
      <c r="B39" s="211">
        <f>K31+K33+K35+K37</f>
        <v>106.99</v>
      </c>
      <c r="C39" s="212" t="s">
        <v>219</v>
      </c>
      <c r="D39" s="207"/>
      <c r="E39" s="207"/>
      <c r="F39" s="207"/>
      <c r="G39" s="207"/>
      <c r="H39" s="207"/>
      <c r="I39" s="207"/>
      <c r="J39" s="207"/>
      <c r="K39" s="207"/>
    </row>
    <row r="40" spans="1:12" s="205" customFormat="1" ht="13.2">
      <c r="A40" s="314"/>
      <c r="B40" s="314"/>
      <c r="C40" s="314"/>
      <c r="D40" s="314"/>
      <c r="E40" s="314"/>
      <c r="F40" s="314"/>
      <c r="G40" s="314"/>
      <c r="H40" s="314"/>
      <c r="I40" s="314"/>
      <c r="J40" s="314"/>
      <c r="K40" s="314"/>
    </row>
    <row r="41" spans="1:12" s="71" customFormat="1" ht="15" customHeight="1">
      <c r="A41" s="119" t="str">
        <f>'Planilha Orcamentária'!A15</f>
        <v>2.2</v>
      </c>
      <c r="B41" s="70" t="s">
        <v>228</v>
      </c>
      <c r="C41" s="374" t="str">
        <f>'Planilha Orcamentária'!D15</f>
        <v>APILOAMENTO MECANIZADO EM FUNDO DE VALA COM PLACA VIBRATÓRIA, EXCLUSIVE ESCAVAÇÃO</v>
      </c>
      <c r="D41" s="374"/>
      <c r="E41" s="374"/>
      <c r="F41" s="374"/>
      <c r="G41" s="374"/>
      <c r="H41" s="374"/>
      <c r="I41" s="374"/>
      <c r="J41" s="374"/>
      <c r="K41" s="374"/>
      <c r="L41" s="375"/>
    </row>
    <row r="42" spans="1:12" s="205" customFormat="1" ht="13.2">
      <c r="A42" s="206"/>
      <c r="B42" s="207"/>
      <c r="C42" s="207"/>
      <c r="D42" s="207"/>
      <c r="E42" s="207"/>
      <c r="F42" s="207"/>
      <c r="G42" s="207"/>
      <c r="H42" s="207"/>
      <c r="I42" s="207"/>
      <c r="J42" s="207"/>
      <c r="K42" s="207"/>
    </row>
    <row r="43" spans="1:12" s="205" customFormat="1" ht="30" customHeight="1">
      <c r="A43" s="208" t="s">
        <v>347</v>
      </c>
      <c r="B43" s="209" t="s">
        <v>215</v>
      </c>
      <c r="C43" s="210">
        <f>F31</f>
        <v>0.8</v>
      </c>
      <c r="D43" s="209" t="s">
        <v>216</v>
      </c>
      <c r="E43" s="209" t="str">
        <f>H31</f>
        <v>Metros Tubo de 400 mm</v>
      </c>
      <c r="F43" s="210">
        <f>I31</f>
        <v>22.599999999999998</v>
      </c>
      <c r="G43" s="209" t="s">
        <v>217</v>
      </c>
      <c r="H43" s="213">
        <f>ROUND(C43*F43,2)</f>
        <v>18.079999999999998</v>
      </c>
    </row>
    <row r="44" spans="1:12" s="205" customFormat="1" ht="13.2">
      <c r="A44" s="314"/>
      <c r="B44" s="207"/>
      <c r="C44" s="207"/>
      <c r="D44" s="207"/>
      <c r="E44" s="207"/>
      <c r="F44" s="207"/>
      <c r="G44" s="207"/>
      <c r="H44" s="207"/>
      <c r="I44" s="207"/>
      <c r="J44" s="207"/>
      <c r="K44" s="207"/>
    </row>
    <row r="45" spans="1:12" s="205" customFormat="1" ht="30" customHeight="1">
      <c r="A45" s="208" t="s">
        <v>348</v>
      </c>
      <c r="B45" s="209" t="s">
        <v>215</v>
      </c>
      <c r="C45" s="210">
        <f>F33</f>
        <v>1.2</v>
      </c>
      <c r="D45" s="209" t="s">
        <v>216</v>
      </c>
      <c r="E45" s="209" t="str">
        <f>H33</f>
        <v>Metros Tubo de 600 mm</v>
      </c>
      <c r="F45" s="210">
        <f>I33</f>
        <v>22.5</v>
      </c>
      <c r="G45" s="209" t="s">
        <v>217</v>
      </c>
      <c r="H45" s="213">
        <f>ROUND(C45*F45,2)</f>
        <v>27</v>
      </c>
    </row>
    <row r="46" spans="1:12" s="205" customFormat="1" ht="13.2">
      <c r="A46" s="314"/>
      <c r="B46" s="207"/>
      <c r="C46" s="207"/>
      <c r="D46" s="207"/>
      <c r="E46" s="207"/>
      <c r="F46" s="207"/>
      <c r="G46" s="207"/>
      <c r="H46" s="207"/>
      <c r="I46" s="207"/>
      <c r="J46" s="207"/>
      <c r="K46" s="207"/>
    </row>
    <row r="47" spans="1:12" s="205" customFormat="1" ht="30" customHeight="1">
      <c r="A47" s="208" t="s">
        <v>349</v>
      </c>
      <c r="B47" s="209" t="s">
        <v>215</v>
      </c>
      <c r="C47" s="210">
        <f>F35</f>
        <v>0.8</v>
      </c>
      <c r="D47" s="209" t="s">
        <v>216</v>
      </c>
      <c r="E47" s="209" t="str">
        <f>H35</f>
        <v>Metros Tubo Armado de 400 mm</v>
      </c>
      <c r="F47" s="210">
        <f>I35</f>
        <v>30.95</v>
      </c>
      <c r="G47" s="209" t="s">
        <v>217</v>
      </c>
      <c r="H47" s="213">
        <f>ROUND(C47*F47,2)</f>
        <v>24.76</v>
      </c>
    </row>
    <row r="48" spans="1:12" s="205" customFormat="1" ht="13.2">
      <c r="A48" s="314"/>
      <c r="B48" s="207"/>
      <c r="C48" s="207"/>
      <c r="D48" s="207"/>
      <c r="E48" s="207"/>
      <c r="F48" s="207"/>
      <c r="G48" s="207"/>
      <c r="H48" s="207"/>
      <c r="I48" s="207"/>
      <c r="J48" s="207"/>
      <c r="K48" s="207"/>
    </row>
    <row r="49" spans="1:13" s="205" customFormat="1" ht="30" customHeight="1">
      <c r="A49" s="208" t="s">
        <v>350</v>
      </c>
      <c r="B49" s="209" t="s">
        <v>215</v>
      </c>
      <c r="C49" s="210">
        <f>F37</f>
        <v>1.2</v>
      </c>
      <c r="D49" s="209" t="s">
        <v>216</v>
      </c>
      <c r="E49" s="209" t="str">
        <f>H37</f>
        <v>Metros Tubo Armado de 600 mm</v>
      </c>
      <c r="F49" s="210">
        <f>I37</f>
        <v>6</v>
      </c>
      <c r="G49" s="209" t="s">
        <v>217</v>
      </c>
      <c r="H49" s="213">
        <f>ROUND(C49*F49,2)</f>
        <v>7.2</v>
      </c>
    </row>
    <row r="50" spans="1:13" s="205" customFormat="1" ht="13.2">
      <c r="A50" s="206"/>
      <c r="B50" s="207"/>
      <c r="C50" s="207"/>
      <c r="D50" s="207"/>
      <c r="E50" s="207"/>
      <c r="F50" s="207"/>
      <c r="G50" s="207"/>
      <c r="H50" s="207"/>
      <c r="I50" s="207"/>
      <c r="J50" s="207"/>
      <c r="K50" s="207"/>
    </row>
    <row r="51" spans="1:13" s="205" customFormat="1" ht="15" customHeight="1">
      <c r="A51" s="208" t="s">
        <v>218</v>
      </c>
      <c r="B51" s="211">
        <f>H49+H47+H45+H43</f>
        <v>77.039999999999992</v>
      </c>
      <c r="C51" s="212" t="s">
        <v>220</v>
      </c>
      <c r="D51" s="207"/>
      <c r="E51" s="207"/>
      <c r="F51" s="207"/>
      <c r="G51" s="207"/>
      <c r="H51" s="207"/>
      <c r="I51" s="207"/>
      <c r="J51" s="207"/>
      <c r="K51" s="207"/>
    </row>
    <row r="52" spans="1:13" s="205" customFormat="1" ht="13.2">
      <c r="A52" s="206"/>
      <c r="B52" s="207"/>
      <c r="C52" s="207"/>
      <c r="D52" s="207"/>
      <c r="E52" s="207"/>
      <c r="F52" s="207"/>
      <c r="G52" s="207"/>
      <c r="H52" s="207"/>
      <c r="I52" s="207"/>
      <c r="J52" s="207"/>
      <c r="K52" s="207"/>
    </row>
    <row r="53" spans="1:13" s="71" customFormat="1" ht="15" customHeight="1">
      <c r="A53" s="119" t="str">
        <f>'Planilha Orcamentária'!A16</f>
        <v>2.3</v>
      </c>
      <c r="B53" s="70" t="s">
        <v>229</v>
      </c>
      <c r="C53" s="374" t="str">
        <f>'Planilha Orcamentária'!D16</f>
        <v>CONCRETO MAGRO, TRAÇO 1:3:6, PREPARADO EM OBRA COM BETONEIRA, SEM FUNÇÃO ESTRUTURAL</v>
      </c>
      <c r="D53" s="374"/>
      <c r="E53" s="374"/>
      <c r="F53" s="374"/>
      <c r="G53" s="374"/>
      <c r="H53" s="374"/>
      <c r="I53" s="374"/>
      <c r="J53" s="374"/>
      <c r="K53" s="374"/>
      <c r="L53" s="375"/>
    </row>
    <row r="54" spans="1:13" s="205" customFormat="1" ht="13.2">
      <c r="A54" s="206"/>
      <c r="B54" s="207"/>
      <c r="C54" s="207"/>
      <c r="D54" s="207"/>
      <c r="E54" s="207"/>
      <c r="F54" s="207"/>
      <c r="G54" s="207"/>
      <c r="H54" s="207"/>
      <c r="I54" s="207"/>
      <c r="J54" s="207"/>
      <c r="K54" s="207"/>
    </row>
    <row r="55" spans="1:13" s="205" customFormat="1" ht="51.6" customHeight="1">
      <c r="A55" s="208" t="s">
        <v>347</v>
      </c>
      <c r="B55" s="209" t="s">
        <v>221</v>
      </c>
      <c r="C55" s="210">
        <f>F43</f>
        <v>22.599999999999998</v>
      </c>
      <c r="D55" s="209" t="s">
        <v>216</v>
      </c>
      <c r="E55" s="412" t="s">
        <v>355</v>
      </c>
      <c r="F55" s="412"/>
      <c r="G55" s="412"/>
      <c r="H55" s="214">
        <v>0.13</v>
      </c>
      <c r="I55" s="209" t="s">
        <v>217</v>
      </c>
      <c r="J55" s="213">
        <f>C55*H55</f>
        <v>2.9379999999999997</v>
      </c>
      <c r="K55" s="207"/>
      <c r="L55" s="207"/>
      <c r="M55" s="207"/>
    </row>
    <row r="56" spans="1:13" s="205" customFormat="1" ht="13.2">
      <c r="A56" s="206"/>
      <c r="B56" s="207"/>
      <c r="C56" s="207"/>
      <c r="D56" s="207"/>
      <c r="E56" s="207"/>
      <c r="F56" s="207"/>
      <c r="G56" s="207"/>
      <c r="H56" s="207"/>
      <c r="I56" s="207"/>
      <c r="J56" s="207"/>
      <c r="K56" s="207"/>
    </row>
    <row r="57" spans="1:13" s="205" customFormat="1" ht="51.6" customHeight="1">
      <c r="A57" s="208" t="s">
        <v>348</v>
      </c>
      <c r="B57" s="209" t="s">
        <v>221</v>
      </c>
      <c r="C57" s="210">
        <f>F45</f>
        <v>22.5</v>
      </c>
      <c r="D57" s="209" t="s">
        <v>216</v>
      </c>
      <c r="E57" s="412" t="s">
        <v>356</v>
      </c>
      <c r="F57" s="412"/>
      <c r="G57" s="412"/>
      <c r="H57" s="214">
        <v>0.25</v>
      </c>
      <c r="I57" s="209" t="s">
        <v>217</v>
      </c>
      <c r="J57" s="213">
        <f>C57*H57</f>
        <v>5.625</v>
      </c>
      <c r="K57" s="207"/>
      <c r="L57" s="207"/>
      <c r="M57" s="207"/>
    </row>
    <row r="58" spans="1:13" s="205" customFormat="1" ht="13.2">
      <c r="A58" s="206"/>
      <c r="B58" s="207"/>
      <c r="C58" s="207"/>
      <c r="D58" s="207"/>
      <c r="E58" s="207"/>
      <c r="F58" s="207"/>
      <c r="G58" s="207"/>
      <c r="H58" s="207"/>
      <c r="I58" s="207"/>
      <c r="J58" s="207"/>
      <c r="K58" s="207"/>
    </row>
    <row r="59" spans="1:13" s="205" customFormat="1" ht="51.6" customHeight="1">
      <c r="A59" s="208" t="s">
        <v>349</v>
      </c>
      <c r="B59" s="209" t="s">
        <v>221</v>
      </c>
      <c r="C59" s="210">
        <f>F47</f>
        <v>30.95</v>
      </c>
      <c r="D59" s="209" t="s">
        <v>216</v>
      </c>
      <c r="E59" s="412" t="s">
        <v>355</v>
      </c>
      <c r="F59" s="412"/>
      <c r="G59" s="412"/>
      <c r="H59" s="214">
        <v>0.13</v>
      </c>
      <c r="I59" s="209" t="s">
        <v>217</v>
      </c>
      <c r="J59" s="213">
        <f>C59*H59</f>
        <v>4.0235000000000003</v>
      </c>
      <c r="K59" s="207"/>
      <c r="L59" s="207"/>
      <c r="M59" s="207"/>
    </row>
    <row r="60" spans="1:13" s="205" customFormat="1" ht="13.2">
      <c r="A60" s="206"/>
      <c r="B60" s="207"/>
      <c r="C60" s="207"/>
      <c r="D60" s="207"/>
      <c r="E60" s="207"/>
      <c r="F60" s="207"/>
      <c r="G60" s="207"/>
      <c r="H60" s="207"/>
      <c r="I60" s="207"/>
      <c r="J60" s="207"/>
      <c r="K60" s="207"/>
    </row>
    <row r="61" spans="1:13" s="205" customFormat="1" ht="51.6" customHeight="1">
      <c r="A61" s="208" t="s">
        <v>350</v>
      </c>
      <c r="B61" s="209" t="s">
        <v>221</v>
      </c>
      <c r="C61" s="210">
        <f>F49</f>
        <v>6</v>
      </c>
      <c r="D61" s="209" t="s">
        <v>216</v>
      </c>
      <c r="E61" s="412" t="s">
        <v>356</v>
      </c>
      <c r="F61" s="412"/>
      <c r="G61" s="412"/>
      <c r="H61" s="214">
        <v>0.25</v>
      </c>
      <c r="I61" s="209" t="s">
        <v>217</v>
      </c>
      <c r="J61" s="213">
        <f>C61*H61</f>
        <v>1.5</v>
      </c>
      <c r="K61" s="207"/>
      <c r="L61" s="207"/>
      <c r="M61" s="207"/>
    </row>
    <row r="62" spans="1:13" s="205" customFormat="1" ht="13.2">
      <c r="A62" s="215"/>
      <c r="B62" s="216"/>
      <c r="C62" s="216"/>
      <c r="D62" s="207"/>
      <c r="E62" s="207"/>
      <c r="F62" s="207"/>
      <c r="G62" s="207"/>
      <c r="H62" s="207"/>
      <c r="I62" s="207"/>
      <c r="J62" s="207"/>
      <c r="K62" s="207"/>
    </row>
    <row r="63" spans="1:13" s="205" customFormat="1" ht="15" customHeight="1">
      <c r="A63" s="217" t="s">
        <v>218</v>
      </c>
      <c r="B63" s="218">
        <f>J61+J59+J57+J55</f>
        <v>14.086500000000001</v>
      </c>
      <c r="C63" s="219" t="s">
        <v>219</v>
      </c>
      <c r="D63" s="206"/>
      <c r="E63" s="207"/>
      <c r="F63" s="207"/>
      <c r="G63" s="207"/>
      <c r="H63" s="207"/>
      <c r="I63" s="207"/>
      <c r="J63" s="207"/>
      <c r="K63" s="207"/>
    </row>
    <row r="64" spans="1:13" s="205" customFormat="1" ht="13.2">
      <c r="A64" s="206"/>
      <c r="B64" s="207"/>
      <c r="C64" s="207"/>
      <c r="D64" s="207"/>
      <c r="E64" s="207"/>
      <c r="F64" s="207"/>
      <c r="G64" s="207"/>
      <c r="H64" s="207"/>
      <c r="I64" s="207"/>
      <c r="J64" s="207"/>
      <c r="K64" s="207"/>
    </row>
    <row r="65" spans="1:12" s="71" customFormat="1" ht="36.6" customHeight="1">
      <c r="A65" s="119" t="str">
        <f>'Planilha Orcamentária'!A17</f>
        <v>2.4</v>
      </c>
      <c r="B65" s="70" t="s">
        <v>327</v>
      </c>
      <c r="C65" s="374" t="str">
        <f>'Planilha Orcamentária'!D17</f>
        <v>TUBO DE CONCRETO SIMPLES, CLASSE PS1, DIÂMETRO DE 400MM, INCLUSIVE CARGA E DESCARGA MECÂNICA EM CAMINHÃO, ASSENTAMENTO E REJUNTAMENTO, EXCLUSIVE ESCAVAÇÃO E TRANSPORTE</v>
      </c>
      <c r="D65" s="374"/>
      <c r="E65" s="374"/>
      <c r="F65" s="374"/>
      <c r="G65" s="374"/>
      <c r="H65" s="374"/>
      <c r="I65" s="374"/>
      <c r="J65" s="374"/>
      <c r="K65" s="374"/>
      <c r="L65" s="375"/>
    </row>
    <row r="66" spans="1:12" s="205" customFormat="1" ht="13.2">
      <c r="A66" s="206"/>
      <c r="B66" s="209"/>
      <c r="C66" s="209"/>
      <c r="D66" s="209"/>
      <c r="E66" s="209"/>
      <c r="F66" s="209"/>
      <c r="G66" s="209"/>
      <c r="H66" s="209"/>
      <c r="I66" s="209"/>
      <c r="J66" s="207"/>
      <c r="K66" s="207"/>
    </row>
    <row r="67" spans="1:12" s="205" customFormat="1" ht="15" customHeight="1">
      <c r="A67" s="208"/>
      <c r="B67" s="220" t="s">
        <v>341</v>
      </c>
      <c r="C67" s="220" t="s">
        <v>342</v>
      </c>
      <c r="F67" s="229"/>
      <c r="G67" s="229"/>
      <c r="H67" s="229"/>
      <c r="I67" s="229"/>
      <c r="J67" s="207"/>
      <c r="K67" s="207"/>
    </row>
    <row r="68" spans="1:12" s="205" customFormat="1" ht="13.2">
      <c r="A68" s="206"/>
      <c r="B68" s="207"/>
      <c r="C68" s="207"/>
      <c r="F68" s="230"/>
      <c r="G68" s="230"/>
      <c r="H68" s="230"/>
      <c r="I68" s="230"/>
      <c r="J68" s="207"/>
      <c r="K68" s="207"/>
    </row>
    <row r="69" spans="1:12" s="205" customFormat="1" ht="13.2">
      <c r="A69" s="413" t="s">
        <v>223</v>
      </c>
      <c r="B69" s="223">
        <v>2.2000000000000002</v>
      </c>
      <c r="C69" s="223">
        <v>20.399999999999999</v>
      </c>
      <c r="F69" s="221"/>
      <c r="G69" s="221"/>
      <c r="H69" s="221"/>
      <c r="I69" s="230"/>
      <c r="J69" s="207"/>
      <c r="K69" s="207"/>
    </row>
    <row r="70" spans="1:12" s="205" customFormat="1" ht="15" customHeight="1">
      <c r="A70" s="413" t="s">
        <v>16</v>
      </c>
      <c r="B70" s="222">
        <f>SUM(B69:C69)</f>
        <v>22.599999999999998</v>
      </c>
      <c r="C70" s="222" t="s">
        <v>222</v>
      </c>
      <c r="D70" s="207"/>
      <c r="E70" s="230"/>
      <c r="F70" s="230"/>
      <c r="G70" s="230"/>
      <c r="H70" s="230"/>
      <c r="I70" s="230"/>
      <c r="J70" s="207"/>
      <c r="K70" s="207"/>
    </row>
    <row r="71" spans="1:12" s="205" customFormat="1" ht="13.2">
      <c r="A71" s="206"/>
      <c r="B71" s="207"/>
      <c r="C71" s="207"/>
      <c r="D71" s="207"/>
      <c r="E71" s="207"/>
      <c r="F71" s="207"/>
      <c r="G71" s="207"/>
      <c r="H71" s="207"/>
      <c r="I71" s="207"/>
      <c r="J71" s="207"/>
      <c r="K71" s="207"/>
    </row>
    <row r="72" spans="1:12" s="71" customFormat="1" ht="36.6" customHeight="1">
      <c r="A72" s="119" t="str">
        <f>'Planilha Orcamentária'!A18</f>
        <v>2.5</v>
      </c>
      <c r="B72" s="70" t="s">
        <v>329</v>
      </c>
      <c r="C72" s="374" t="str">
        <f>'Planilha Orcamentária'!D18</f>
        <v>TUBO DE CONCRETO SIMPLES, CLASSE PS1, DIÂMETRO DE 600MM, INCLUSIVE CARGA E DESCARGA MECÂNICA EM CAMINHÃO, ASSENTAMENTO E REJUNTAMENTO, EXCLUSIVE ESCAVAÇÃO E TRANSPORTE</v>
      </c>
      <c r="D72" s="374"/>
      <c r="E72" s="374"/>
      <c r="F72" s="374"/>
      <c r="G72" s="374"/>
      <c r="H72" s="374"/>
      <c r="I72" s="374"/>
      <c r="J72" s="374"/>
      <c r="K72" s="374"/>
      <c r="L72" s="375"/>
    </row>
    <row r="73" spans="1:12" s="205" customFormat="1" ht="13.2">
      <c r="A73" s="206"/>
      <c r="B73" s="209"/>
      <c r="C73" s="209"/>
      <c r="D73" s="209"/>
      <c r="E73" s="209"/>
      <c r="F73" s="209"/>
      <c r="G73" s="209"/>
      <c r="H73" s="209"/>
      <c r="I73" s="209"/>
      <c r="J73" s="207"/>
      <c r="K73" s="207"/>
    </row>
    <row r="74" spans="1:12" s="205" customFormat="1" ht="15" customHeight="1">
      <c r="A74" s="208"/>
      <c r="B74" s="220" t="s">
        <v>343</v>
      </c>
      <c r="C74" s="220" t="s">
        <v>344</v>
      </c>
      <c r="F74" s="229"/>
      <c r="G74" s="229"/>
      <c r="H74" s="229"/>
      <c r="I74" s="229"/>
      <c r="J74" s="207"/>
      <c r="K74" s="207"/>
    </row>
    <row r="75" spans="1:12" s="205" customFormat="1" ht="13.2">
      <c r="A75" s="206"/>
      <c r="B75" s="207"/>
      <c r="C75" s="207"/>
      <c r="F75" s="230"/>
      <c r="G75" s="230"/>
      <c r="H75" s="230"/>
      <c r="I75" s="230"/>
      <c r="J75" s="207"/>
      <c r="K75" s="207"/>
    </row>
    <row r="76" spans="1:12" s="205" customFormat="1" ht="13.2">
      <c r="A76" s="413" t="s">
        <v>223</v>
      </c>
      <c r="B76" s="223">
        <v>2</v>
      </c>
      <c r="C76" s="223">
        <v>20.5</v>
      </c>
      <c r="F76" s="221"/>
      <c r="G76" s="221"/>
      <c r="H76" s="221"/>
      <c r="I76" s="230"/>
      <c r="J76" s="207"/>
      <c r="K76" s="207"/>
    </row>
    <row r="77" spans="1:12" s="205" customFormat="1" ht="15" customHeight="1">
      <c r="A77" s="413" t="s">
        <v>16</v>
      </c>
      <c r="B77" s="222">
        <f>SUM(B76:C76)</f>
        <v>22.5</v>
      </c>
      <c r="C77" s="222" t="s">
        <v>222</v>
      </c>
      <c r="D77" s="207"/>
      <c r="E77" s="230"/>
      <c r="F77" s="230"/>
      <c r="G77" s="230"/>
      <c r="H77" s="230"/>
      <c r="I77" s="230"/>
      <c r="J77" s="207"/>
      <c r="K77" s="207"/>
    </row>
    <row r="78" spans="1:12" s="205" customFormat="1" ht="13.2">
      <c r="A78" s="206"/>
      <c r="B78" s="207"/>
      <c r="C78" s="207"/>
      <c r="D78" s="207"/>
      <c r="E78" s="207"/>
      <c r="F78" s="207"/>
      <c r="G78" s="207"/>
      <c r="H78" s="207"/>
      <c r="I78" s="207"/>
      <c r="J78" s="207"/>
      <c r="K78" s="207"/>
    </row>
    <row r="79" spans="1:12" s="71" customFormat="1" ht="36.6" customHeight="1">
      <c r="A79" s="119" t="str">
        <f>'Planilha Orcamentária'!A19</f>
        <v>2.6</v>
      </c>
      <c r="B79" s="70" t="s">
        <v>332</v>
      </c>
      <c r="C79" s="374" t="str">
        <f>'Planilha Orcamentária'!D19</f>
        <v>TUBO DE CONCRETO ARMADO, CLASSE PA1, DIÂMETRO DE 400MM, INCLUSIVE CARGA E DESCARGA MECÂNICA EM CAMINHÃO, ASSENTAMENTO E REJUNTAMENTO, EXCLUSIVE ESCAVAÇÃO E TRANSPORTE</v>
      </c>
      <c r="D79" s="374"/>
      <c r="E79" s="374"/>
      <c r="F79" s="374"/>
      <c r="G79" s="374"/>
      <c r="H79" s="374"/>
      <c r="I79" s="374"/>
      <c r="J79" s="374"/>
      <c r="K79" s="374"/>
      <c r="L79" s="375"/>
    </row>
    <row r="80" spans="1:12" s="205" customFormat="1" ht="13.2">
      <c r="A80" s="206"/>
      <c r="B80" s="209"/>
      <c r="C80" s="209"/>
      <c r="D80" s="209"/>
      <c r="E80" s="209"/>
      <c r="F80" s="209"/>
      <c r="G80" s="209"/>
      <c r="H80" s="209"/>
      <c r="I80" s="209"/>
      <c r="J80" s="207"/>
      <c r="K80" s="207"/>
    </row>
    <row r="81" spans="1:12" s="205" customFormat="1" ht="15" customHeight="1">
      <c r="A81" s="208"/>
      <c r="B81" s="220" t="s">
        <v>345</v>
      </c>
      <c r="F81" s="229"/>
      <c r="G81" s="229"/>
      <c r="H81" s="229"/>
      <c r="I81" s="229"/>
      <c r="J81" s="207"/>
      <c r="K81" s="207"/>
    </row>
    <row r="82" spans="1:12" s="205" customFormat="1" ht="13.2">
      <c r="A82" s="206"/>
      <c r="B82" s="207"/>
      <c r="F82" s="230"/>
      <c r="G82" s="230"/>
      <c r="H82" s="230"/>
      <c r="I82" s="230"/>
      <c r="J82" s="207"/>
      <c r="K82" s="207"/>
    </row>
    <row r="83" spans="1:12" s="205" customFormat="1" ht="13.2">
      <c r="A83" s="413" t="s">
        <v>223</v>
      </c>
      <c r="B83" s="223">
        <v>30.95</v>
      </c>
      <c r="F83" s="221"/>
      <c r="G83" s="221"/>
      <c r="H83" s="221"/>
      <c r="I83" s="230"/>
      <c r="J83" s="207"/>
      <c r="K83" s="207"/>
    </row>
    <row r="84" spans="1:12" s="205" customFormat="1" ht="15" customHeight="1">
      <c r="A84" s="413" t="s">
        <v>16</v>
      </c>
      <c r="B84" s="222">
        <f>SUM(B83:C83)</f>
        <v>30.95</v>
      </c>
      <c r="C84" s="222" t="s">
        <v>222</v>
      </c>
      <c r="D84" s="207"/>
      <c r="E84" s="230"/>
      <c r="F84" s="230"/>
      <c r="G84" s="230"/>
      <c r="H84" s="230"/>
      <c r="I84" s="230"/>
      <c r="J84" s="207"/>
      <c r="K84" s="207"/>
    </row>
    <row r="85" spans="1:12" s="205" customFormat="1" ht="13.2">
      <c r="A85" s="206"/>
      <c r="B85" s="207"/>
      <c r="C85" s="207"/>
      <c r="D85" s="207"/>
      <c r="E85" s="207"/>
      <c r="F85" s="207"/>
      <c r="G85" s="207"/>
      <c r="H85" s="207"/>
      <c r="I85" s="207"/>
      <c r="J85" s="207"/>
      <c r="K85" s="207"/>
    </row>
    <row r="86" spans="1:12" s="71" customFormat="1" ht="36.6" customHeight="1">
      <c r="A86" s="119" t="str">
        <f>'Planilha Orcamentária'!A20</f>
        <v>2.7</v>
      </c>
      <c r="B86" s="70" t="s">
        <v>334</v>
      </c>
      <c r="C86" s="374" t="str">
        <f>'Planilha Orcamentária'!D20</f>
        <v>TUBO DE CONCRETO ARMADO, CLASSE PA1, DIÂMETRO DE 600MM, INCLUSIVE CARGA E DESCARGA MECÂNICA EM CAMINHÃO, ASSENTAMENTO E REJUNTAMENTO, EXCLUSIVE ESCAVAÇÃO E TRANSPORTE</v>
      </c>
      <c r="D86" s="374"/>
      <c r="E86" s="374"/>
      <c r="F86" s="374"/>
      <c r="G86" s="374"/>
      <c r="H86" s="374"/>
      <c r="I86" s="374"/>
      <c r="J86" s="374"/>
      <c r="K86" s="374"/>
      <c r="L86" s="375"/>
    </row>
    <row r="87" spans="1:12" s="205" customFormat="1" ht="13.2">
      <c r="A87" s="206"/>
      <c r="B87" s="209"/>
      <c r="C87" s="209"/>
      <c r="D87" s="209"/>
      <c r="E87" s="209"/>
      <c r="F87" s="209"/>
      <c r="G87" s="209"/>
      <c r="H87" s="209"/>
      <c r="I87" s="209"/>
      <c r="J87" s="207"/>
      <c r="K87" s="207"/>
    </row>
    <row r="88" spans="1:12" s="205" customFormat="1" ht="15" customHeight="1">
      <c r="A88" s="208"/>
      <c r="B88" s="220" t="s">
        <v>346</v>
      </c>
      <c r="F88" s="229"/>
      <c r="G88" s="229"/>
      <c r="H88" s="229"/>
      <c r="I88" s="229"/>
      <c r="J88" s="207"/>
      <c r="K88" s="207"/>
    </row>
    <row r="89" spans="1:12" s="205" customFormat="1" ht="13.2">
      <c r="A89" s="206"/>
      <c r="B89" s="207"/>
      <c r="F89" s="230"/>
      <c r="G89" s="230"/>
      <c r="H89" s="230"/>
      <c r="I89" s="230"/>
      <c r="J89" s="207"/>
      <c r="K89" s="207"/>
    </row>
    <row r="90" spans="1:12" s="205" customFormat="1" ht="13.2">
      <c r="A90" s="413" t="s">
        <v>223</v>
      </c>
      <c r="B90" s="223">
        <v>6</v>
      </c>
      <c r="F90" s="221"/>
      <c r="G90" s="221"/>
      <c r="H90" s="221"/>
      <c r="I90" s="230"/>
      <c r="J90" s="207"/>
      <c r="K90" s="207"/>
    </row>
    <row r="91" spans="1:12" s="205" customFormat="1" ht="15" customHeight="1">
      <c r="A91" s="413" t="s">
        <v>16</v>
      </c>
      <c r="B91" s="222">
        <f>SUM(B90:C90)</f>
        <v>6</v>
      </c>
      <c r="C91" s="222" t="s">
        <v>222</v>
      </c>
      <c r="D91" s="207"/>
      <c r="E91" s="230"/>
      <c r="F91" s="230"/>
      <c r="G91" s="230"/>
      <c r="H91" s="230"/>
      <c r="I91" s="230"/>
      <c r="J91" s="207"/>
      <c r="K91" s="207"/>
    </row>
    <row r="92" spans="1:12" s="205" customFormat="1" ht="13.2">
      <c r="A92" s="206"/>
      <c r="B92" s="207"/>
      <c r="C92" s="207"/>
      <c r="D92" s="207"/>
      <c r="E92" s="207"/>
      <c r="F92" s="207"/>
      <c r="G92" s="207"/>
      <c r="H92" s="207"/>
      <c r="I92" s="207"/>
      <c r="J92" s="207"/>
      <c r="K92" s="207"/>
    </row>
    <row r="93" spans="1:12" s="205" customFormat="1" ht="13.2">
      <c r="A93" s="206"/>
      <c r="B93" s="207"/>
      <c r="C93" s="207"/>
      <c r="D93" s="207"/>
      <c r="E93" s="207"/>
      <c r="F93" s="207"/>
      <c r="G93" s="207"/>
      <c r="H93" s="207"/>
      <c r="I93" s="207"/>
      <c r="J93" s="207"/>
      <c r="K93" s="207"/>
    </row>
    <row r="94" spans="1:12" s="71" customFormat="1" ht="15" customHeight="1">
      <c r="A94" s="119" t="str">
        <f>'Planilha Orcamentária'!A21</f>
        <v>2.8</v>
      </c>
      <c r="B94" s="70" t="s">
        <v>207</v>
      </c>
      <c r="C94" s="374" t="str">
        <f>'Planilha Orcamentária'!D21</f>
        <v>REATERRO MANUAL DE VALA, INCLUSIVE ESPALHAMENTO E COMPACTAÇÃO MECANIZADA COM PLACA VIBRATÓRIA</v>
      </c>
      <c r="D94" s="374"/>
      <c r="E94" s="374"/>
      <c r="F94" s="374"/>
      <c r="G94" s="374"/>
      <c r="H94" s="374"/>
      <c r="I94" s="374"/>
      <c r="J94" s="374"/>
      <c r="K94" s="374"/>
      <c r="L94" s="375"/>
    </row>
    <row r="95" spans="1:12" s="205" customFormat="1" ht="13.8" thickBot="1">
      <c r="A95" s="206"/>
      <c r="B95" s="207"/>
      <c r="C95" s="207"/>
      <c r="D95" s="207"/>
      <c r="E95" s="207"/>
      <c r="F95" s="207"/>
      <c r="G95" s="207"/>
      <c r="H95" s="207"/>
      <c r="I95" s="207"/>
      <c r="J95" s="207"/>
      <c r="K95" s="207"/>
    </row>
    <row r="96" spans="1:12" s="205" customFormat="1" ht="46.2" customHeight="1" thickBot="1">
      <c r="A96" s="224"/>
      <c r="E96" s="447" t="s">
        <v>359</v>
      </c>
      <c r="F96" s="448"/>
      <c r="G96" s="315">
        <f>K31+K35</f>
        <v>55.69</v>
      </c>
      <c r="H96" s="207"/>
      <c r="I96" s="207"/>
      <c r="J96" s="207"/>
      <c r="K96" s="207"/>
    </row>
    <row r="97" spans="1:12" s="205" customFormat="1" ht="15" customHeight="1">
      <c r="A97" s="414" t="s">
        <v>224</v>
      </c>
      <c r="B97" s="415"/>
      <c r="C97" s="415"/>
      <c r="D97" s="415"/>
      <c r="E97" s="416"/>
      <c r="F97" s="416"/>
      <c r="G97" s="417"/>
      <c r="H97" s="207"/>
      <c r="I97" s="207"/>
      <c r="J97" s="207"/>
      <c r="K97" s="207"/>
    </row>
    <row r="98" spans="1:12" s="205" customFormat="1" ht="94.2" customHeight="1">
      <c r="A98" s="225" t="s">
        <v>358</v>
      </c>
      <c r="B98" s="226">
        <f>0.2*0.2*3.14</f>
        <v>0.12560000000000002</v>
      </c>
      <c r="C98" s="217" t="s">
        <v>214</v>
      </c>
      <c r="D98" s="449" t="s">
        <v>357</v>
      </c>
      <c r="E98" s="451">
        <f>B70+B84</f>
        <v>53.55</v>
      </c>
      <c r="F98" s="217" t="s">
        <v>217</v>
      </c>
      <c r="G98" s="227">
        <f>ROUND(B98*E98,2)</f>
        <v>6.73</v>
      </c>
      <c r="H98" s="207"/>
      <c r="I98" s="207"/>
      <c r="J98" s="207"/>
      <c r="K98" s="207"/>
    </row>
    <row r="99" spans="1:12" s="205" customFormat="1" ht="66">
      <c r="A99" s="225" t="s">
        <v>225</v>
      </c>
      <c r="B99" s="225">
        <v>0.13</v>
      </c>
      <c r="C99" s="217" t="s">
        <v>216</v>
      </c>
      <c r="D99" s="450"/>
      <c r="E99" s="452"/>
      <c r="F99" s="225" t="str">
        <f>F98</f>
        <v>=</v>
      </c>
      <c r="G99" s="227">
        <f>B99*E98</f>
        <v>6.9615</v>
      </c>
      <c r="H99" s="207"/>
      <c r="I99" s="207"/>
      <c r="J99" s="207"/>
      <c r="K99" s="207"/>
    </row>
    <row r="100" spans="1:12" s="205" customFormat="1" ht="30.75" customHeight="1" thickBot="1">
      <c r="A100" s="453" t="s">
        <v>226</v>
      </c>
      <c r="B100" s="454"/>
      <c r="C100" s="454"/>
      <c r="D100" s="454"/>
      <c r="E100" s="454"/>
      <c r="F100" s="455"/>
      <c r="G100" s="228">
        <f>G96-(G98+G99)</f>
        <v>41.998499999999993</v>
      </c>
      <c r="H100" s="207"/>
      <c r="I100" s="207"/>
      <c r="J100" s="207"/>
      <c r="K100" s="207"/>
    </row>
    <row r="101" spans="1:12" s="205" customFormat="1" ht="15" customHeight="1" thickBot="1">
      <c r="A101" s="206"/>
      <c r="B101" s="207"/>
      <c r="C101" s="207"/>
      <c r="D101" s="207"/>
      <c r="E101" s="207"/>
      <c r="F101" s="207"/>
      <c r="G101" s="207"/>
      <c r="H101" s="207"/>
      <c r="I101" s="207"/>
      <c r="J101" s="207"/>
      <c r="K101" s="207"/>
    </row>
    <row r="102" spans="1:12" s="205" customFormat="1" ht="46.2" customHeight="1" thickBot="1">
      <c r="A102" s="224"/>
      <c r="E102" s="447" t="s">
        <v>359</v>
      </c>
      <c r="F102" s="448"/>
      <c r="G102" s="315">
        <f>K33+K37</f>
        <v>51.3</v>
      </c>
      <c r="H102" s="207"/>
      <c r="I102" s="207"/>
      <c r="J102" s="207"/>
      <c r="K102" s="207"/>
    </row>
    <row r="103" spans="1:12" s="205" customFormat="1" ht="15" customHeight="1">
      <c r="A103" s="414" t="s">
        <v>360</v>
      </c>
      <c r="B103" s="415"/>
      <c r="C103" s="415"/>
      <c r="D103" s="415"/>
      <c r="E103" s="416"/>
      <c r="F103" s="416"/>
      <c r="G103" s="417"/>
      <c r="H103" s="207"/>
      <c r="I103" s="207"/>
      <c r="J103" s="207"/>
      <c r="K103" s="207"/>
    </row>
    <row r="104" spans="1:12" s="205" customFormat="1" ht="89.4" customHeight="1">
      <c r="A104" s="225" t="s">
        <v>361</v>
      </c>
      <c r="B104" s="226">
        <f>0.3*0.3*3.14</f>
        <v>0.28260000000000002</v>
      </c>
      <c r="C104" s="217" t="s">
        <v>214</v>
      </c>
      <c r="D104" s="449" t="s">
        <v>362</v>
      </c>
      <c r="E104" s="451">
        <f>B77+B91</f>
        <v>28.5</v>
      </c>
      <c r="F104" s="217" t="s">
        <v>217</v>
      </c>
      <c r="G104" s="227">
        <f>ROUND(B104*E104,2)</f>
        <v>8.0500000000000007</v>
      </c>
      <c r="H104" s="207"/>
      <c r="I104" s="207"/>
      <c r="J104" s="207"/>
      <c r="K104" s="207"/>
    </row>
    <row r="105" spans="1:12" s="205" customFormat="1" ht="66">
      <c r="A105" s="225" t="s">
        <v>225</v>
      </c>
      <c r="B105" s="225">
        <v>0.25</v>
      </c>
      <c r="C105" s="217" t="s">
        <v>216</v>
      </c>
      <c r="D105" s="450"/>
      <c r="E105" s="452"/>
      <c r="F105" s="225" t="str">
        <f>F104</f>
        <v>=</v>
      </c>
      <c r="G105" s="227">
        <f>B105*E104</f>
        <v>7.125</v>
      </c>
      <c r="H105" s="207"/>
      <c r="I105" s="207"/>
      <c r="J105" s="207"/>
      <c r="K105" s="207"/>
    </row>
    <row r="106" spans="1:12" s="205" customFormat="1" ht="30.75" customHeight="1" thickBot="1">
      <c r="A106" s="453" t="s">
        <v>363</v>
      </c>
      <c r="B106" s="454"/>
      <c r="C106" s="454"/>
      <c r="D106" s="454"/>
      <c r="E106" s="454"/>
      <c r="F106" s="455"/>
      <c r="G106" s="228">
        <f>G102-(G104+G105)</f>
        <v>36.125</v>
      </c>
      <c r="H106" s="207"/>
      <c r="I106" s="207"/>
      <c r="J106" s="207"/>
      <c r="K106" s="207"/>
    </row>
    <row r="107" spans="1:12" s="205" customFormat="1" ht="15" customHeight="1" thickBot="1">
      <c r="A107" s="206"/>
      <c r="B107" s="207"/>
      <c r="C107" s="207"/>
      <c r="D107" s="207"/>
      <c r="E107" s="207"/>
      <c r="F107" s="207"/>
      <c r="G107" s="207"/>
      <c r="H107" s="207"/>
      <c r="I107" s="207"/>
      <c r="J107" s="207"/>
      <c r="K107" s="207"/>
    </row>
    <row r="108" spans="1:12" s="205" customFormat="1" ht="15" customHeight="1" thickBot="1">
      <c r="A108" s="441" t="s">
        <v>364</v>
      </c>
      <c r="B108" s="442"/>
      <c r="C108" s="442"/>
      <c r="D108" s="442"/>
      <c r="E108" s="442"/>
      <c r="F108" s="442"/>
      <c r="G108" s="316">
        <f>G106+G100</f>
        <v>78.123499999999993</v>
      </c>
      <c r="H108" s="317" t="s">
        <v>219</v>
      </c>
      <c r="I108" s="207"/>
      <c r="J108" s="207"/>
      <c r="K108" s="207"/>
    </row>
    <row r="109" spans="1:12" s="205" customFormat="1" ht="15" customHeight="1">
      <c r="A109" s="206"/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</row>
    <row r="110" spans="1:12" s="71" customFormat="1" ht="33.6" customHeight="1">
      <c r="A110" s="119" t="str">
        <f>'Planilha Orcamentária'!A22</f>
        <v>2.9</v>
      </c>
      <c r="B110" s="70" t="s">
        <v>113</v>
      </c>
      <c r="C110" s="374" t="str">
        <f>'Planilha Orcamentária'!D22</f>
        <v>GUIA DE MEIO-FIO, EM CONCRETO COM FCK 20MPA, PRÉ_x0002_MOLDADA, MFC-01 PADRÃO DER-MG, DIMENSÕES (12X16,7X35)CM, EXCLUSIVE SARJETA, INCLUSIVE ESCAVAÇÃO, APILOAMENTO E TRANSPORTE COM RETIRADA DO MATERIAL ESCAVADO (EM CAÇAMBA)</v>
      </c>
      <c r="D110" s="374"/>
      <c r="E110" s="374"/>
      <c r="F110" s="374"/>
      <c r="G110" s="374"/>
      <c r="H110" s="374"/>
      <c r="I110" s="374"/>
      <c r="J110" s="374"/>
      <c r="K110" s="374"/>
      <c r="L110" s="375"/>
    </row>
    <row r="111" spans="1:12" s="63" customFormat="1" ht="15" customHeight="1">
      <c r="A111" s="131"/>
      <c r="B111" s="64"/>
      <c r="C111" s="62"/>
      <c r="D111" s="62"/>
      <c r="E111" s="62"/>
      <c r="F111" s="62"/>
      <c r="G111" s="62"/>
      <c r="H111" s="62"/>
      <c r="I111" s="62"/>
      <c r="J111" s="62"/>
      <c r="K111" s="62"/>
      <c r="L111" s="130"/>
    </row>
    <row r="112" spans="1:12" s="63" customFormat="1" ht="15" customHeight="1">
      <c r="A112" s="393" t="s">
        <v>140</v>
      </c>
      <c r="B112" s="394"/>
      <c r="C112" s="443">
        <f>112+2.9+7.4+11.75+9.7+14.15+11.25+11.15+14.2+9.4+8.3+4.4+                                                                                    5.2+9.7+8+6.2+8.25+7.55+8.5+5.95+8.85+8.9+7+7.35+7.1+9.3+8.35+6.6+9.55+13.05+10.15+10.3+11.55+8.15+67.05+28.45+3+3+72.85+7+9.7+4.9+14.3+20.4</f>
        <v>632.80000000000007</v>
      </c>
      <c r="D112" s="62"/>
      <c r="E112" s="62"/>
      <c r="F112" s="62"/>
      <c r="G112" s="62"/>
      <c r="H112" s="62"/>
      <c r="I112" s="62"/>
      <c r="J112" s="62"/>
      <c r="K112" s="62"/>
      <c r="L112" s="130"/>
    </row>
    <row r="113" spans="1:12" s="63" customFormat="1" ht="27" customHeight="1">
      <c r="A113" s="395"/>
      <c r="B113" s="396"/>
      <c r="C113" s="444"/>
      <c r="D113" s="62"/>
      <c r="E113" s="62"/>
      <c r="F113" s="62"/>
      <c r="G113" s="62"/>
      <c r="H113" s="62"/>
      <c r="I113" s="62"/>
      <c r="J113" s="62"/>
      <c r="K113" s="62"/>
      <c r="L113" s="130"/>
    </row>
    <row r="114" spans="1:12" s="63" customFormat="1" ht="15" customHeight="1">
      <c r="A114" s="131"/>
      <c r="B114" s="64"/>
      <c r="C114" s="62"/>
      <c r="D114" s="62"/>
      <c r="E114" s="62"/>
      <c r="F114" s="62"/>
      <c r="G114" s="62"/>
      <c r="H114" s="62"/>
      <c r="I114" s="62"/>
      <c r="J114" s="62"/>
      <c r="K114" s="62"/>
      <c r="L114" s="130"/>
    </row>
    <row r="115" spans="1:12" s="57" customFormat="1" ht="18.75" customHeight="1">
      <c r="A115" s="119" t="str">
        <f>'Planilha Orcamentária'!A23</f>
        <v>2.10</v>
      </c>
      <c r="B115" s="70" t="s">
        <v>303</v>
      </c>
      <c r="C115" s="374" t="str">
        <f>'Planilha Orcamentária'!D23</f>
        <v>DRENO PROFUNDO (SEÇÃO 0,50 X 1,50 M), COM TUBO DE PEAD CORRUGADO PERFURADO, DN 100 MM, ENCHIMENTO COM AREIA. AF_07/2021</v>
      </c>
      <c r="D115" s="374"/>
      <c r="E115" s="374"/>
      <c r="F115" s="374"/>
      <c r="G115" s="374"/>
      <c r="H115" s="374"/>
      <c r="I115" s="374"/>
      <c r="J115" s="374"/>
      <c r="K115" s="374"/>
      <c r="L115" s="375"/>
    </row>
    <row r="116" spans="1:12" s="63" customFormat="1" ht="15" customHeight="1">
      <c r="A116" s="131"/>
      <c r="B116" s="64"/>
      <c r="C116" s="62"/>
      <c r="D116" s="62"/>
      <c r="E116" s="62"/>
      <c r="F116" s="62"/>
      <c r="G116" s="62"/>
      <c r="H116" s="62"/>
      <c r="I116" s="62"/>
      <c r="J116" s="62"/>
      <c r="K116" s="62"/>
      <c r="L116" s="130"/>
    </row>
    <row r="117" spans="1:12" s="63" customFormat="1" ht="15" customHeight="1">
      <c r="A117" s="393" t="s">
        <v>212</v>
      </c>
      <c r="B117" s="394"/>
      <c r="C117" s="397">
        <f>24.3+31.6+31.4+65.35</f>
        <v>152.65</v>
      </c>
      <c r="D117" s="62"/>
      <c r="E117" s="62"/>
      <c r="F117" s="62"/>
      <c r="G117" s="62"/>
      <c r="H117" s="62"/>
      <c r="I117" s="62"/>
      <c r="J117" s="62"/>
      <c r="K117" s="62"/>
      <c r="L117" s="130"/>
    </row>
    <row r="118" spans="1:12" s="63" customFormat="1" ht="27" customHeight="1">
      <c r="A118" s="395"/>
      <c r="B118" s="396"/>
      <c r="C118" s="398"/>
      <c r="D118" s="62"/>
      <c r="E118" s="62"/>
      <c r="F118" s="62"/>
      <c r="G118" s="62"/>
      <c r="H118" s="62"/>
      <c r="I118" s="62"/>
      <c r="J118" s="62"/>
      <c r="K118" s="62"/>
      <c r="L118" s="130"/>
    </row>
    <row r="119" spans="1:12" s="63" customFormat="1" ht="15" customHeight="1">
      <c r="A119" s="131"/>
      <c r="B119" s="64"/>
      <c r="C119" s="62"/>
      <c r="D119" s="62"/>
      <c r="E119" s="62"/>
      <c r="F119" s="62"/>
      <c r="G119" s="62"/>
      <c r="H119" s="62"/>
      <c r="I119" s="62"/>
      <c r="J119" s="62"/>
      <c r="K119" s="62"/>
      <c r="L119" s="130"/>
    </row>
    <row r="120" spans="1:12" s="57" customFormat="1" ht="18.75" customHeight="1">
      <c r="A120" s="119" t="str">
        <f>'Planilha Orcamentária'!A24</f>
        <v>2.11</v>
      </c>
      <c r="B120" s="70" t="s">
        <v>204</v>
      </c>
      <c r="C120" s="374" t="str">
        <f>'Planilha Orcamentária'!D24</f>
        <v>BOCA DE LOBO SIMPLES (TIPO A - FERRO FUNDIDO), QUADRO, GRELHA E CANTONEIRA, INCLUSIVE ESCAVAÇÃO, REATERRO E BOTA-FORA</v>
      </c>
      <c r="D120" s="374"/>
      <c r="E120" s="374"/>
      <c r="F120" s="374"/>
      <c r="G120" s="374"/>
      <c r="H120" s="374"/>
      <c r="I120" s="374"/>
      <c r="J120" s="374"/>
      <c r="K120" s="374"/>
      <c r="L120" s="375"/>
    </row>
    <row r="121" spans="1:12" s="63" customFormat="1" ht="15" customHeight="1">
      <c r="A121" s="131"/>
      <c r="B121" s="64"/>
      <c r="C121" s="62"/>
      <c r="D121" s="62"/>
      <c r="E121" s="62"/>
      <c r="F121" s="62"/>
      <c r="G121" s="62"/>
      <c r="H121" s="62"/>
      <c r="I121" s="62"/>
      <c r="J121" s="62"/>
      <c r="K121" s="62"/>
      <c r="L121" s="130"/>
    </row>
    <row r="122" spans="1:12" s="63" customFormat="1" ht="15" customHeight="1">
      <c r="A122" s="393" t="s">
        <v>211</v>
      </c>
      <c r="B122" s="394"/>
      <c r="C122" s="397">
        <v>5</v>
      </c>
      <c r="D122" s="62"/>
      <c r="E122" s="62"/>
      <c r="F122" s="62"/>
      <c r="G122" s="62"/>
      <c r="H122" s="62"/>
      <c r="I122" s="62"/>
      <c r="J122" s="62"/>
      <c r="K122" s="62"/>
      <c r="L122" s="130"/>
    </row>
    <row r="123" spans="1:12" s="63" customFormat="1" ht="27" customHeight="1">
      <c r="A123" s="395"/>
      <c r="B123" s="396"/>
      <c r="C123" s="398"/>
      <c r="D123" s="62"/>
      <c r="E123" s="62"/>
      <c r="F123" s="62"/>
      <c r="G123" s="62"/>
      <c r="H123" s="62"/>
      <c r="I123" s="62"/>
      <c r="J123" s="62"/>
      <c r="K123" s="62"/>
      <c r="L123" s="130"/>
    </row>
    <row r="124" spans="1:12" s="63" customFormat="1" ht="15" customHeight="1">
      <c r="A124" s="131"/>
      <c r="B124" s="64"/>
      <c r="C124" s="62"/>
      <c r="D124" s="62"/>
      <c r="E124" s="62"/>
      <c r="F124" s="62"/>
      <c r="G124" s="62"/>
      <c r="H124" s="62"/>
      <c r="I124" s="62"/>
      <c r="J124" s="62"/>
      <c r="K124" s="62"/>
      <c r="L124" s="130"/>
    </row>
    <row r="125" spans="1:12" s="57" customFormat="1" ht="18.75" customHeight="1">
      <c r="A125" s="119" t="str">
        <f>'Planilha Orcamentária'!A25</f>
        <v>2.12</v>
      </c>
      <c r="B125" s="70" t="s">
        <v>339</v>
      </c>
      <c r="C125" s="374" t="str">
        <f>'Planilha Orcamentária'!D25</f>
        <v>CAIXA DE CAPTAÇÃO E DRENAGEM TIPO A (120 X 120 X 150 CM), D = 500 MM A 1500MM, INCLUSIVE ESCAVAÇÃO, REATERRO E BOTA FORA</v>
      </c>
      <c r="D125" s="374"/>
      <c r="E125" s="374"/>
      <c r="F125" s="374"/>
      <c r="G125" s="374"/>
      <c r="H125" s="374"/>
      <c r="I125" s="374"/>
      <c r="J125" s="374"/>
      <c r="K125" s="374"/>
      <c r="L125" s="375"/>
    </row>
    <row r="126" spans="1:12" s="63" customFormat="1" ht="15" customHeight="1">
      <c r="A126" s="131"/>
      <c r="B126" s="64"/>
      <c r="C126" s="62"/>
      <c r="D126" s="62"/>
      <c r="E126" s="62"/>
      <c r="F126" s="62"/>
      <c r="G126" s="62"/>
      <c r="H126" s="62"/>
      <c r="I126" s="62"/>
      <c r="J126" s="62"/>
      <c r="K126" s="62"/>
      <c r="L126" s="130"/>
    </row>
    <row r="127" spans="1:12" s="63" customFormat="1" ht="15" customHeight="1">
      <c r="A127" s="393" t="s">
        <v>211</v>
      </c>
      <c r="B127" s="394"/>
      <c r="C127" s="397">
        <v>2</v>
      </c>
      <c r="D127" s="62"/>
      <c r="E127" s="62"/>
      <c r="F127" s="62"/>
      <c r="G127" s="62"/>
      <c r="H127" s="62"/>
      <c r="I127" s="62"/>
      <c r="J127" s="62"/>
      <c r="K127" s="62"/>
      <c r="L127" s="130"/>
    </row>
    <row r="128" spans="1:12" s="63" customFormat="1" ht="27" customHeight="1">
      <c r="A128" s="395"/>
      <c r="B128" s="396"/>
      <c r="C128" s="398"/>
      <c r="D128" s="62"/>
      <c r="E128" s="62"/>
      <c r="F128" s="62"/>
      <c r="G128" s="62"/>
      <c r="H128" s="62"/>
      <c r="I128" s="62"/>
      <c r="J128" s="62"/>
      <c r="K128" s="62"/>
      <c r="L128" s="130"/>
    </row>
    <row r="129" spans="1:12" s="63" customFormat="1" ht="15" customHeight="1">
      <c r="A129" s="131"/>
      <c r="B129" s="64"/>
      <c r="C129" s="62"/>
      <c r="D129" s="62"/>
      <c r="E129" s="62"/>
      <c r="F129" s="62"/>
      <c r="G129" s="62"/>
      <c r="H129" s="62"/>
      <c r="I129" s="62"/>
      <c r="J129" s="62"/>
      <c r="K129" s="62"/>
      <c r="L129" s="130"/>
    </row>
    <row r="130" spans="1:12" s="71" customFormat="1">
      <c r="A130" s="132" t="str">
        <f>'Planilha Orcamentária'!A26</f>
        <v>3.0</v>
      </c>
      <c r="B130" s="73"/>
      <c r="C130" s="408" t="str">
        <f>'Planilha Orcamentária'!D26</f>
        <v>SERVIÇOS DE TERRAPLENAGEM</v>
      </c>
      <c r="D130" s="408"/>
      <c r="E130" s="408"/>
      <c r="F130" s="408"/>
      <c r="G130" s="408"/>
      <c r="H130" s="408"/>
      <c r="I130" s="408"/>
      <c r="J130" s="408"/>
      <c r="K130" s="408"/>
      <c r="L130" s="409"/>
    </row>
    <row r="131" spans="1:12" s="46" customFormat="1" ht="16.2">
      <c r="A131" s="11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129"/>
    </row>
    <row r="132" spans="1:12" s="71" customFormat="1" ht="15" customHeight="1">
      <c r="A132" s="119" t="str">
        <f>'Planilha Orcamentária'!A27</f>
        <v>3.1</v>
      </c>
      <c r="B132" s="70" t="str">
        <f>'Planilha Orcamentária'!C27</f>
        <v>RO-00267</v>
      </c>
      <c r="C132" s="374" t="str">
        <f>'Planilha Orcamentária'!D27</f>
        <v>REGULARIZAÇÃO DO SUB-LEITO (PROCTOR NORMAL)</v>
      </c>
      <c r="D132" s="374"/>
      <c r="E132" s="374"/>
      <c r="F132" s="374"/>
      <c r="G132" s="374"/>
      <c r="H132" s="374"/>
      <c r="I132" s="374"/>
      <c r="J132" s="374"/>
      <c r="K132" s="374"/>
      <c r="L132" s="375"/>
    </row>
    <row r="133" spans="1:12" s="57" customFormat="1" ht="16.2">
      <c r="A133" s="390"/>
      <c r="B133" s="391"/>
      <c r="C133" s="391"/>
      <c r="D133" s="391"/>
      <c r="E133" s="391"/>
      <c r="F133" s="391"/>
      <c r="G133" s="391"/>
      <c r="H133" s="391"/>
      <c r="I133" s="391"/>
      <c r="J133" s="391"/>
      <c r="K133" s="391"/>
      <c r="L133" s="392"/>
    </row>
    <row r="134" spans="1:12" s="63" customFormat="1" ht="15" customHeight="1">
      <c r="A134" s="393" t="s">
        <v>141</v>
      </c>
      <c r="B134" s="394"/>
      <c r="C134" s="397">
        <f>D139</f>
        <v>1888.85</v>
      </c>
      <c r="D134" s="62"/>
      <c r="E134" s="62"/>
      <c r="F134" s="62"/>
      <c r="G134" s="62"/>
      <c r="H134" s="62"/>
      <c r="I134" s="62"/>
      <c r="J134" s="62"/>
      <c r="K134" s="62"/>
      <c r="L134" s="130"/>
    </row>
    <row r="135" spans="1:12" s="63" customFormat="1" ht="27" customHeight="1">
      <c r="A135" s="395"/>
      <c r="B135" s="396"/>
      <c r="C135" s="398"/>
      <c r="D135" s="62"/>
      <c r="E135" s="62"/>
      <c r="F135" s="62"/>
      <c r="G135" s="62"/>
      <c r="H135" s="62"/>
      <c r="I135" s="62"/>
      <c r="J135" s="62"/>
      <c r="K135" s="62"/>
      <c r="L135" s="130"/>
    </row>
    <row r="136" spans="1:12" s="57" customFormat="1" ht="16.2">
      <c r="A136" s="133"/>
      <c r="B136" s="109"/>
      <c r="C136" s="109"/>
      <c r="D136" s="109"/>
      <c r="E136" s="109"/>
      <c r="F136" s="109"/>
      <c r="G136" s="109"/>
      <c r="H136" s="109"/>
      <c r="I136" s="109"/>
      <c r="J136" s="109"/>
      <c r="K136" s="109"/>
      <c r="L136" s="134"/>
    </row>
    <row r="137" spans="1:12" s="71" customFormat="1" ht="19.95" customHeight="1">
      <c r="A137" s="119" t="str">
        <f>'Planilha Orcamentária'!A28</f>
        <v>3.2</v>
      </c>
      <c r="B137" s="70" t="s">
        <v>315</v>
      </c>
      <c r="C137" s="374" t="str">
        <f>'Planilha Orcamentária'!D28</f>
        <v>ESCAVAÇÃO MECÂNICA EM MATERIAL DE 2ª CATEGORIA, INCLUSIVE CARGA EM CAMINHÃO, EXCLUSIVE TRANSPORTE E DESCARGA</v>
      </c>
      <c r="D137" s="374"/>
      <c r="E137" s="374"/>
      <c r="F137" s="374"/>
      <c r="G137" s="374"/>
      <c r="H137" s="374"/>
      <c r="I137" s="374"/>
      <c r="J137" s="374"/>
      <c r="K137" s="374"/>
      <c r="L137" s="375"/>
    </row>
    <row r="138" spans="1:12" s="57" customFormat="1" ht="16.2">
      <c r="A138" s="133"/>
      <c r="B138" s="109"/>
      <c r="C138" s="109"/>
      <c r="D138" s="109"/>
      <c r="E138" s="109"/>
      <c r="F138" s="109"/>
      <c r="G138" s="109"/>
      <c r="H138" s="109"/>
      <c r="I138" s="109"/>
      <c r="J138" s="109"/>
      <c r="K138" s="109"/>
      <c r="L138" s="134"/>
    </row>
    <row r="139" spans="1:12" s="57" customFormat="1" ht="16.2">
      <c r="A139" s="298" t="s">
        <v>318</v>
      </c>
      <c r="B139" s="296"/>
      <c r="D139" s="299">
        <v>1888.85</v>
      </c>
      <c r="E139" s="296"/>
      <c r="F139" s="109"/>
      <c r="G139" s="109"/>
      <c r="H139" s="109"/>
      <c r="I139" s="109"/>
      <c r="J139" s="109"/>
      <c r="K139" s="109"/>
      <c r="L139" s="134"/>
    </row>
    <row r="140" spans="1:12" s="57" customFormat="1" ht="16.2">
      <c r="A140" s="298" t="s">
        <v>317</v>
      </c>
      <c r="B140" s="296"/>
      <c r="D140" s="300">
        <v>0.4</v>
      </c>
      <c r="E140" s="296"/>
      <c r="F140" s="109"/>
      <c r="G140" s="109"/>
      <c r="H140" s="109"/>
      <c r="I140" s="109"/>
      <c r="J140" s="109"/>
      <c r="K140" s="109"/>
      <c r="L140" s="134"/>
    </row>
    <row r="141" spans="1:12" s="57" customFormat="1" ht="16.2">
      <c r="A141" s="298" t="s">
        <v>314</v>
      </c>
      <c r="B141" s="301"/>
      <c r="D141" s="302">
        <v>0.3</v>
      </c>
      <c r="E141" s="297"/>
      <c r="F141" s="109"/>
      <c r="G141" s="109"/>
      <c r="H141" s="109"/>
      <c r="I141" s="109"/>
      <c r="J141" s="109"/>
      <c r="K141" s="109"/>
      <c r="L141" s="134"/>
    </row>
    <row r="142" spans="1:12" s="57" customFormat="1" ht="16.2">
      <c r="A142" s="290"/>
      <c r="B142" s="291"/>
      <c r="C142" s="292"/>
      <c r="D142" s="109"/>
      <c r="E142" s="109"/>
      <c r="F142" s="109"/>
      <c r="G142" s="109"/>
      <c r="H142" s="109"/>
      <c r="I142" s="109"/>
      <c r="J142" s="109"/>
      <c r="K142" s="109"/>
      <c r="L142" s="134"/>
    </row>
    <row r="143" spans="1:12" s="306" customFormat="1" ht="30" customHeight="1">
      <c r="A143" s="376" t="s">
        <v>319</v>
      </c>
      <c r="B143" s="376"/>
      <c r="C143" s="303">
        <f>(D139*D140)*1.3</f>
        <v>982.202</v>
      </c>
      <c r="D143" s="304"/>
      <c r="E143" s="304"/>
      <c r="F143" s="304"/>
      <c r="G143" s="304"/>
      <c r="H143" s="304"/>
      <c r="I143" s="304"/>
      <c r="J143" s="304"/>
      <c r="K143" s="304"/>
      <c r="L143" s="305"/>
    </row>
    <row r="144" spans="1:12" s="57" customFormat="1" ht="16.2">
      <c r="A144" s="133"/>
      <c r="B144" s="109"/>
      <c r="C144" s="109"/>
      <c r="D144" s="109"/>
      <c r="E144" s="109"/>
      <c r="F144" s="109"/>
      <c r="G144" s="109"/>
      <c r="H144" s="109"/>
      <c r="I144" s="109"/>
      <c r="J144" s="109"/>
      <c r="K144" s="109"/>
      <c r="L144" s="134"/>
    </row>
    <row r="145" spans="1:12" s="71" customFormat="1" ht="40.049999999999997" customHeight="1">
      <c r="A145" s="119" t="str">
        <f>'Planilha Orcamentária'!A29</f>
        <v>3.3</v>
      </c>
      <c r="B145" s="70" t="s">
        <v>316</v>
      </c>
      <c r="C145" s="374" t="str">
        <f>'Planilha Orcamentária'!D29</f>
        <v>TRANSPORTE DE MATERIAL DE QUALQUER NATUREZA EMCAMINHÃO, DISTÂNCIA MAIOR QUE 2KM E MENOR  OU IGUAL A 5KM, DENTRO DO PERÍMETRO URBANO, EXCLUSIVE CARGA, INCLUSIVE DESCARGA</v>
      </c>
      <c r="D145" s="374"/>
      <c r="E145" s="374"/>
      <c r="F145" s="374"/>
      <c r="G145" s="374"/>
      <c r="H145" s="374"/>
      <c r="I145" s="374"/>
      <c r="J145" s="374"/>
      <c r="K145" s="374"/>
      <c r="L145" s="375"/>
    </row>
    <row r="146" spans="1:12" s="57" customFormat="1" ht="16.2">
      <c r="A146" s="133"/>
      <c r="B146" s="109"/>
      <c r="C146" s="109"/>
      <c r="D146" s="109"/>
      <c r="E146" s="109"/>
      <c r="F146" s="109"/>
      <c r="G146" s="109"/>
      <c r="H146" s="109"/>
      <c r="I146" s="109"/>
      <c r="J146" s="109"/>
      <c r="K146" s="109"/>
      <c r="L146" s="134"/>
    </row>
    <row r="147" spans="1:12" s="57" customFormat="1" ht="16.2">
      <c r="A147" s="371" t="s">
        <v>321</v>
      </c>
      <c r="B147" s="371"/>
      <c r="C147" s="293" t="s">
        <v>84</v>
      </c>
      <c r="D147" s="293" t="s">
        <v>320</v>
      </c>
      <c r="E147" s="109"/>
      <c r="F147" s="109"/>
      <c r="G147" s="109"/>
      <c r="H147" s="109"/>
      <c r="I147" s="109"/>
      <c r="J147" s="109"/>
      <c r="K147" s="109"/>
      <c r="L147" s="134"/>
    </row>
    <row r="148" spans="1:12" s="57" customFormat="1" ht="16.2">
      <c r="A148" s="372">
        <f>C143</f>
        <v>982.202</v>
      </c>
      <c r="B148" s="373"/>
      <c r="C148" s="294">
        <f>1.3*2</f>
        <v>2.6</v>
      </c>
      <c r="D148" s="295">
        <f>A148*C148</f>
        <v>2553.7251999999999</v>
      </c>
      <c r="E148" s="109"/>
      <c r="F148" s="109"/>
      <c r="G148" s="109"/>
      <c r="H148" s="109"/>
      <c r="I148" s="109"/>
      <c r="J148" s="109"/>
      <c r="K148" s="109"/>
      <c r="L148" s="134"/>
    </row>
    <row r="149" spans="1:12" s="57" customFormat="1" ht="16.2">
      <c r="A149" s="133"/>
      <c r="B149" s="109"/>
      <c r="C149" s="109"/>
      <c r="D149" s="109"/>
      <c r="E149" s="109"/>
      <c r="F149" s="109"/>
      <c r="G149" s="109"/>
      <c r="H149" s="109"/>
      <c r="I149" s="109"/>
      <c r="J149" s="109"/>
      <c r="K149" s="109"/>
      <c r="L149" s="134"/>
    </row>
    <row r="150" spans="1:12" s="71" customFormat="1" ht="40.049999999999997" customHeight="1">
      <c r="A150" s="119" t="str">
        <f>'Planilha Orcamentária'!A30</f>
        <v>3.4</v>
      </c>
      <c r="B150" s="70" t="s">
        <v>325</v>
      </c>
      <c r="C150" s="374" t="str">
        <f>'Planilha Orcamentária'!D30</f>
        <v>SUB-BASE DE SOLO ESTABILIZADO GRANULOMETRICAMENTE SEM MISTURA COM MATERIAL DE JAZIDA - COMPACTADO NA ENERGIA INTERMEDIÁRIA (EXECUÇÃO, INCLUÍDO ESCAVAÇÃO E CARGA DO MATERIAL DE JAZIDA, EXCLUI O TRANSPORTE)</v>
      </c>
      <c r="D150" s="374"/>
      <c r="E150" s="374"/>
      <c r="F150" s="374"/>
      <c r="G150" s="374"/>
      <c r="H150" s="374"/>
      <c r="I150" s="374"/>
      <c r="J150" s="374"/>
      <c r="K150" s="374"/>
      <c r="L150" s="375"/>
    </row>
    <row r="151" spans="1:12" s="57" customFormat="1" ht="16.2">
      <c r="A151" s="133"/>
      <c r="B151" s="109"/>
      <c r="C151" s="109"/>
      <c r="D151" s="109"/>
      <c r="E151" s="109"/>
      <c r="F151" s="109"/>
      <c r="G151" s="109"/>
      <c r="H151" s="109"/>
      <c r="I151" s="109"/>
      <c r="J151" s="109"/>
      <c r="K151" s="109"/>
      <c r="L151" s="134"/>
    </row>
    <row r="152" spans="1:12" s="57" customFormat="1" ht="16.2">
      <c r="A152" s="307" t="s">
        <v>322</v>
      </c>
      <c r="B152" s="308"/>
      <c r="D152" s="309">
        <f>D139</f>
        <v>1888.85</v>
      </c>
      <c r="E152" s="310"/>
      <c r="F152" s="109"/>
      <c r="G152" s="109"/>
      <c r="H152" s="109"/>
      <c r="I152" s="109"/>
      <c r="J152" s="109"/>
      <c r="K152" s="109"/>
      <c r="L152" s="134"/>
    </row>
    <row r="153" spans="1:12" s="57" customFormat="1" ht="16.2">
      <c r="A153" s="307" t="s">
        <v>323</v>
      </c>
      <c r="B153" s="308"/>
      <c r="D153" s="311">
        <v>0.15</v>
      </c>
      <c r="E153" s="310"/>
      <c r="F153" s="109"/>
      <c r="G153" s="109"/>
      <c r="H153" s="109"/>
      <c r="I153" s="109"/>
      <c r="J153" s="109"/>
      <c r="K153" s="109"/>
      <c r="L153" s="134"/>
    </row>
    <row r="154" spans="1:12" s="57" customFormat="1" ht="16.2">
      <c r="A154" s="307" t="s">
        <v>314</v>
      </c>
      <c r="B154" s="312"/>
      <c r="D154" s="313">
        <v>0.3</v>
      </c>
      <c r="E154" s="310"/>
      <c r="F154" s="109"/>
      <c r="G154" s="109"/>
      <c r="H154" s="109"/>
      <c r="I154" s="109"/>
      <c r="J154" s="109"/>
      <c r="K154" s="109"/>
      <c r="L154" s="134"/>
    </row>
    <row r="155" spans="1:12" s="57" customFormat="1" ht="16.2">
      <c r="A155" s="133"/>
      <c r="B155" s="109"/>
      <c r="C155" s="109"/>
      <c r="D155" s="109"/>
      <c r="E155" s="109"/>
      <c r="F155" s="109"/>
      <c r="G155" s="109"/>
      <c r="H155" s="109"/>
      <c r="I155" s="109"/>
      <c r="J155" s="109"/>
      <c r="K155" s="109"/>
      <c r="L155" s="134"/>
    </row>
    <row r="156" spans="1:12" s="306" customFormat="1" ht="30" customHeight="1">
      <c r="A156" s="376" t="s">
        <v>324</v>
      </c>
      <c r="B156" s="376"/>
      <c r="C156" s="303">
        <f>(D152+D153)*1.3</f>
        <v>2455.7000000000003</v>
      </c>
      <c r="D156" s="304"/>
      <c r="E156" s="304"/>
      <c r="F156" s="304"/>
      <c r="G156" s="304"/>
      <c r="H156" s="304"/>
      <c r="I156" s="304"/>
      <c r="J156" s="304"/>
      <c r="K156" s="304"/>
      <c r="L156" s="305"/>
    </row>
    <row r="157" spans="1:12" s="57" customFormat="1" ht="16.2">
      <c r="A157" s="133"/>
      <c r="B157" s="109"/>
      <c r="C157" s="109"/>
      <c r="D157" s="109"/>
      <c r="E157" s="109"/>
      <c r="F157" s="109"/>
      <c r="G157" s="109"/>
      <c r="H157" s="109"/>
      <c r="I157" s="109"/>
      <c r="J157" s="109"/>
      <c r="K157" s="109"/>
      <c r="L157" s="134"/>
    </row>
    <row r="158" spans="1:12" s="71" customFormat="1" ht="49.5" customHeight="1">
      <c r="A158" s="119" t="str">
        <f>'Planilha Orcamentária'!A31</f>
        <v>3.5</v>
      </c>
      <c r="B158" s="70" t="str">
        <f>'Planilha Orcamentária'!C31</f>
        <v>RO-00356</v>
      </c>
      <c r="C158" s="374" t="str">
        <f>'Planilha Orcamentária'!D31</f>
        <v>BASE OU SUB-BASE ESTABILIZADA GRANULOMETRICAMENTE COM MISTURA EM USINA DE SOLO BRITA (29,10% - 67,90%) COM 3% DE CIMENTO, COM MATERIAL DE JAZIDA E BRITA COMERCIAL - COMPACTADO NA ENERGIA INTERMEDIÁRIA (EXECUÇÃO, INCLUÍDO ESCAVAÇÃO E CARGA DO MATERIAL DE JAZIDA, FORNECIMENTO E CARGA DO CIMENTO E DA BRITA, EXCLUI O TRANSPORTE)</v>
      </c>
      <c r="D158" s="374"/>
      <c r="E158" s="374"/>
      <c r="F158" s="374"/>
      <c r="G158" s="374"/>
      <c r="H158" s="374"/>
      <c r="I158" s="374"/>
      <c r="J158" s="374"/>
      <c r="K158" s="374"/>
      <c r="L158" s="375"/>
    </row>
    <row r="159" spans="1:12" s="57" customFormat="1" ht="16.2">
      <c r="A159" s="133"/>
      <c r="B159" s="109"/>
      <c r="C159" s="109"/>
      <c r="D159" s="109"/>
      <c r="E159" s="109"/>
      <c r="F159" s="109"/>
      <c r="G159" s="109"/>
      <c r="H159" s="109"/>
      <c r="I159" s="109"/>
      <c r="J159" s="109"/>
      <c r="K159" s="109"/>
      <c r="L159" s="134"/>
    </row>
    <row r="160" spans="1:12" s="57" customFormat="1" ht="60" customHeight="1">
      <c r="A160" s="93" t="s">
        <v>93</v>
      </c>
      <c r="B160" s="93" t="s">
        <v>94</v>
      </c>
      <c r="C160" s="385" t="s">
        <v>82</v>
      </c>
      <c r="D160" s="386"/>
      <c r="H160" s="109"/>
      <c r="I160" s="109"/>
      <c r="J160" s="109"/>
      <c r="K160" s="109"/>
      <c r="L160" s="134"/>
    </row>
    <row r="161" spans="1:12" s="57" customFormat="1" ht="16.2">
      <c r="A161" s="89">
        <f>C134</f>
        <v>1888.85</v>
      </c>
      <c r="B161" s="86">
        <v>0.15</v>
      </c>
      <c r="C161" s="445">
        <f>ROUND((A161*B161),2)</f>
        <v>283.33</v>
      </c>
      <c r="D161" s="446"/>
      <c r="H161" s="109"/>
      <c r="I161" s="109"/>
      <c r="J161" s="109"/>
      <c r="K161" s="109"/>
      <c r="L161" s="134"/>
    </row>
    <row r="162" spans="1:12" s="57" customFormat="1" ht="16.2">
      <c r="A162" s="133"/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34"/>
    </row>
    <row r="163" spans="1:12" s="71" customFormat="1" ht="16.5" customHeight="1">
      <c r="A163" s="119" t="str">
        <f>'Planilha Orcamentária'!A32</f>
        <v>3.6</v>
      </c>
      <c r="B163" s="70" t="str">
        <f>'Planilha Orcamentária'!C32</f>
        <v>RO-3872</v>
      </c>
      <c r="C163" s="374" t="str">
        <f>'Planilha Orcamentária'!D32</f>
        <v>TRANSPORTE EM CAMINHÃO BASCULANTE COM CAPACIDADE DE 12M3 - RODOVIA PAVIMENTADA</v>
      </c>
      <c r="D163" s="374"/>
      <c r="E163" s="374"/>
      <c r="F163" s="374"/>
      <c r="G163" s="374"/>
      <c r="H163" s="374"/>
      <c r="I163" s="374"/>
      <c r="J163" s="374"/>
      <c r="K163" s="374"/>
      <c r="L163" s="375"/>
    </row>
    <row r="164" spans="1:12" s="57" customFormat="1" ht="16.2">
      <c r="A164" s="133"/>
      <c r="B164" s="109"/>
      <c r="C164" s="109"/>
      <c r="D164" s="109"/>
      <c r="E164" s="109"/>
      <c r="F164" s="109"/>
      <c r="G164" s="109"/>
      <c r="H164" s="109"/>
      <c r="I164" s="109"/>
      <c r="J164" s="109"/>
      <c r="K164" s="109"/>
      <c r="L164" s="134"/>
    </row>
    <row r="165" spans="1:12" s="57" customFormat="1" ht="97.95" customHeight="1">
      <c r="A165" s="370" t="str">
        <f>C160</f>
        <v>VOLUME DA BASE:</v>
      </c>
      <c r="B165" s="370"/>
      <c r="C165" s="93" t="s">
        <v>84</v>
      </c>
      <c r="D165" s="93" t="s">
        <v>102</v>
      </c>
      <c r="E165" s="93" t="s">
        <v>103</v>
      </c>
      <c r="F165" s="93" t="s">
        <v>104</v>
      </c>
      <c r="G165" s="93" t="s">
        <v>101</v>
      </c>
      <c r="I165" s="109"/>
      <c r="J165" s="109"/>
      <c r="K165" s="109"/>
      <c r="L165" s="134"/>
    </row>
    <row r="166" spans="1:12" s="57" customFormat="1" ht="76.2" customHeight="1">
      <c r="A166" s="445">
        <f>C161</f>
        <v>283.33</v>
      </c>
      <c r="B166" s="446"/>
      <c r="C166" s="87">
        <v>27.5</v>
      </c>
      <c r="D166" s="98">
        <v>98</v>
      </c>
      <c r="E166" s="90">
        <f>A166/100*D166</f>
        <v>277.66339999999997</v>
      </c>
      <c r="F166" s="92">
        <v>1.48</v>
      </c>
      <c r="G166" s="99">
        <f>E166*F166*C166</f>
        <v>11300.900379999997</v>
      </c>
      <c r="H166" s="109"/>
      <c r="I166" s="109"/>
      <c r="J166" s="109"/>
      <c r="K166" s="109"/>
      <c r="L166" s="134"/>
    </row>
    <row r="167" spans="1:12" s="57" customFormat="1" ht="80.400000000000006" customHeight="1">
      <c r="A167" s="133"/>
      <c r="B167" s="109"/>
      <c r="C167" s="109"/>
      <c r="D167" s="109"/>
      <c r="E167" s="109"/>
      <c r="F167" s="109"/>
      <c r="G167" s="109"/>
      <c r="H167" s="109"/>
      <c r="I167" s="109"/>
      <c r="J167" s="109"/>
      <c r="K167" s="109"/>
      <c r="L167" s="134"/>
    </row>
    <row r="168" spans="1:12" s="46" customFormat="1" ht="23.25" customHeight="1">
      <c r="A168" s="119" t="str">
        <f>'Planilha Orcamentária'!A33</f>
        <v>4.0</v>
      </c>
      <c r="B168" s="70"/>
      <c r="C168" s="374" t="str">
        <f>'Planilha Orcamentária'!D33</f>
        <v>SERVIÇOS DE PAVIMENTAÇÃO ASFÁLTICA</v>
      </c>
      <c r="D168" s="374"/>
      <c r="E168" s="374"/>
      <c r="F168" s="374"/>
      <c r="G168" s="374"/>
      <c r="H168" s="374"/>
      <c r="I168" s="374"/>
      <c r="J168" s="374"/>
      <c r="K168" s="374"/>
      <c r="L168" s="375"/>
    </row>
    <row r="169" spans="1:12" s="57" customFormat="1" ht="16.2">
      <c r="A169" s="133"/>
      <c r="B169" s="109"/>
      <c r="C169" s="109"/>
      <c r="D169" s="109"/>
      <c r="E169" s="109"/>
      <c r="F169" s="109"/>
      <c r="G169" s="109"/>
      <c r="H169" s="109"/>
      <c r="I169" s="109"/>
      <c r="J169" s="109"/>
      <c r="K169" s="109"/>
      <c r="L169" s="134"/>
    </row>
    <row r="170" spans="1:12" s="71" customFormat="1" ht="18.75" customHeight="1">
      <c r="A170" s="119" t="str">
        <f>'Planilha Orcamentária'!A34</f>
        <v>4.1</v>
      </c>
      <c r="B170" s="70" t="str">
        <f>'Planilha Orcamentária'!C34</f>
        <v>001</v>
      </c>
      <c r="C170" s="374" t="str">
        <f>'Planilha Orcamentária'!D34</f>
        <v>IMPRIMAÇÃO (EXECUÇÃO E FORNECIMENTO DO MATERIAL BETUMINOSO, EXCLUSIVE TRANSPORTE DO MATERIAL BETUMINOSO)</v>
      </c>
      <c r="D170" s="374"/>
      <c r="E170" s="374"/>
      <c r="F170" s="374"/>
      <c r="G170" s="374"/>
      <c r="H170" s="374"/>
      <c r="I170" s="374"/>
      <c r="J170" s="374"/>
      <c r="K170" s="374"/>
      <c r="L170" s="375"/>
    </row>
    <row r="171" spans="1:12" s="57" customFormat="1" ht="16.2">
      <c r="A171" s="133"/>
      <c r="B171" s="109"/>
      <c r="C171" s="109"/>
      <c r="D171" s="109"/>
      <c r="E171" s="109"/>
      <c r="F171" s="109"/>
      <c r="G171" s="109"/>
      <c r="H171" s="109"/>
      <c r="I171" s="109"/>
      <c r="J171" s="109"/>
      <c r="K171" s="109"/>
      <c r="L171" s="134"/>
    </row>
    <row r="172" spans="1:12" s="57" customFormat="1" ht="16.2">
      <c r="A172" s="393" t="s">
        <v>142</v>
      </c>
      <c r="B172" s="394"/>
      <c r="C172" s="397">
        <f>C134</f>
        <v>1888.85</v>
      </c>
      <c r="D172" s="109"/>
      <c r="E172" s="109"/>
      <c r="F172" s="109"/>
      <c r="G172" s="109"/>
      <c r="H172" s="109"/>
      <c r="I172" s="109"/>
      <c r="J172" s="109"/>
      <c r="K172" s="109"/>
      <c r="L172" s="134"/>
    </row>
    <row r="173" spans="1:12" s="57" customFormat="1" ht="16.2">
      <c r="A173" s="395"/>
      <c r="B173" s="396"/>
      <c r="C173" s="398"/>
      <c r="D173" s="109"/>
      <c r="E173" s="109"/>
      <c r="F173" s="109"/>
      <c r="G173" s="109"/>
      <c r="H173" s="109"/>
      <c r="I173" s="109"/>
      <c r="J173" s="109"/>
      <c r="K173" s="109"/>
      <c r="L173" s="134"/>
    </row>
    <row r="174" spans="1:12" s="57" customFormat="1" ht="16.2">
      <c r="A174" s="133"/>
      <c r="B174" s="109"/>
      <c r="C174" s="109"/>
      <c r="D174" s="109"/>
      <c r="E174" s="109"/>
      <c r="F174" s="109"/>
      <c r="G174" s="109"/>
      <c r="H174" s="109"/>
      <c r="I174" s="109"/>
      <c r="J174" s="109"/>
      <c r="K174" s="109"/>
      <c r="L174" s="134"/>
    </row>
    <row r="175" spans="1:12" s="71" customFormat="1" ht="18" customHeight="1">
      <c r="A175" s="119" t="str">
        <f>'Planilha Orcamentária'!A35</f>
        <v>4.2</v>
      </c>
      <c r="B175" s="70" t="str">
        <f>'Planilha Orcamentária'!C35</f>
        <v>RO-3872</v>
      </c>
      <c r="C175" s="374" t="str">
        <f>'Planilha Orcamentária'!D35</f>
        <v>TRANSPORTE EM CAMINHÃO BASCULANTE COM CAPACIDADE DE 12M3 - RODOVIA PAVIMENTADA</v>
      </c>
      <c r="D175" s="374"/>
      <c r="E175" s="374"/>
      <c r="F175" s="374"/>
      <c r="G175" s="374"/>
      <c r="H175" s="374"/>
      <c r="I175" s="374"/>
      <c r="J175" s="374"/>
      <c r="K175" s="374"/>
      <c r="L175" s="375"/>
    </row>
    <row r="176" spans="1:12" s="57" customFormat="1" ht="16.2">
      <c r="A176" s="133"/>
      <c r="B176" s="109"/>
      <c r="C176" s="109"/>
      <c r="D176" s="109"/>
      <c r="E176" s="109"/>
      <c r="F176" s="109"/>
      <c r="G176" s="109"/>
      <c r="H176" s="109"/>
      <c r="I176" s="109"/>
      <c r="J176" s="109"/>
      <c r="K176" s="109"/>
      <c r="L176" s="134"/>
    </row>
    <row r="177" spans="1:12" s="57" customFormat="1" ht="106.2" customHeight="1">
      <c r="A177" s="93" t="str">
        <f>A172</f>
        <v>ÁREA RETIRADA DO AUTOCAD A SER PAVIMENTADA:</v>
      </c>
      <c r="B177" s="93" t="s">
        <v>84</v>
      </c>
      <c r="C177" s="93" t="s">
        <v>78</v>
      </c>
      <c r="D177" s="93" t="s">
        <v>81</v>
      </c>
      <c r="E177" s="109"/>
      <c r="F177" s="109"/>
      <c r="G177" s="109"/>
      <c r="H177" s="109"/>
      <c r="I177" s="109"/>
      <c r="J177" s="109"/>
      <c r="K177" s="109"/>
      <c r="L177" s="134"/>
    </row>
    <row r="178" spans="1:12" s="57" customFormat="1" ht="79.2" customHeight="1">
      <c r="A178" s="89">
        <f>C172</f>
        <v>1888.85</v>
      </c>
      <c r="B178" s="87">
        <v>352</v>
      </c>
      <c r="C178" s="67">
        <v>1.1999999999999999E-3</v>
      </c>
      <c r="D178" s="88">
        <f>ROUND((A178*B178*C178),2)</f>
        <v>797.85</v>
      </c>
      <c r="E178" s="109"/>
      <c r="F178" s="109"/>
      <c r="G178" s="109"/>
      <c r="H178" s="109"/>
      <c r="I178" s="109"/>
      <c r="J178" s="109"/>
      <c r="K178" s="109"/>
      <c r="L178" s="134"/>
    </row>
    <row r="179" spans="1:12" s="57" customFormat="1" ht="105.6" customHeight="1">
      <c r="A179" s="133"/>
      <c r="B179" s="109"/>
      <c r="C179" s="109"/>
      <c r="D179" s="109"/>
      <c r="E179" s="109"/>
      <c r="F179" s="109"/>
      <c r="G179" s="109"/>
      <c r="H179" s="109"/>
      <c r="I179" s="109"/>
      <c r="J179" s="109"/>
      <c r="K179" s="109"/>
      <c r="L179" s="134"/>
    </row>
    <row r="180" spans="1:12" s="71" customFormat="1" ht="18" customHeight="1">
      <c r="A180" s="119" t="str">
        <f>'Planilha Orcamentária'!A36</f>
        <v>4.3</v>
      </c>
      <c r="B180" s="70" t="str">
        <f>'Planilha Orcamentária'!C36</f>
        <v>002</v>
      </c>
      <c r="C180" s="374" t="str">
        <f>'Planilha Orcamentária'!D36</f>
        <v>PINTURA DE LIGAÇÃO (EXECUÇÃO E FORNECIMENTO DO MATERIAL BETUMINOSO, EXCLUSIVE TRANSPORTE DO MATERIAL BETUMINOSO)</v>
      </c>
      <c r="D180" s="374"/>
      <c r="E180" s="374"/>
      <c r="F180" s="374"/>
      <c r="G180" s="374"/>
      <c r="H180" s="374"/>
      <c r="I180" s="374"/>
      <c r="J180" s="374"/>
      <c r="K180" s="374"/>
      <c r="L180" s="375"/>
    </row>
    <row r="181" spans="1:12" s="57" customFormat="1" ht="16.2">
      <c r="A181" s="133"/>
      <c r="B181" s="109"/>
      <c r="C181" s="109"/>
      <c r="D181" s="109"/>
      <c r="E181" s="109"/>
      <c r="F181" s="109"/>
      <c r="G181" s="109"/>
      <c r="H181" s="109"/>
      <c r="I181" s="109"/>
      <c r="J181" s="109"/>
      <c r="K181" s="109"/>
      <c r="L181" s="134"/>
    </row>
    <row r="182" spans="1:12" s="57" customFormat="1" ht="16.2">
      <c r="A182" s="393" t="s">
        <v>142</v>
      </c>
      <c r="B182" s="394"/>
      <c r="C182" s="397">
        <f>A178</f>
        <v>1888.85</v>
      </c>
      <c r="D182" s="109"/>
      <c r="E182" s="109"/>
      <c r="F182" s="109"/>
      <c r="G182" s="109"/>
      <c r="H182" s="109"/>
      <c r="I182" s="109"/>
      <c r="J182" s="109"/>
      <c r="K182" s="109"/>
      <c r="L182" s="134"/>
    </row>
    <row r="183" spans="1:12" s="85" customFormat="1" ht="26.25" customHeight="1">
      <c r="A183" s="395"/>
      <c r="B183" s="396"/>
      <c r="C183" s="398"/>
      <c r="D183" s="109"/>
      <c r="E183" s="84"/>
      <c r="F183" s="84"/>
      <c r="G183" s="84"/>
      <c r="H183" s="84"/>
      <c r="I183" s="84"/>
      <c r="J183" s="84"/>
      <c r="K183" s="84"/>
      <c r="L183" s="135"/>
    </row>
    <row r="184" spans="1:12" s="57" customFormat="1" ht="16.2">
      <c r="A184" s="133"/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34"/>
    </row>
    <row r="185" spans="1:12" s="71" customFormat="1" ht="18" customHeight="1">
      <c r="A185" s="119" t="str">
        <f>'Planilha Orcamentária'!A37</f>
        <v>4.4</v>
      </c>
      <c r="B185" s="70" t="str">
        <f>'Planilha Orcamentária'!C37</f>
        <v>RO-3872</v>
      </c>
      <c r="C185" s="374" t="str">
        <f>'Planilha Orcamentária'!D37</f>
        <v>TRANSPORTE EM CAMINHÃO BASCULANTE COM CAPACIDADE DE 12M3 - RODOVIA PAVIMENTADA</v>
      </c>
      <c r="D185" s="374"/>
      <c r="E185" s="374"/>
      <c r="F185" s="374"/>
      <c r="G185" s="374"/>
      <c r="H185" s="374"/>
      <c r="I185" s="374"/>
      <c r="J185" s="374"/>
      <c r="K185" s="374"/>
      <c r="L185" s="375"/>
    </row>
    <row r="186" spans="1:12" s="57" customFormat="1" ht="16.2">
      <c r="A186" s="133"/>
      <c r="B186" s="109"/>
      <c r="C186" s="109"/>
      <c r="D186" s="109"/>
      <c r="E186" s="109"/>
      <c r="F186" s="109"/>
      <c r="G186" s="109"/>
      <c r="H186" s="109"/>
      <c r="I186" s="109"/>
      <c r="J186" s="109"/>
      <c r="K186" s="109"/>
      <c r="L186" s="134"/>
    </row>
    <row r="187" spans="1:12" s="57" customFormat="1" ht="31.5" customHeight="1">
      <c r="A187" s="93" t="s">
        <v>83</v>
      </c>
      <c r="B187" s="93" t="s">
        <v>84</v>
      </c>
      <c r="C187" s="93" t="s">
        <v>85</v>
      </c>
      <c r="D187" s="93" t="s">
        <v>81</v>
      </c>
      <c r="E187" s="109"/>
      <c r="F187" s="109"/>
      <c r="G187" s="109"/>
      <c r="H187" s="109"/>
      <c r="I187" s="109"/>
      <c r="J187" s="109"/>
      <c r="K187" s="109"/>
      <c r="L187" s="134"/>
    </row>
    <row r="188" spans="1:12" s="57" customFormat="1" ht="16.2">
      <c r="A188" s="89">
        <f>C182</f>
        <v>1888.85</v>
      </c>
      <c r="B188" s="87">
        <f>B178</f>
        <v>352</v>
      </c>
      <c r="C188" s="94">
        <v>5.0000000000000001E-4</v>
      </c>
      <c r="D188" s="88">
        <f>ROUND((A188*B188*C188),2)</f>
        <v>332.44</v>
      </c>
      <c r="E188" s="109"/>
      <c r="F188" s="109"/>
      <c r="G188" s="109"/>
      <c r="H188" s="109"/>
      <c r="I188" s="109"/>
      <c r="J188" s="109"/>
      <c r="K188" s="109"/>
      <c r="L188" s="134"/>
    </row>
    <row r="189" spans="1:12" s="57" customFormat="1" ht="16.2">
      <c r="A189" s="133"/>
      <c r="B189" s="109"/>
      <c r="C189" s="109"/>
      <c r="D189" s="109"/>
      <c r="E189" s="109"/>
      <c r="F189" s="109"/>
      <c r="G189" s="109"/>
      <c r="H189" s="109"/>
      <c r="I189" s="109"/>
      <c r="J189" s="109"/>
      <c r="K189" s="109"/>
      <c r="L189" s="134"/>
    </row>
    <row r="190" spans="1:12" s="57" customFormat="1" ht="34.5" customHeight="1">
      <c r="A190" s="119" t="str">
        <f>'Planilha Orcamentária'!A38</f>
        <v>4.5</v>
      </c>
      <c r="B190" s="70" t="str">
        <f>'Planilha Orcamentária'!C38</f>
        <v xml:space="preserve">ED-7623 </v>
      </c>
      <c r="C190" s="374" t="str">
        <f>'Planilha Orcamentária'!D38</f>
        <v>EXECUÇÃO E APLICAÇÃO DE CONCRETO BETUMINOSO USINADO A QUENTE (CBUQ), MASSA COMERCIAL, INCLUINDO FORNECIMENTO E TRANSPORTE DOS AGREGADOS E MATERIAL BETUMINOSO, EXCLUSIVE TRANSPORTE DA MASSA ASFÁLTICA ATÉ A PISTA</v>
      </c>
      <c r="D190" s="374"/>
      <c r="E190" s="374"/>
      <c r="F190" s="374"/>
      <c r="G190" s="374"/>
      <c r="H190" s="374"/>
      <c r="I190" s="374"/>
      <c r="J190" s="374"/>
      <c r="K190" s="374"/>
      <c r="L190" s="375"/>
    </row>
    <row r="191" spans="1:12" s="57" customFormat="1" ht="16.2">
      <c r="A191" s="133"/>
      <c r="B191" s="109"/>
      <c r="C191" s="109"/>
      <c r="D191" s="109"/>
      <c r="E191" s="109"/>
      <c r="F191" s="109"/>
      <c r="G191" s="109"/>
      <c r="H191" s="109"/>
      <c r="I191" s="109"/>
      <c r="J191" s="109"/>
      <c r="K191" s="109"/>
      <c r="L191" s="134"/>
    </row>
    <row r="192" spans="1:12" s="57" customFormat="1" ht="39.75" customHeight="1">
      <c r="A192" s="93" t="s">
        <v>77</v>
      </c>
      <c r="B192" s="93" t="s">
        <v>86</v>
      </c>
      <c r="C192" s="93" t="s">
        <v>87</v>
      </c>
      <c r="D192" s="109"/>
      <c r="E192" s="109"/>
      <c r="F192" s="109"/>
      <c r="G192" s="109"/>
      <c r="H192" s="109"/>
      <c r="I192" s="109"/>
      <c r="J192" s="109"/>
      <c r="K192" s="109"/>
      <c r="L192" s="134"/>
    </row>
    <row r="193" spans="1:12" s="57" customFormat="1" ht="16.2">
      <c r="A193" s="89">
        <f>A188</f>
        <v>1888.85</v>
      </c>
      <c r="B193" s="96">
        <v>3.5000000000000003E-2</v>
      </c>
      <c r="C193" s="90">
        <f>(A193*B193)</f>
        <v>66.109750000000005</v>
      </c>
      <c r="D193" s="109"/>
      <c r="E193" s="109"/>
      <c r="F193" s="109"/>
      <c r="G193" s="109"/>
      <c r="H193" s="109"/>
      <c r="I193" s="109"/>
      <c r="J193" s="109"/>
      <c r="K193" s="109"/>
      <c r="L193" s="134"/>
    </row>
    <row r="194" spans="1:12" s="57" customFormat="1" ht="16.2">
      <c r="A194" s="133"/>
      <c r="B194" s="109"/>
      <c r="C194" s="109"/>
      <c r="D194" s="109"/>
      <c r="E194" s="109"/>
      <c r="F194" s="109"/>
      <c r="G194" s="109"/>
      <c r="H194" s="109"/>
      <c r="I194" s="109"/>
      <c r="J194" s="109"/>
      <c r="K194" s="109"/>
      <c r="L194" s="134"/>
    </row>
    <row r="195" spans="1:12" s="57" customFormat="1" ht="18.75" customHeight="1">
      <c r="A195" s="119" t="str">
        <f>'Planilha Orcamentária'!A39</f>
        <v>4.6</v>
      </c>
      <c r="B195" s="70">
        <f>'Planilha Orcamentária'!C39</f>
        <v>5914612</v>
      </c>
      <c r="C195" s="374" t="str">
        <f>'Planilha Orcamentária'!D39</f>
        <v>TRANSPORTE DE MISTURA BETUMINOSA A QUENTE COM CAMINHÃO COM CAÇAMBA TÉRMICA DE 6M³ - RODOVIA PAVIMENTADA</v>
      </c>
      <c r="D195" s="374"/>
      <c r="E195" s="374"/>
      <c r="F195" s="374"/>
      <c r="G195" s="374"/>
      <c r="H195" s="374"/>
      <c r="I195" s="374"/>
      <c r="J195" s="374"/>
      <c r="K195" s="374"/>
      <c r="L195" s="375"/>
    </row>
    <row r="196" spans="1:12" s="57" customFormat="1" ht="16.2">
      <c r="A196" s="133"/>
      <c r="B196" s="109"/>
      <c r="C196" s="109"/>
      <c r="D196" s="109"/>
      <c r="E196" s="109"/>
      <c r="F196" s="109"/>
      <c r="G196" s="109"/>
      <c r="H196" s="109"/>
      <c r="I196" s="109"/>
      <c r="J196" s="109"/>
      <c r="K196" s="109"/>
      <c r="L196" s="134"/>
    </row>
    <row r="197" spans="1:12" s="57" customFormat="1" ht="69" customHeight="1">
      <c r="A197" s="93" t="s">
        <v>87</v>
      </c>
      <c r="B197" s="93" t="s">
        <v>84</v>
      </c>
      <c r="C197" s="93" t="s">
        <v>81</v>
      </c>
      <c r="D197" s="109"/>
      <c r="E197" s="109"/>
      <c r="F197" s="109"/>
      <c r="G197" s="109"/>
      <c r="H197" s="109"/>
      <c r="I197" s="109"/>
      <c r="J197" s="109"/>
      <c r="K197" s="109"/>
      <c r="L197" s="134"/>
    </row>
    <row r="198" spans="1:12" s="57" customFormat="1" ht="58.2" customHeight="1">
      <c r="A198" s="90">
        <f>C193</f>
        <v>66.109750000000005</v>
      </c>
      <c r="B198" s="87">
        <v>145</v>
      </c>
      <c r="C198" s="91">
        <f>A198*B198</f>
        <v>9585.9137500000015</v>
      </c>
      <c r="D198" s="109"/>
      <c r="E198" s="109"/>
      <c r="F198" s="109"/>
      <c r="G198" s="109"/>
      <c r="H198" s="109"/>
      <c r="I198" s="109"/>
      <c r="J198" s="109"/>
      <c r="K198" s="109"/>
      <c r="L198" s="134"/>
    </row>
    <row r="199" spans="1:12" s="57" customFormat="1" ht="137.4" customHeight="1">
      <c r="A199" s="133"/>
      <c r="B199" s="109"/>
      <c r="C199" s="109"/>
      <c r="D199" s="109"/>
      <c r="E199" s="109"/>
      <c r="F199" s="109"/>
      <c r="G199" s="109"/>
      <c r="H199" s="109"/>
      <c r="I199" s="109"/>
      <c r="J199" s="109"/>
      <c r="K199" s="109"/>
      <c r="L199" s="134"/>
    </row>
    <row r="200" spans="1:12" s="57" customFormat="1" ht="18.75" customHeight="1">
      <c r="A200" s="119" t="str">
        <f>'Planilha Orcamentária'!A40</f>
        <v>5.0</v>
      </c>
      <c r="B200" s="70"/>
      <c r="C200" s="374" t="str">
        <f>'Planilha Orcamentária'!D40</f>
        <v>SINALIZAÇÃO VIÁRIA</v>
      </c>
      <c r="D200" s="374"/>
      <c r="E200" s="374"/>
      <c r="F200" s="374"/>
      <c r="G200" s="374"/>
      <c r="H200" s="374"/>
      <c r="I200" s="374"/>
      <c r="J200" s="374"/>
      <c r="K200" s="374"/>
      <c r="L200" s="375"/>
    </row>
    <row r="201" spans="1:12" s="57" customFormat="1" ht="16.2">
      <c r="A201" s="133"/>
      <c r="B201" s="109"/>
      <c r="C201" s="109"/>
      <c r="D201" s="109"/>
      <c r="E201" s="109"/>
      <c r="F201" s="109"/>
      <c r="G201" s="109"/>
      <c r="H201" s="109"/>
      <c r="I201" s="109"/>
      <c r="J201" s="109"/>
      <c r="K201" s="109"/>
      <c r="L201" s="134"/>
    </row>
    <row r="202" spans="1:12" s="57" customFormat="1" ht="18.75" customHeight="1">
      <c r="A202" s="119" t="str">
        <f>'Planilha Orcamentária'!A41</f>
        <v>5.1</v>
      </c>
      <c r="B202" s="70">
        <f>'Planilha Orcamentária'!C41</f>
        <v>5213401</v>
      </c>
      <c r="C202" s="374" t="str">
        <f>'Planilha Orcamentária'!D41</f>
        <v>PINTURA DE FAIXA COM TINTA ACRÍLICA - ESPESSURA DE 0,6MM</v>
      </c>
      <c r="D202" s="374"/>
      <c r="E202" s="374"/>
      <c r="F202" s="374"/>
      <c r="G202" s="374"/>
      <c r="H202" s="374"/>
      <c r="I202" s="374"/>
      <c r="J202" s="374"/>
      <c r="K202" s="374"/>
      <c r="L202" s="375"/>
    </row>
    <row r="203" spans="1:12" s="57" customFormat="1" ht="16.2">
      <c r="A203" s="133"/>
      <c r="B203" s="109"/>
      <c r="C203" s="109"/>
      <c r="D203" s="109"/>
      <c r="E203" s="109"/>
      <c r="F203" s="109"/>
      <c r="G203" s="109"/>
      <c r="H203" s="109"/>
      <c r="I203" s="109"/>
      <c r="J203" s="109"/>
      <c r="K203" s="109"/>
      <c r="L203" s="134"/>
    </row>
    <row r="204" spans="1:12" s="57" customFormat="1" ht="43.2" customHeight="1">
      <c r="A204" s="69" t="s">
        <v>91</v>
      </c>
      <c r="B204" s="389" t="s">
        <v>92</v>
      </c>
      <c r="C204" s="389"/>
      <c r="D204" s="69" t="s">
        <v>90</v>
      </c>
      <c r="G204" s="69" t="s">
        <v>91</v>
      </c>
      <c r="H204" s="389" t="s">
        <v>92</v>
      </c>
      <c r="I204" s="389"/>
      <c r="J204" s="69" t="s">
        <v>90</v>
      </c>
      <c r="K204" s="109"/>
      <c r="L204" s="134"/>
    </row>
    <row r="205" spans="1:12" s="57" customFormat="1" ht="16.2">
      <c r="A205" s="382" t="s">
        <v>145</v>
      </c>
      <c r="B205" s="383"/>
      <c r="C205" s="383"/>
      <c r="D205" s="384"/>
      <c r="G205" s="86">
        <v>8.4</v>
      </c>
      <c r="H205" s="370">
        <v>2</v>
      </c>
      <c r="I205" s="370"/>
      <c r="J205" s="86">
        <f t="shared" ref="J205:J251" si="0">G205*H205</f>
        <v>16.8</v>
      </c>
      <c r="K205" s="109"/>
      <c r="L205" s="134"/>
    </row>
    <row r="206" spans="1:12" s="57" customFormat="1" ht="16.2">
      <c r="A206" s="86">
        <v>5.6</v>
      </c>
      <c r="B206" s="370">
        <v>1</v>
      </c>
      <c r="C206" s="370"/>
      <c r="D206" s="86">
        <f t="shared" ref="D206:D210" si="1">A206*B206</f>
        <v>5.6</v>
      </c>
      <c r="G206" s="86">
        <v>6.85</v>
      </c>
      <c r="H206" s="370">
        <v>2</v>
      </c>
      <c r="I206" s="370"/>
      <c r="J206" s="86">
        <f t="shared" si="0"/>
        <v>13.7</v>
      </c>
      <c r="K206" s="109"/>
      <c r="L206" s="134"/>
    </row>
    <row r="207" spans="1:12" s="57" customFormat="1" ht="16.2">
      <c r="A207" s="86">
        <v>11.45</v>
      </c>
      <c r="B207" s="370">
        <v>1</v>
      </c>
      <c r="C207" s="370"/>
      <c r="D207" s="86">
        <f t="shared" si="1"/>
        <v>11.45</v>
      </c>
      <c r="G207" s="86">
        <v>7.6</v>
      </c>
      <c r="H207" s="370">
        <v>2</v>
      </c>
      <c r="I207" s="370"/>
      <c r="J207" s="86">
        <f t="shared" si="0"/>
        <v>15.2</v>
      </c>
      <c r="K207" s="109"/>
      <c r="L207" s="134"/>
    </row>
    <row r="208" spans="1:12" s="57" customFormat="1" ht="16.2">
      <c r="A208" s="86">
        <v>33.799999999999997</v>
      </c>
      <c r="B208" s="370">
        <v>4</v>
      </c>
      <c r="C208" s="370"/>
      <c r="D208" s="86">
        <f t="shared" si="1"/>
        <v>135.19999999999999</v>
      </c>
      <c r="G208" s="86">
        <v>5.2</v>
      </c>
      <c r="H208" s="370">
        <v>1</v>
      </c>
      <c r="I208" s="370"/>
      <c r="J208" s="86">
        <f t="shared" si="0"/>
        <v>5.2</v>
      </c>
      <c r="K208" s="109"/>
      <c r="L208" s="134"/>
    </row>
    <row r="209" spans="1:12" s="57" customFormat="1" ht="16.2">
      <c r="A209" s="86">
        <v>19.600000000000001</v>
      </c>
      <c r="B209" s="370">
        <v>4</v>
      </c>
      <c r="C209" s="370"/>
      <c r="D209" s="86">
        <f t="shared" si="1"/>
        <v>78.400000000000006</v>
      </c>
      <c r="G209" s="86">
        <v>0.75</v>
      </c>
      <c r="H209" s="370">
        <v>1</v>
      </c>
      <c r="I209" s="370"/>
      <c r="J209" s="86">
        <f t="shared" si="0"/>
        <v>0.75</v>
      </c>
      <c r="K209" s="109"/>
      <c r="L209" s="134"/>
    </row>
    <row r="210" spans="1:12" s="57" customFormat="1" ht="16.2">
      <c r="A210" s="86">
        <v>43.6</v>
      </c>
      <c r="B210" s="370">
        <v>4</v>
      </c>
      <c r="C210" s="370"/>
      <c r="D210" s="86">
        <f t="shared" si="1"/>
        <v>174.4</v>
      </c>
      <c r="G210" s="86">
        <v>4.75</v>
      </c>
      <c r="H210" s="370">
        <v>1</v>
      </c>
      <c r="I210" s="370"/>
      <c r="J210" s="86">
        <f t="shared" si="0"/>
        <v>4.75</v>
      </c>
      <c r="K210" s="109"/>
      <c r="L210" s="134"/>
    </row>
    <row r="211" spans="1:12" s="57" customFormat="1" ht="16.2">
      <c r="A211" s="86">
        <v>2.9</v>
      </c>
      <c r="B211" s="370">
        <v>4</v>
      </c>
      <c r="C211" s="370"/>
      <c r="D211" s="86">
        <f t="shared" ref="D211:D229" si="2">A211*B211</f>
        <v>11.6</v>
      </c>
      <c r="G211" s="86">
        <v>1</v>
      </c>
      <c r="H211" s="370">
        <v>76</v>
      </c>
      <c r="I211" s="370"/>
      <c r="J211" s="86">
        <f t="shared" si="0"/>
        <v>76</v>
      </c>
      <c r="K211" s="109"/>
      <c r="L211" s="134"/>
    </row>
    <row r="212" spans="1:12" s="57" customFormat="1" ht="16.2">
      <c r="A212" s="86">
        <v>7.4</v>
      </c>
      <c r="B212" s="370">
        <v>4</v>
      </c>
      <c r="C212" s="370"/>
      <c r="D212" s="86">
        <f t="shared" si="2"/>
        <v>29.6</v>
      </c>
      <c r="G212" s="86">
        <v>6.1</v>
      </c>
      <c r="H212" s="370">
        <v>1</v>
      </c>
      <c r="I212" s="370"/>
      <c r="J212" s="86">
        <f t="shared" si="0"/>
        <v>6.1</v>
      </c>
      <c r="K212" s="109"/>
      <c r="L212" s="134"/>
    </row>
    <row r="213" spans="1:12" s="57" customFormat="1" ht="16.2">
      <c r="A213" s="86">
        <v>11.75</v>
      </c>
      <c r="B213" s="370">
        <v>4</v>
      </c>
      <c r="C213" s="370"/>
      <c r="D213" s="86">
        <f t="shared" si="2"/>
        <v>47</v>
      </c>
      <c r="G213" s="86">
        <v>8.3000000000000007</v>
      </c>
      <c r="H213" s="370">
        <v>1</v>
      </c>
      <c r="I213" s="370"/>
      <c r="J213" s="86">
        <f t="shared" si="0"/>
        <v>8.3000000000000007</v>
      </c>
      <c r="K213" s="109"/>
      <c r="L213" s="134"/>
    </row>
    <row r="214" spans="1:12" s="57" customFormat="1" ht="16.2">
      <c r="A214" s="86">
        <v>9.6999999999999993</v>
      </c>
      <c r="B214" s="370">
        <v>4</v>
      </c>
      <c r="C214" s="370"/>
      <c r="D214" s="86">
        <f t="shared" si="2"/>
        <v>38.799999999999997</v>
      </c>
      <c r="G214" s="86">
        <v>4.05</v>
      </c>
      <c r="H214" s="370">
        <v>1</v>
      </c>
      <c r="I214" s="370"/>
      <c r="J214" s="86">
        <f t="shared" ref="J214:J223" si="3">G214*H214</f>
        <v>4.05</v>
      </c>
      <c r="K214" s="109"/>
      <c r="L214" s="134"/>
    </row>
    <row r="215" spans="1:12" s="57" customFormat="1" ht="16.2">
      <c r="A215" s="86">
        <v>14.15</v>
      </c>
      <c r="B215" s="370">
        <v>4</v>
      </c>
      <c r="C215" s="370"/>
      <c r="D215" s="86">
        <f t="shared" si="2"/>
        <v>56.6</v>
      </c>
      <c r="G215" s="86">
        <v>8.8000000000000007</v>
      </c>
      <c r="H215" s="370">
        <v>1</v>
      </c>
      <c r="I215" s="370"/>
      <c r="J215" s="86">
        <f t="shared" si="3"/>
        <v>8.8000000000000007</v>
      </c>
      <c r="K215" s="109"/>
      <c r="L215" s="134"/>
    </row>
    <row r="216" spans="1:12" s="57" customFormat="1" ht="16.2">
      <c r="A216" s="86">
        <v>11.25</v>
      </c>
      <c r="B216" s="370">
        <v>4</v>
      </c>
      <c r="C216" s="370"/>
      <c r="D216" s="86">
        <f t="shared" si="2"/>
        <v>45</v>
      </c>
      <c r="G216" s="86">
        <v>6.9</v>
      </c>
      <c r="H216" s="370">
        <v>1</v>
      </c>
      <c r="I216" s="370"/>
      <c r="J216" s="86">
        <f t="shared" si="3"/>
        <v>6.9</v>
      </c>
      <c r="K216" s="109"/>
      <c r="L216" s="134"/>
    </row>
    <row r="217" spans="1:12" s="57" customFormat="1" ht="16.2">
      <c r="A217" s="86">
        <v>11.15</v>
      </c>
      <c r="B217" s="370">
        <v>4</v>
      </c>
      <c r="C217" s="370"/>
      <c r="D217" s="86">
        <f t="shared" si="2"/>
        <v>44.6</v>
      </c>
      <c r="G217" s="86">
        <v>10.5</v>
      </c>
      <c r="H217" s="370">
        <v>1</v>
      </c>
      <c r="I217" s="370"/>
      <c r="J217" s="86">
        <f t="shared" si="3"/>
        <v>10.5</v>
      </c>
      <c r="K217" s="109"/>
      <c r="L217" s="134"/>
    </row>
    <row r="218" spans="1:12" s="57" customFormat="1" ht="16.2">
      <c r="A218" s="86">
        <v>14.2</v>
      </c>
      <c r="B218" s="370">
        <v>4</v>
      </c>
      <c r="C218" s="370"/>
      <c r="D218" s="86">
        <f t="shared" si="2"/>
        <v>56.8</v>
      </c>
      <c r="G218" s="86">
        <v>5.85</v>
      </c>
      <c r="H218" s="370">
        <v>1</v>
      </c>
      <c r="I218" s="370"/>
      <c r="J218" s="86">
        <f t="shared" si="3"/>
        <v>5.85</v>
      </c>
      <c r="K218" s="109"/>
      <c r="L218" s="134"/>
    </row>
    <row r="219" spans="1:12" s="57" customFormat="1" ht="16.2">
      <c r="A219" s="86">
        <v>9.4</v>
      </c>
      <c r="B219" s="370">
        <v>4</v>
      </c>
      <c r="C219" s="370"/>
      <c r="D219" s="86">
        <f t="shared" si="2"/>
        <v>37.6</v>
      </c>
      <c r="G219" s="86">
        <v>2.4</v>
      </c>
      <c r="H219" s="370">
        <v>1</v>
      </c>
      <c r="I219" s="370"/>
      <c r="J219" s="86">
        <f t="shared" si="3"/>
        <v>2.4</v>
      </c>
      <c r="K219" s="109"/>
      <c r="L219" s="134"/>
    </row>
    <row r="220" spans="1:12" s="57" customFormat="1" ht="16.2">
      <c r="A220" s="86">
        <v>8.3000000000000007</v>
      </c>
      <c r="B220" s="370">
        <v>4</v>
      </c>
      <c r="C220" s="370"/>
      <c r="D220" s="86">
        <f t="shared" si="2"/>
        <v>33.200000000000003</v>
      </c>
      <c r="G220" s="86">
        <v>9</v>
      </c>
      <c r="H220" s="370">
        <v>1</v>
      </c>
      <c r="I220" s="370"/>
      <c r="J220" s="86">
        <f t="shared" si="3"/>
        <v>9</v>
      </c>
      <c r="K220" s="109"/>
      <c r="L220" s="134"/>
    </row>
    <row r="221" spans="1:12" s="57" customFormat="1" ht="16.2">
      <c r="A221" s="86">
        <v>4.4000000000000004</v>
      </c>
      <c r="B221" s="370">
        <v>4</v>
      </c>
      <c r="C221" s="370"/>
      <c r="D221" s="86">
        <f t="shared" si="2"/>
        <v>17.600000000000001</v>
      </c>
      <c r="G221" s="86">
        <v>2.85</v>
      </c>
      <c r="H221" s="370">
        <v>1</v>
      </c>
      <c r="I221" s="370"/>
      <c r="J221" s="86">
        <f t="shared" si="3"/>
        <v>2.85</v>
      </c>
      <c r="K221" s="109"/>
      <c r="L221" s="134"/>
    </row>
    <row r="222" spans="1:12" s="57" customFormat="1" ht="16.2">
      <c r="A222" s="382" t="s">
        <v>234</v>
      </c>
      <c r="B222" s="383"/>
      <c r="C222" s="383"/>
      <c r="D222" s="384"/>
      <c r="G222" s="86">
        <v>7</v>
      </c>
      <c r="H222" s="370">
        <v>1</v>
      </c>
      <c r="I222" s="370"/>
      <c r="J222" s="86">
        <f t="shared" si="3"/>
        <v>7</v>
      </c>
      <c r="K222" s="109"/>
      <c r="L222" s="134"/>
    </row>
    <row r="223" spans="1:12" s="57" customFormat="1" ht="16.2">
      <c r="A223" s="86">
        <v>5.2</v>
      </c>
      <c r="B223" s="370">
        <v>1</v>
      </c>
      <c r="C223" s="370"/>
      <c r="D223" s="86">
        <f t="shared" si="2"/>
        <v>5.2</v>
      </c>
      <c r="G223" s="86">
        <v>8.0500000000000007</v>
      </c>
      <c r="H223" s="370">
        <v>1</v>
      </c>
      <c r="I223" s="370"/>
      <c r="J223" s="86">
        <f t="shared" si="3"/>
        <v>8.0500000000000007</v>
      </c>
      <c r="K223" s="109"/>
      <c r="L223" s="134"/>
    </row>
    <row r="224" spans="1:12" s="57" customFormat="1" ht="16.2">
      <c r="A224" s="86">
        <v>9.6999999999999993</v>
      </c>
      <c r="B224" s="370">
        <v>1</v>
      </c>
      <c r="C224" s="370"/>
      <c r="D224" s="86">
        <f t="shared" si="2"/>
        <v>9.6999999999999993</v>
      </c>
      <c r="G224" s="86">
        <v>80.2</v>
      </c>
      <c r="H224" s="370">
        <v>1</v>
      </c>
      <c r="I224" s="370"/>
      <c r="J224" s="86">
        <f t="shared" si="0"/>
        <v>80.2</v>
      </c>
      <c r="K224" s="109"/>
      <c r="L224" s="134"/>
    </row>
    <row r="225" spans="1:12" s="57" customFormat="1" ht="16.2">
      <c r="A225" s="86">
        <v>8</v>
      </c>
      <c r="B225" s="370">
        <v>1</v>
      </c>
      <c r="C225" s="370"/>
      <c r="D225" s="86">
        <f t="shared" si="2"/>
        <v>8</v>
      </c>
      <c r="G225" s="86">
        <v>46.3</v>
      </c>
      <c r="H225" s="370">
        <v>1</v>
      </c>
      <c r="I225" s="370"/>
      <c r="J225" s="86">
        <f t="shared" si="0"/>
        <v>46.3</v>
      </c>
      <c r="K225" s="109"/>
      <c r="L225" s="134"/>
    </row>
    <row r="226" spans="1:12" s="57" customFormat="1" ht="16.2">
      <c r="A226" s="86">
        <v>6.2</v>
      </c>
      <c r="B226" s="370">
        <v>1</v>
      </c>
      <c r="C226" s="370"/>
      <c r="D226" s="86">
        <f t="shared" si="2"/>
        <v>6.2</v>
      </c>
      <c r="G226" s="86">
        <v>9.6999999999999993</v>
      </c>
      <c r="H226" s="370">
        <v>1</v>
      </c>
      <c r="I226" s="370"/>
      <c r="J226" s="86">
        <f t="shared" si="0"/>
        <v>9.6999999999999993</v>
      </c>
      <c r="K226" s="109"/>
      <c r="L226" s="134"/>
    </row>
    <row r="227" spans="1:12" s="57" customFormat="1" ht="16.2">
      <c r="A227" s="86">
        <v>8.25</v>
      </c>
      <c r="B227" s="370">
        <v>1</v>
      </c>
      <c r="C227" s="370"/>
      <c r="D227" s="86">
        <f t="shared" si="2"/>
        <v>8.25</v>
      </c>
      <c r="G227" s="86">
        <v>4.9000000000000004</v>
      </c>
      <c r="H227" s="370">
        <v>1</v>
      </c>
      <c r="I227" s="370"/>
      <c r="J227" s="86">
        <f t="shared" si="0"/>
        <v>4.9000000000000004</v>
      </c>
      <c r="K227" s="109"/>
      <c r="L227" s="134"/>
    </row>
    <row r="228" spans="1:12" s="57" customFormat="1" ht="16.2">
      <c r="A228" s="86">
        <v>7.55</v>
      </c>
      <c r="B228" s="370">
        <v>1</v>
      </c>
      <c r="C228" s="370"/>
      <c r="D228" s="86">
        <f t="shared" si="2"/>
        <v>7.55</v>
      </c>
      <c r="G228" s="86">
        <v>14.3</v>
      </c>
      <c r="H228" s="370">
        <v>1</v>
      </c>
      <c r="I228" s="370"/>
      <c r="J228" s="86">
        <f t="shared" si="0"/>
        <v>14.3</v>
      </c>
      <c r="K228" s="109"/>
      <c r="L228" s="134"/>
    </row>
    <row r="229" spans="1:12" s="57" customFormat="1" ht="16.2">
      <c r="A229" s="86">
        <v>8.5</v>
      </c>
      <c r="B229" s="370">
        <v>1</v>
      </c>
      <c r="C229" s="370"/>
      <c r="D229" s="86">
        <f t="shared" si="2"/>
        <v>8.5</v>
      </c>
      <c r="G229" s="86">
        <v>20.399999999999999</v>
      </c>
      <c r="H229" s="370">
        <v>1</v>
      </c>
      <c r="I229" s="370"/>
      <c r="J229" s="86">
        <f t="shared" si="0"/>
        <v>20.399999999999999</v>
      </c>
      <c r="K229" s="109"/>
      <c r="L229" s="134"/>
    </row>
    <row r="230" spans="1:12" s="57" customFormat="1" ht="16.2">
      <c r="A230" s="86">
        <v>5.95</v>
      </c>
      <c r="B230" s="370">
        <v>1</v>
      </c>
      <c r="C230" s="370"/>
      <c r="D230" s="86">
        <f t="shared" ref="D230:D253" si="4">A230*B230</f>
        <v>5.95</v>
      </c>
      <c r="G230" s="86">
        <v>25</v>
      </c>
      <c r="H230" s="370">
        <v>1</v>
      </c>
      <c r="I230" s="370"/>
      <c r="J230" s="86">
        <f t="shared" si="0"/>
        <v>25</v>
      </c>
      <c r="K230" s="109"/>
      <c r="L230" s="134"/>
    </row>
    <row r="231" spans="1:12" s="57" customFormat="1" ht="16.2">
      <c r="A231" s="86">
        <v>8.85</v>
      </c>
      <c r="B231" s="370">
        <v>1</v>
      </c>
      <c r="C231" s="370"/>
      <c r="D231" s="86">
        <f t="shared" si="4"/>
        <v>8.85</v>
      </c>
      <c r="G231" s="86">
        <v>5.6</v>
      </c>
      <c r="H231" s="370">
        <v>1</v>
      </c>
      <c r="I231" s="370"/>
      <c r="J231" s="86">
        <f t="shared" si="0"/>
        <v>5.6</v>
      </c>
      <c r="K231" s="109"/>
      <c r="L231" s="134"/>
    </row>
    <row r="232" spans="1:12" s="57" customFormat="1" ht="16.2">
      <c r="A232" s="86">
        <v>8.9</v>
      </c>
      <c r="B232" s="370">
        <v>1</v>
      </c>
      <c r="C232" s="370"/>
      <c r="D232" s="86">
        <f t="shared" si="4"/>
        <v>8.9</v>
      </c>
      <c r="G232" s="86">
        <v>3.35</v>
      </c>
      <c r="H232" s="370">
        <v>1</v>
      </c>
      <c r="I232" s="370"/>
      <c r="J232" s="86">
        <f t="shared" si="0"/>
        <v>3.35</v>
      </c>
      <c r="K232" s="109"/>
      <c r="L232" s="134"/>
    </row>
    <row r="233" spans="1:12" s="57" customFormat="1" ht="16.2">
      <c r="A233" s="86">
        <v>7</v>
      </c>
      <c r="B233" s="370">
        <v>1</v>
      </c>
      <c r="C233" s="370"/>
      <c r="D233" s="86">
        <f t="shared" si="4"/>
        <v>7</v>
      </c>
      <c r="G233" s="86">
        <v>12.4</v>
      </c>
      <c r="H233" s="370">
        <v>1</v>
      </c>
      <c r="I233" s="370"/>
      <c r="J233" s="86">
        <f t="shared" si="0"/>
        <v>12.4</v>
      </c>
      <c r="K233" s="109"/>
      <c r="L233" s="134"/>
    </row>
    <row r="234" spans="1:12" s="57" customFormat="1" ht="16.2">
      <c r="A234" s="86">
        <v>7.35</v>
      </c>
      <c r="B234" s="370">
        <v>1</v>
      </c>
      <c r="C234" s="370"/>
      <c r="D234" s="86">
        <f t="shared" si="4"/>
        <v>7.35</v>
      </c>
      <c r="G234" s="86">
        <v>28.15</v>
      </c>
      <c r="H234" s="370">
        <v>1</v>
      </c>
      <c r="I234" s="370"/>
      <c r="J234" s="86">
        <f t="shared" si="0"/>
        <v>28.15</v>
      </c>
      <c r="K234" s="109"/>
      <c r="L234" s="134"/>
    </row>
    <row r="235" spans="1:12" s="57" customFormat="1" ht="16.2">
      <c r="A235" s="86">
        <v>7.1</v>
      </c>
      <c r="B235" s="370">
        <v>1</v>
      </c>
      <c r="C235" s="370"/>
      <c r="D235" s="86">
        <f t="shared" si="4"/>
        <v>7.1</v>
      </c>
      <c r="G235" s="86">
        <v>5.6</v>
      </c>
      <c r="H235" s="370">
        <v>1</v>
      </c>
      <c r="I235" s="370"/>
      <c r="J235" s="86">
        <f t="shared" si="0"/>
        <v>5.6</v>
      </c>
      <c r="K235" s="109"/>
      <c r="L235" s="134"/>
    </row>
    <row r="236" spans="1:12" s="57" customFormat="1" ht="16.2">
      <c r="A236" s="86">
        <v>9.3000000000000007</v>
      </c>
      <c r="B236" s="370">
        <v>1</v>
      </c>
      <c r="C236" s="370"/>
      <c r="D236" s="86">
        <f t="shared" si="4"/>
        <v>9.3000000000000007</v>
      </c>
      <c r="G236" s="86">
        <v>4.4000000000000004</v>
      </c>
      <c r="H236" s="370">
        <v>1</v>
      </c>
      <c r="I236" s="370"/>
      <c r="J236" s="86">
        <f t="shared" si="0"/>
        <v>4.4000000000000004</v>
      </c>
      <c r="K236" s="109"/>
      <c r="L236" s="134"/>
    </row>
    <row r="237" spans="1:12" s="57" customFormat="1" ht="16.2">
      <c r="A237" s="86">
        <v>8.35</v>
      </c>
      <c r="B237" s="370">
        <v>1</v>
      </c>
      <c r="C237" s="370"/>
      <c r="D237" s="86">
        <f t="shared" si="4"/>
        <v>8.35</v>
      </c>
      <c r="G237" s="86">
        <v>9</v>
      </c>
      <c r="H237" s="370">
        <v>1</v>
      </c>
      <c r="I237" s="370"/>
      <c r="J237" s="86">
        <f t="shared" si="0"/>
        <v>9</v>
      </c>
      <c r="K237" s="109"/>
      <c r="L237" s="134"/>
    </row>
    <row r="238" spans="1:12" s="57" customFormat="1" ht="16.2">
      <c r="A238" s="86">
        <v>6.6</v>
      </c>
      <c r="B238" s="370">
        <v>1</v>
      </c>
      <c r="C238" s="370"/>
      <c r="D238" s="86">
        <f t="shared" si="4"/>
        <v>6.6</v>
      </c>
      <c r="G238" s="86">
        <v>8.15</v>
      </c>
      <c r="H238" s="370">
        <v>1</v>
      </c>
      <c r="I238" s="370"/>
      <c r="J238" s="86">
        <f t="shared" si="0"/>
        <v>8.15</v>
      </c>
      <c r="K238" s="109"/>
      <c r="L238" s="134"/>
    </row>
    <row r="239" spans="1:12" s="57" customFormat="1" ht="16.2">
      <c r="A239" s="86">
        <v>9.5500000000000007</v>
      </c>
      <c r="B239" s="370">
        <v>1</v>
      </c>
      <c r="C239" s="370"/>
      <c r="D239" s="86">
        <f t="shared" si="4"/>
        <v>9.5500000000000007</v>
      </c>
      <c r="G239" s="86">
        <v>5</v>
      </c>
      <c r="H239" s="370">
        <v>1</v>
      </c>
      <c r="I239" s="370"/>
      <c r="J239" s="86">
        <f t="shared" si="0"/>
        <v>5</v>
      </c>
      <c r="K239" s="109"/>
      <c r="L239" s="134"/>
    </row>
    <row r="240" spans="1:12" s="57" customFormat="1" ht="16.2">
      <c r="A240" s="86">
        <v>13.05</v>
      </c>
      <c r="B240" s="370">
        <v>1</v>
      </c>
      <c r="C240" s="370"/>
      <c r="D240" s="86">
        <f t="shared" si="4"/>
        <v>13.05</v>
      </c>
      <c r="G240" s="86">
        <v>4.4000000000000004</v>
      </c>
      <c r="H240" s="370">
        <v>1</v>
      </c>
      <c r="I240" s="370"/>
      <c r="J240" s="86">
        <f t="shared" si="0"/>
        <v>4.4000000000000004</v>
      </c>
      <c r="K240" s="109"/>
      <c r="L240" s="134"/>
    </row>
    <row r="241" spans="1:12" s="57" customFormat="1" ht="16.2">
      <c r="A241" s="86">
        <v>10.15</v>
      </c>
      <c r="B241" s="370">
        <v>1</v>
      </c>
      <c r="C241" s="370"/>
      <c r="D241" s="86">
        <f t="shared" si="4"/>
        <v>10.15</v>
      </c>
      <c r="G241" s="86">
        <v>5.8</v>
      </c>
      <c r="H241" s="370">
        <v>1</v>
      </c>
      <c r="I241" s="370"/>
      <c r="J241" s="86">
        <f t="shared" si="0"/>
        <v>5.8</v>
      </c>
      <c r="K241" s="109"/>
      <c r="L241" s="134"/>
    </row>
    <row r="242" spans="1:12" s="57" customFormat="1" ht="16.2">
      <c r="A242" s="86">
        <v>10.3</v>
      </c>
      <c r="B242" s="370">
        <v>1</v>
      </c>
      <c r="C242" s="370"/>
      <c r="D242" s="86">
        <f t="shared" si="4"/>
        <v>10.3</v>
      </c>
      <c r="G242" s="86">
        <v>1.3</v>
      </c>
      <c r="H242" s="370">
        <v>1</v>
      </c>
      <c r="I242" s="370"/>
      <c r="J242" s="86">
        <f t="shared" si="0"/>
        <v>1.3</v>
      </c>
      <c r="K242" s="109"/>
      <c r="L242" s="134"/>
    </row>
    <row r="243" spans="1:12" s="57" customFormat="1" ht="16.2">
      <c r="A243" s="86">
        <v>11.55</v>
      </c>
      <c r="B243" s="370">
        <v>1</v>
      </c>
      <c r="C243" s="370"/>
      <c r="D243" s="86">
        <f t="shared" si="4"/>
        <v>11.55</v>
      </c>
      <c r="G243" s="86">
        <v>5.85</v>
      </c>
      <c r="H243" s="370">
        <v>1</v>
      </c>
      <c r="I243" s="370"/>
      <c r="J243" s="86">
        <f t="shared" si="0"/>
        <v>5.85</v>
      </c>
      <c r="K243" s="109"/>
      <c r="L243" s="134"/>
    </row>
    <row r="244" spans="1:12" s="57" customFormat="1" ht="16.2">
      <c r="A244" s="86">
        <v>8.15</v>
      </c>
      <c r="B244" s="370">
        <v>1</v>
      </c>
      <c r="C244" s="370"/>
      <c r="D244" s="86">
        <f t="shared" ref="D244" si="5">A244*B244</f>
        <v>8.15</v>
      </c>
      <c r="G244" s="86">
        <v>4.7</v>
      </c>
      <c r="H244" s="370">
        <v>2</v>
      </c>
      <c r="I244" s="370"/>
      <c r="J244" s="86">
        <f t="shared" si="0"/>
        <v>9.4</v>
      </c>
      <c r="K244" s="109"/>
      <c r="L244" s="134"/>
    </row>
    <row r="245" spans="1:12" s="57" customFormat="1" ht="16.2">
      <c r="A245" s="86">
        <v>3.2</v>
      </c>
      <c r="B245" s="370">
        <v>1</v>
      </c>
      <c r="C245" s="370"/>
      <c r="D245" s="86">
        <f t="shared" si="4"/>
        <v>3.2</v>
      </c>
      <c r="G245" s="86">
        <v>7.2</v>
      </c>
      <c r="H245" s="370">
        <v>2</v>
      </c>
      <c r="I245" s="370"/>
      <c r="J245" s="86">
        <f t="shared" si="0"/>
        <v>14.4</v>
      </c>
      <c r="K245" s="109"/>
      <c r="L245" s="134"/>
    </row>
    <row r="246" spans="1:12" s="57" customFormat="1" ht="16.2">
      <c r="A246" s="86">
        <v>6.1</v>
      </c>
      <c r="B246" s="370">
        <v>1</v>
      </c>
      <c r="C246" s="370"/>
      <c r="D246" s="86">
        <f t="shared" si="4"/>
        <v>6.1</v>
      </c>
      <c r="G246" s="86">
        <v>8.15</v>
      </c>
      <c r="H246" s="370">
        <v>2</v>
      </c>
      <c r="I246" s="370"/>
      <c r="J246" s="86">
        <f t="shared" si="0"/>
        <v>16.3</v>
      </c>
      <c r="K246" s="109"/>
      <c r="L246" s="134"/>
    </row>
    <row r="247" spans="1:12" s="57" customFormat="1" ht="16.2">
      <c r="A247" s="86">
        <v>4.3</v>
      </c>
      <c r="B247" s="370">
        <v>2</v>
      </c>
      <c r="C247" s="370"/>
      <c r="D247" s="86">
        <f t="shared" si="4"/>
        <v>8.6</v>
      </c>
      <c r="G247" s="86">
        <v>5.65</v>
      </c>
      <c r="H247" s="370">
        <v>2</v>
      </c>
      <c r="I247" s="370"/>
      <c r="J247" s="86">
        <f t="shared" si="0"/>
        <v>11.3</v>
      </c>
      <c r="K247" s="109"/>
      <c r="L247" s="134"/>
    </row>
    <row r="248" spans="1:12" s="57" customFormat="1" ht="16.2">
      <c r="A248" s="86">
        <v>8.65</v>
      </c>
      <c r="B248" s="370">
        <v>2</v>
      </c>
      <c r="C248" s="370"/>
      <c r="D248" s="86">
        <f t="shared" ref="D248" si="6">A248*B248</f>
        <v>17.3</v>
      </c>
      <c r="G248" s="86">
        <v>9.75</v>
      </c>
      <c r="H248" s="370">
        <v>2</v>
      </c>
      <c r="I248" s="370"/>
      <c r="J248" s="86">
        <f t="shared" si="0"/>
        <v>19.5</v>
      </c>
      <c r="K248" s="109"/>
      <c r="L248" s="134"/>
    </row>
    <row r="249" spans="1:12" s="57" customFormat="1" ht="16.2">
      <c r="A249" s="86">
        <v>4.3</v>
      </c>
      <c r="B249" s="370">
        <v>2</v>
      </c>
      <c r="C249" s="370"/>
      <c r="D249" s="86">
        <f t="shared" si="4"/>
        <v>8.6</v>
      </c>
      <c r="G249" s="86">
        <v>2.2999999999999998</v>
      </c>
      <c r="H249" s="370">
        <v>1</v>
      </c>
      <c r="I249" s="370"/>
      <c r="J249" s="86">
        <f t="shared" si="0"/>
        <v>2.2999999999999998</v>
      </c>
      <c r="K249" s="109"/>
      <c r="L249" s="134"/>
    </row>
    <row r="250" spans="1:12" s="57" customFormat="1" ht="16.2">
      <c r="A250" s="86">
        <v>9.1</v>
      </c>
      <c r="B250" s="370">
        <v>2</v>
      </c>
      <c r="C250" s="370"/>
      <c r="D250" s="86">
        <f t="shared" si="4"/>
        <v>18.2</v>
      </c>
      <c r="G250" s="86">
        <v>1.3</v>
      </c>
      <c r="H250" s="370">
        <v>1</v>
      </c>
      <c r="I250" s="370"/>
      <c r="J250" s="86">
        <f t="shared" si="0"/>
        <v>1.3</v>
      </c>
      <c r="K250" s="109"/>
      <c r="L250" s="134"/>
    </row>
    <row r="251" spans="1:12" s="57" customFormat="1" ht="16.2">
      <c r="A251" s="86">
        <v>7.15</v>
      </c>
      <c r="B251" s="370">
        <v>2</v>
      </c>
      <c r="C251" s="370"/>
      <c r="D251" s="86">
        <f t="shared" si="4"/>
        <v>14.3</v>
      </c>
      <c r="G251" s="86">
        <v>1.85</v>
      </c>
      <c r="H251" s="370">
        <v>1</v>
      </c>
      <c r="I251" s="370"/>
      <c r="J251" s="86">
        <f t="shared" si="0"/>
        <v>1.85</v>
      </c>
      <c r="K251" s="109"/>
      <c r="L251" s="134"/>
    </row>
    <row r="252" spans="1:12" s="57" customFormat="1" ht="16.8" thickBot="1">
      <c r="A252" s="86">
        <v>10.5</v>
      </c>
      <c r="B252" s="370">
        <v>2</v>
      </c>
      <c r="C252" s="370"/>
      <c r="D252" s="86">
        <f t="shared" si="4"/>
        <v>21</v>
      </c>
      <c r="G252" s="387" t="s">
        <v>25</v>
      </c>
      <c r="H252" s="387"/>
      <c r="I252" s="387"/>
      <c r="J252" s="242">
        <f>SUM(D206:D254,J205:J251)</f>
        <v>1716.4499999999998</v>
      </c>
      <c r="K252" s="109"/>
      <c r="L252" s="134"/>
    </row>
    <row r="253" spans="1:12" s="57" customFormat="1" ht="16.8" thickBot="1">
      <c r="A253" s="86">
        <v>7.8</v>
      </c>
      <c r="B253" s="370">
        <v>2</v>
      </c>
      <c r="C253" s="370"/>
      <c r="D253" s="86">
        <f t="shared" si="4"/>
        <v>15.6</v>
      </c>
      <c r="G253" s="243" t="s">
        <v>253</v>
      </c>
      <c r="H253" s="244">
        <f>J252</f>
        <v>1716.4499999999998</v>
      </c>
      <c r="I253" s="244" t="s">
        <v>254</v>
      </c>
      <c r="J253" s="244" t="s">
        <v>256</v>
      </c>
      <c r="K253" s="245" t="s">
        <v>255</v>
      </c>
      <c r="L253" s="246">
        <f>H253*0.1</f>
        <v>171.64499999999998</v>
      </c>
    </row>
    <row r="254" spans="1:12" s="57" customFormat="1" ht="16.2">
      <c r="A254" s="86">
        <v>3.1</v>
      </c>
      <c r="B254" s="370">
        <v>2</v>
      </c>
      <c r="C254" s="370"/>
      <c r="D254" s="86">
        <f t="shared" ref="D254" si="7">A254*B254</f>
        <v>6.2</v>
      </c>
      <c r="H254" s="109"/>
      <c r="I254" s="109"/>
      <c r="J254" s="109"/>
      <c r="K254" s="109"/>
      <c r="L254" s="134"/>
    </row>
    <row r="255" spans="1:12" s="57" customFormat="1" ht="16.2">
      <c r="A255" s="284"/>
      <c r="B255" s="140"/>
      <c r="C255" s="140"/>
      <c r="D255" s="285"/>
      <c r="H255" s="109"/>
      <c r="I255" s="109"/>
      <c r="J255" s="109"/>
      <c r="K255" s="109"/>
      <c r="L255" s="134"/>
    </row>
    <row r="256" spans="1:12" s="57" customFormat="1" ht="18.75" customHeight="1">
      <c r="A256" s="119" t="str">
        <f>'Planilha Orcamentária'!A42</f>
        <v>5.2</v>
      </c>
      <c r="B256" s="70" t="s">
        <v>301</v>
      </c>
      <c r="C256" s="374" t="str">
        <f>'Planilha Orcamentária'!D42</f>
        <v>SUPORTE METÁLICO GALVANIZADO PARA PLACA DE ADVERTÊNCIA OU REGULAMENTAÇÃO - LADO OU DIÂMETRO DE 0,60M - FORNECIMENTO E IMPLANTAÇÃO</v>
      </c>
      <c r="D256" s="374"/>
      <c r="E256" s="374"/>
      <c r="F256" s="374"/>
      <c r="G256" s="374"/>
      <c r="H256" s="374"/>
      <c r="I256" s="374"/>
      <c r="J256" s="374"/>
      <c r="K256" s="374"/>
      <c r="L256" s="375"/>
    </row>
    <row r="257" spans="1:12" s="57" customFormat="1" ht="16.2">
      <c r="A257" s="284"/>
      <c r="B257" s="140"/>
      <c r="C257" s="140"/>
      <c r="D257" s="285"/>
      <c r="H257" s="109"/>
      <c r="I257" s="109"/>
      <c r="J257" s="109"/>
      <c r="K257" s="109"/>
      <c r="L257" s="134"/>
    </row>
    <row r="258" spans="1:12" s="57" customFormat="1" ht="18.75" customHeight="1">
      <c r="A258" s="119" t="str">
        <f>'Planilha Orcamentária'!A43</f>
        <v>5.3</v>
      </c>
      <c r="B258" s="70" t="s">
        <v>302</v>
      </c>
      <c r="C258" s="374" t="str">
        <f>'Planilha Orcamentária'!D43</f>
        <v>PLACA EM AÇO Nº16 GALVANIZADO COM PELÍCULA RETRORREFLETIVA TIPO I+III-CONFECÇÃO</v>
      </c>
      <c r="D258" s="374"/>
      <c r="E258" s="374"/>
      <c r="F258" s="374"/>
      <c r="G258" s="374"/>
      <c r="H258" s="374"/>
      <c r="I258" s="374"/>
      <c r="J258" s="374"/>
      <c r="K258" s="374"/>
      <c r="L258" s="375"/>
    </row>
    <row r="259" spans="1:12" s="57" customFormat="1" ht="16.2">
      <c r="A259" s="133"/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34"/>
    </row>
    <row r="260" spans="1:12" s="105" customFormat="1" ht="48.75" customHeight="1">
      <c r="A260" s="385" t="s">
        <v>115</v>
      </c>
      <c r="B260" s="386"/>
      <c r="C260" s="385" t="s">
        <v>100</v>
      </c>
      <c r="D260" s="386"/>
      <c r="E260" s="380" t="s">
        <v>99</v>
      </c>
      <c r="F260" s="380" t="s">
        <v>98</v>
      </c>
      <c r="I260" s="104"/>
      <c r="J260" s="104"/>
      <c r="K260" s="104"/>
      <c r="L260" s="136"/>
    </row>
    <row r="261" spans="1:12" s="105" customFormat="1" ht="16.2">
      <c r="A261" s="93" t="s">
        <v>95</v>
      </c>
      <c r="B261" s="93" t="s">
        <v>96</v>
      </c>
      <c r="C261" s="93" t="s">
        <v>97</v>
      </c>
      <c r="D261" s="106" t="s">
        <v>97</v>
      </c>
      <c r="E261" s="381"/>
      <c r="F261" s="381"/>
      <c r="I261" s="104"/>
      <c r="J261" s="104"/>
      <c r="K261" s="104"/>
      <c r="L261" s="136"/>
    </row>
    <row r="262" spans="1:12" s="105" customFormat="1" ht="16.2">
      <c r="A262" s="68">
        <v>2</v>
      </c>
      <c r="B262" s="68" t="s">
        <v>13</v>
      </c>
      <c r="C262" s="107">
        <v>0.5</v>
      </c>
      <c r="D262" s="107">
        <v>0.5</v>
      </c>
      <c r="E262" s="68">
        <f>A262</f>
        <v>2</v>
      </c>
      <c r="F262" s="108">
        <f>(3.14*(C262/2)^2)*E262</f>
        <v>0.39250000000000002</v>
      </c>
      <c r="I262" s="104"/>
      <c r="J262" s="104"/>
      <c r="K262" s="104"/>
      <c r="L262" s="136"/>
    </row>
    <row r="263" spans="1:12" s="105" customFormat="1" ht="48.75" customHeight="1">
      <c r="A263" s="385" t="s">
        <v>203</v>
      </c>
      <c r="B263" s="386"/>
      <c r="C263" s="385" t="s">
        <v>100</v>
      </c>
      <c r="D263" s="386"/>
      <c r="E263" s="380" t="s">
        <v>99</v>
      </c>
      <c r="F263" s="380" t="s">
        <v>98</v>
      </c>
      <c r="I263" s="104"/>
      <c r="J263" s="104"/>
      <c r="K263" s="104"/>
      <c r="L263" s="136"/>
    </row>
    <row r="264" spans="1:12" s="105" customFormat="1" ht="16.2">
      <c r="A264" s="93" t="s">
        <v>95</v>
      </c>
      <c r="B264" s="93" t="s">
        <v>96</v>
      </c>
      <c r="C264" s="93" t="s">
        <v>97</v>
      </c>
      <c r="D264" s="106" t="s">
        <v>97</v>
      </c>
      <c r="E264" s="381"/>
      <c r="F264" s="381"/>
      <c r="I264" s="104"/>
      <c r="J264" s="104"/>
      <c r="K264" s="104"/>
      <c r="L264" s="136"/>
    </row>
    <row r="265" spans="1:12" s="105" customFormat="1" ht="16.2">
      <c r="A265" s="68">
        <v>1</v>
      </c>
      <c r="B265" s="68" t="s">
        <v>13</v>
      </c>
      <c r="C265" s="107">
        <v>0.5</v>
      </c>
      <c r="D265" s="107">
        <v>0.5</v>
      </c>
      <c r="E265" s="68">
        <f>A265</f>
        <v>1</v>
      </c>
      <c r="F265" s="108">
        <f>(3.14*(C265/2)^2)*E265</f>
        <v>0.19625000000000001</v>
      </c>
      <c r="I265" s="104"/>
      <c r="J265" s="104"/>
      <c r="K265" s="104"/>
      <c r="L265" s="136"/>
    </row>
    <row r="266" spans="1:12" s="105" customFormat="1" ht="48.75" customHeight="1">
      <c r="A266" s="385" t="s">
        <v>144</v>
      </c>
      <c r="B266" s="386"/>
      <c r="C266" s="385" t="s">
        <v>100</v>
      </c>
      <c r="D266" s="386"/>
      <c r="E266" s="380" t="s">
        <v>99</v>
      </c>
      <c r="F266" s="380" t="s">
        <v>98</v>
      </c>
      <c r="I266" s="104"/>
      <c r="J266" s="104"/>
      <c r="K266" s="104"/>
      <c r="L266" s="136"/>
    </row>
    <row r="267" spans="1:12" s="105" customFormat="1" ht="16.2">
      <c r="A267" s="93" t="s">
        <v>95</v>
      </c>
      <c r="B267" s="93" t="s">
        <v>96</v>
      </c>
      <c r="C267" s="93" t="s">
        <v>97</v>
      </c>
      <c r="D267" s="106" t="s">
        <v>97</v>
      </c>
      <c r="E267" s="381"/>
      <c r="F267" s="381"/>
      <c r="I267" s="104"/>
      <c r="J267" s="104"/>
      <c r="K267" s="104"/>
      <c r="L267" s="136"/>
    </row>
    <row r="268" spans="1:12" s="105" customFormat="1" ht="16.2">
      <c r="A268" s="68">
        <v>2</v>
      </c>
      <c r="B268" s="68" t="s">
        <v>13</v>
      </c>
      <c r="C268" s="107">
        <v>0.6</v>
      </c>
      <c r="D268" s="107">
        <v>0.6</v>
      </c>
      <c r="E268" s="68">
        <f>A268</f>
        <v>2</v>
      </c>
      <c r="F268" s="108">
        <f>(3.14*(C268/2)^2)*E268</f>
        <v>0.56520000000000004</v>
      </c>
      <c r="I268" s="104"/>
      <c r="J268" s="104"/>
      <c r="K268" s="104"/>
      <c r="L268" s="136"/>
    </row>
    <row r="269" spans="1:12" s="105" customFormat="1" ht="48.75" customHeight="1">
      <c r="A269" s="385" t="s">
        <v>233</v>
      </c>
      <c r="B269" s="386"/>
      <c r="C269" s="385" t="s">
        <v>100</v>
      </c>
      <c r="D269" s="386"/>
      <c r="E269" s="380" t="s">
        <v>99</v>
      </c>
      <c r="F269" s="380" t="s">
        <v>98</v>
      </c>
      <c r="I269" s="104"/>
      <c r="J269" s="104"/>
      <c r="K269" s="104"/>
      <c r="L269" s="136"/>
    </row>
    <row r="270" spans="1:12" s="105" customFormat="1" ht="16.2">
      <c r="A270" s="93" t="s">
        <v>95</v>
      </c>
      <c r="B270" s="93" t="s">
        <v>96</v>
      </c>
      <c r="C270" s="93" t="s">
        <v>97</v>
      </c>
      <c r="D270" s="106" t="s">
        <v>97</v>
      </c>
      <c r="E270" s="381"/>
      <c r="F270" s="381"/>
      <c r="I270" s="104"/>
      <c r="J270" s="104"/>
      <c r="K270" s="104"/>
      <c r="L270" s="136"/>
    </row>
    <row r="271" spans="1:12" s="105" customFormat="1" ht="16.8" thickBot="1">
      <c r="A271" s="286">
        <v>4</v>
      </c>
      <c r="B271" s="286" t="s">
        <v>13</v>
      </c>
      <c r="C271" s="287">
        <v>0.5</v>
      </c>
      <c r="D271" s="287">
        <v>0.5</v>
      </c>
      <c r="E271" s="68">
        <f>A271</f>
        <v>4</v>
      </c>
      <c r="F271" s="288">
        <f>(C271*D271)*E271</f>
        <v>1</v>
      </c>
      <c r="I271" s="104"/>
      <c r="J271" s="104"/>
      <c r="K271" s="104"/>
      <c r="L271" s="136"/>
    </row>
    <row r="272" spans="1:12" s="105" customFormat="1" ht="16.8" thickBot="1">
      <c r="A272" s="378" t="s">
        <v>304</v>
      </c>
      <c r="B272" s="379"/>
      <c r="C272" s="379"/>
      <c r="D272" s="379"/>
      <c r="E272" s="289">
        <f>E271+E268+E265+E262</f>
        <v>9</v>
      </c>
      <c r="F272" s="289">
        <f>F271+F268+F265+F262</f>
        <v>2.15395</v>
      </c>
      <c r="I272" s="104"/>
      <c r="J272" s="104"/>
      <c r="K272" s="104"/>
      <c r="L272" s="136"/>
    </row>
    <row r="273" spans="1:12" s="105" customFormat="1" ht="16.2">
      <c r="A273" s="171"/>
      <c r="B273" s="140"/>
      <c r="C273" s="141"/>
      <c r="D273" s="141"/>
      <c r="E273" s="140"/>
      <c r="F273" s="142"/>
      <c r="I273" s="104"/>
      <c r="J273" s="104"/>
      <c r="K273" s="104"/>
      <c r="L273" s="136"/>
    </row>
    <row r="274" spans="1:12" s="105" customFormat="1" ht="16.2">
      <c r="A274" s="171"/>
      <c r="B274" s="140"/>
      <c r="C274" s="140"/>
      <c r="D274" s="140"/>
      <c r="E274" s="141"/>
      <c r="F274" s="141"/>
      <c r="G274" s="140"/>
      <c r="H274" s="142"/>
      <c r="L274" s="137"/>
    </row>
    <row r="275" spans="1:12" s="57" customFormat="1" ht="18.75" customHeight="1">
      <c r="A275" s="119" t="str">
        <f>'Planilha Orcamentária'!A44</f>
        <v>5.5</v>
      </c>
      <c r="B275" s="70" t="s">
        <v>367</v>
      </c>
      <c r="C275" s="374" t="str">
        <f>'Planilha Orcamentária'!D44</f>
        <v>PINTURA DE SETAS E ZEBRADOS COM TINTA ACRÍLICA - ESPESSURA DE 0,6MM</v>
      </c>
      <c r="D275" s="374"/>
      <c r="E275" s="374"/>
      <c r="F275" s="374"/>
      <c r="G275" s="374"/>
      <c r="H275" s="374"/>
      <c r="I275" s="374"/>
      <c r="J275" s="374"/>
      <c r="K275" s="374"/>
      <c r="L275" s="375"/>
    </row>
    <row r="276" spans="1:12" s="105" customFormat="1" ht="16.2">
      <c r="A276" s="140"/>
      <c r="B276" s="140"/>
      <c r="C276" s="140"/>
      <c r="D276" s="140"/>
      <c r="E276" s="141"/>
      <c r="F276" s="141"/>
      <c r="G276" s="140"/>
      <c r="H276" s="142"/>
    </row>
    <row r="277" spans="1:12" s="105" customFormat="1" ht="16.2" customHeight="1">
      <c r="A277" s="68" t="s">
        <v>146</v>
      </c>
      <c r="B277" s="93" t="s">
        <v>95</v>
      </c>
      <c r="C277" s="145" t="s">
        <v>147</v>
      </c>
      <c r="D277" s="145" t="s">
        <v>148</v>
      </c>
      <c r="E277" s="141"/>
      <c r="F277" s="141"/>
      <c r="G277" s="140"/>
      <c r="H277" s="142"/>
    </row>
    <row r="278" spans="1:12" s="105" customFormat="1" ht="16.2">
      <c r="A278" s="68" t="s">
        <v>149</v>
      </c>
      <c r="B278" s="68">
        <v>2</v>
      </c>
      <c r="C278" s="108">
        <v>2.2000000000000002</v>
      </c>
      <c r="D278" s="108">
        <f>B278*C278</f>
        <v>4.4000000000000004</v>
      </c>
      <c r="E278" s="141"/>
      <c r="F278" s="141"/>
      <c r="G278" s="140"/>
      <c r="H278" s="142"/>
    </row>
    <row r="279" spans="1:12" s="105" customFormat="1" ht="16.2">
      <c r="A279" s="68" t="s">
        <v>150</v>
      </c>
      <c r="B279" s="68">
        <v>4</v>
      </c>
      <c r="C279" s="108">
        <v>1.21</v>
      </c>
      <c r="D279" s="108">
        <f t="shared" ref="D279:D280" si="8">B279*C279</f>
        <v>4.84</v>
      </c>
      <c r="E279" s="141"/>
      <c r="F279" s="141"/>
      <c r="G279" s="140"/>
      <c r="H279" s="142"/>
    </row>
    <row r="280" spans="1:12" s="105" customFormat="1" ht="24">
      <c r="A280" s="68" t="s">
        <v>151</v>
      </c>
      <c r="B280" s="68">
        <v>1</v>
      </c>
      <c r="C280" s="108">
        <v>2.2000000000000002</v>
      </c>
      <c r="D280" s="108">
        <f t="shared" si="8"/>
        <v>2.2000000000000002</v>
      </c>
      <c r="E280" s="141"/>
      <c r="F280" s="141"/>
      <c r="G280" s="140"/>
      <c r="H280" s="142"/>
    </row>
    <row r="281" spans="1:12" s="105" customFormat="1" ht="16.2">
      <c r="A281" s="68" t="s">
        <v>243</v>
      </c>
      <c r="B281" s="68">
        <v>1</v>
      </c>
      <c r="C281" s="108">
        <v>10.63</v>
      </c>
      <c r="D281" s="108">
        <f t="shared" ref="D281" si="9">B281*C281</f>
        <v>10.63</v>
      </c>
      <c r="E281" s="141"/>
      <c r="F281" s="141"/>
      <c r="G281" s="140"/>
      <c r="H281" s="142"/>
    </row>
    <row r="282" spans="1:12" s="105" customFormat="1" ht="16.2">
      <c r="A282" s="68" t="s">
        <v>244</v>
      </c>
      <c r="B282" s="68">
        <v>1</v>
      </c>
      <c r="C282" s="108">
        <v>12.34</v>
      </c>
      <c r="D282" s="108">
        <f t="shared" ref="D282:D283" si="10">B282*C282</f>
        <v>12.34</v>
      </c>
      <c r="E282" s="141"/>
      <c r="F282" s="141"/>
      <c r="G282" s="140"/>
      <c r="H282" s="142"/>
    </row>
    <row r="283" spans="1:12" s="105" customFormat="1" ht="16.2">
      <c r="A283" s="68" t="s">
        <v>245</v>
      </c>
      <c r="B283" s="68">
        <v>1</v>
      </c>
      <c r="C283" s="108">
        <v>12.14</v>
      </c>
      <c r="D283" s="108">
        <f t="shared" si="10"/>
        <v>12.14</v>
      </c>
      <c r="E283" s="141"/>
      <c r="F283" s="141"/>
      <c r="G283" s="140"/>
      <c r="H283" s="142"/>
    </row>
    <row r="284" spans="1:12" s="105" customFormat="1" ht="16.2">
      <c r="A284" s="68" t="s">
        <v>246</v>
      </c>
      <c r="B284" s="68">
        <v>1</v>
      </c>
      <c r="C284" s="108">
        <v>14.98</v>
      </c>
      <c r="D284" s="108">
        <f t="shared" ref="D284" si="11">B284*C284</f>
        <v>14.98</v>
      </c>
      <c r="E284" s="141"/>
      <c r="F284" s="141"/>
      <c r="G284" s="140"/>
      <c r="H284" s="142"/>
    </row>
    <row r="285" spans="1:12" s="105" customFormat="1" ht="16.2">
      <c r="A285" s="388" t="s">
        <v>25</v>
      </c>
      <c r="B285" s="388"/>
      <c r="C285" s="388"/>
      <c r="D285" s="108">
        <f>SUM(D278:D284)</f>
        <v>61.53</v>
      </c>
      <c r="E285" s="141"/>
      <c r="F285" s="141"/>
      <c r="G285" s="140"/>
      <c r="H285" s="142"/>
    </row>
    <row r="286" spans="1:12" s="105" customFormat="1" ht="16.2">
      <c r="A286" s="140"/>
      <c r="B286" s="140"/>
      <c r="C286" s="140"/>
      <c r="D286" s="140"/>
      <c r="E286" s="141"/>
      <c r="F286" s="141"/>
      <c r="G286" s="140"/>
      <c r="H286" s="142"/>
    </row>
    <row r="287" spans="1:12" s="46" customFormat="1" ht="23.25" customHeight="1">
      <c r="A287" s="119" t="str">
        <f>'Planilha Orcamentária'!A45</f>
        <v>6.0</v>
      </c>
      <c r="B287" s="70"/>
      <c r="C287" s="374" t="str">
        <f>'Planilha Orcamentária'!D45</f>
        <v>URBANIZAÇÃO</v>
      </c>
      <c r="D287" s="374"/>
      <c r="E287" s="374"/>
      <c r="F287" s="374"/>
      <c r="G287" s="374"/>
      <c r="H287" s="374"/>
      <c r="I287" s="374"/>
      <c r="J287" s="374"/>
      <c r="K287" s="374"/>
      <c r="L287" s="375"/>
    </row>
    <row r="288" spans="1:12" s="57" customFormat="1" ht="16.2">
      <c r="A288" s="133"/>
      <c r="B288" s="109"/>
      <c r="C288" s="109"/>
      <c r="D288" s="109"/>
      <c r="E288" s="109"/>
      <c r="F288" s="109"/>
      <c r="G288" s="109"/>
      <c r="H288" s="109"/>
      <c r="I288" s="109"/>
      <c r="J288" s="109"/>
      <c r="K288" s="109"/>
      <c r="L288" s="134"/>
    </row>
    <row r="289" spans="1:12" s="71" customFormat="1" ht="33" customHeight="1">
      <c r="A289" s="119" t="str">
        <f>'Planilha Orcamentária'!A46</f>
        <v>6.1</v>
      </c>
      <c r="B289" s="70" t="s">
        <v>127</v>
      </c>
      <c r="C289" s="374" t="str">
        <f>'Planilha Orcamentária'!D46</f>
        <v>ALVENARIA DE BLOCO DE CONCRETO CHEIO SEM ARMAÇÃO, EM CONCRETO COM FCK 15MPA , ESP. 9CM, PARA REVESTIMENTO, INCLUSIVE ARGAMASSA PARA ASSENTAMENTO (DETALHE D - CADERNO SEDS)</v>
      </c>
      <c r="D289" s="374"/>
      <c r="E289" s="374"/>
      <c r="F289" s="374"/>
      <c r="G289" s="374"/>
      <c r="H289" s="374"/>
      <c r="I289" s="374"/>
      <c r="J289" s="374"/>
      <c r="K289" s="374"/>
      <c r="L289" s="375"/>
    </row>
    <row r="290" spans="1:12" s="105" customFormat="1" ht="16.2">
      <c r="A290" s="140"/>
      <c r="B290" s="140"/>
      <c r="C290" s="140"/>
      <c r="D290" s="140"/>
      <c r="E290" s="141"/>
      <c r="F290" s="141"/>
      <c r="G290" s="140"/>
      <c r="H290" s="142"/>
    </row>
    <row r="291" spans="1:12" s="105" customFormat="1" ht="16.2" customHeight="1">
      <c r="A291" s="370" t="s">
        <v>137</v>
      </c>
      <c r="B291" s="370"/>
      <c r="C291" s="370"/>
      <c r="D291" s="140"/>
      <c r="E291" s="141"/>
      <c r="F291" s="141"/>
      <c r="G291" s="140"/>
      <c r="H291" s="142"/>
    </row>
    <row r="292" spans="1:12" s="63" customFormat="1" ht="15" customHeight="1">
      <c r="A292" s="377" t="s">
        <v>133</v>
      </c>
      <c r="B292" s="377" t="s">
        <v>135</v>
      </c>
      <c r="C292" s="377" t="s">
        <v>136</v>
      </c>
      <c r="D292" s="62"/>
      <c r="E292" s="62"/>
      <c r="F292" s="62"/>
      <c r="G292" s="62"/>
      <c r="H292" s="62"/>
      <c r="I292" s="62"/>
      <c r="J292" s="62"/>
      <c r="K292" s="62"/>
      <c r="L292" s="130"/>
    </row>
    <row r="293" spans="1:12" s="63" customFormat="1" ht="15" customHeight="1">
      <c r="A293" s="377"/>
      <c r="B293" s="377"/>
      <c r="C293" s="377"/>
      <c r="D293" s="62"/>
      <c r="E293" s="62"/>
      <c r="F293" s="62"/>
      <c r="G293" s="62"/>
      <c r="H293" s="62"/>
      <c r="I293" s="62"/>
      <c r="J293" s="62"/>
      <c r="K293" s="62"/>
      <c r="L293" s="130"/>
    </row>
    <row r="294" spans="1:12" s="63" customFormat="1" ht="15" customHeight="1">
      <c r="A294" s="377" t="s">
        <v>138</v>
      </c>
      <c r="B294" s="377"/>
      <c r="C294" s="377"/>
      <c r="D294" s="62"/>
      <c r="E294" s="62"/>
      <c r="F294" s="62"/>
      <c r="G294" s="62"/>
      <c r="H294" s="62"/>
      <c r="I294" s="62"/>
      <c r="J294" s="62"/>
      <c r="K294" s="62"/>
      <c r="L294" s="130"/>
    </row>
    <row r="295" spans="1:12" s="63" customFormat="1" ht="15" customHeight="1">
      <c r="A295" s="68">
        <f>12.4+28.15+5.6+4.4+9+8.15+5+4.4</f>
        <v>77.100000000000009</v>
      </c>
      <c r="B295" s="68">
        <v>0.6</v>
      </c>
      <c r="C295" s="68">
        <f>B295*A295</f>
        <v>46.260000000000005</v>
      </c>
      <c r="D295" s="62"/>
      <c r="E295" s="62"/>
      <c r="F295" s="62"/>
      <c r="G295" s="62"/>
      <c r="H295" s="62"/>
      <c r="I295" s="62"/>
      <c r="J295" s="62"/>
      <c r="K295" s="62"/>
      <c r="L295" s="130"/>
    </row>
    <row r="296" spans="1:12" s="63" customFormat="1" ht="15" customHeight="1">
      <c r="A296" s="377" t="s">
        <v>153</v>
      </c>
      <c r="B296" s="377"/>
      <c r="C296" s="377"/>
      <c r="D296" s="62"/>
      <c r="E296" s="62"/>
      <c r="F296" s="62"/>
      <c r="G296" s="62"/>
      <c r="H296" s="62"/>
      <c r="I296" s="62"/>
      <c r="J296" s="62"/>
      <c r="K296" s="62"/>
      <c r="L296" s="130"/>
    </row>
    <row r="297" spans="1:12" s="63" customFormat="1" ht="15" customHeight="1">
      <c r="A297" s="68">
        <f>(5.8+1.3+5.85+1.85+1.3+2.3)+(2*(9.75+5.65+8.15+7.2+4.7))</f>
        <v>89.300000000000011</v>
      </c>
      <c r="B297" s="68">
        <f>B295</f>
        <v>0.6</v>
      </c>
      <c r="C297" s="68">
        <f t="shared" ref="C297" si="12">B297*A297</f>
        <v>53.580000000000005</v>
      </c>
      <c r="D297" s="62"/>
      <c r="E297" s="62"/>
      <c r="F297" s="62"/>
      <c r="G297" s="62"/>
      <c r="H297" s="62"/>
      <c r="I297" s="62"/>
      <c r="J297" s="62"/>
      <c r="K297" s="62"/>
      <c r="L297" s="130"/>
    </row>
    <row r="298" spans="1:12" s="63" customFormat="1" ht="15" customHeight="1">
      <c r="A298" s="377" t="s">
        <v>154</v>
      </c>
      <c r="B298" s="377"/>
      <c r="C298" s="377"/>
      <c r="D298" s="62"/>
      <c r="E298" s="62"/>
      <c r="F298" s="62"/>
      <c r="G298" s="62"/>
      <c r="H298" s="62"/>
      <c r="I298" s="62"/>
      <c r="J298" s="62"/>
      <c r="K298" s="62"/>
      <c r="L298" s="130"/>
    </row>
    <row r="299" spans="1:12" s="63" customFormat="1" ht="15" customHeight="1">
      <c r="A299" s="68">
        <f>2+5.2+0.75+4.75</f>
        <v>12.7</v>
      </c>
      <c r="B299" s="68">
        <f>B295</f>
        <v>0.6</v>
      </c>
      <c r="C299" s="68">
        <f t="shared" ref="C299" si="13">B299*A299</f>
        <v>7.6199999999999992</v>
      </c>
      <c r="D299" s="62"/>
      <c r="E299" s="62"/>
      <c r="F299" s="62"/>
      <c r="G299" s="62"/>
      <c r="H299" s="62"/>
      <c r="I299" s="62"/>
      <c r="J299" s="62"/>
      <c r="K299" s="62"/>
      <c r="L299" s="130"/>
    </row>
    <row r="300" spans="1:12" s="63" customFormat="1" ht="15" customHeight="1">
      <c r="A300" s="377" t="s">
        <v>231</v>
      </c>
      <c r="B300" s="377"/>
      <c r="C300" s="377"/>
      <c r="D300" s="62"/>
      <c r="E300" s="62"/>
      <c r="F300" s="62"/>
      <c r="G300" s="62"/>
      <c r="H300" s="62"/>
      <c r="I300" s="62"/>
      <c r="J300" s="62"/>
      <c r="K300" s="62"/>
      <c r="L300" s="130"/>
    </row>
    <row r="301" spans="1:12" s="63" customFormat="1" ht="15" customHeight="1">
      <c r="A301" s="68">
        <f>0.9+7.05+7.2+2</f>
        <v>17.149999999999999</v>
      </c>
      <c r="B301" s="68">
        <f>B297</f>
        <v>0.6</v>
      </c>
      <c r="C301" s="68">
        <f t="shared" ref="C301" si="14">B301*A301</f>
        <v>10.29</v>
      </c>
      <c r="D301" s="62"/>
      <c r="E301" s="62"/>
      <c r="F301" s="62"/>
      <c r="G301" s="62"/>
      <c r="H301" s="62"/>
      <c r="I301" s="62"/>
      <c r="J301" s="62"/>
      <c r="K301" s="62"/>
      <c r="L301" s="130"/>
    </row>
    <row r="302" spans="1:12" s="63" customFormat="1" ht="15" customHeight="1">
      <c r="A302" s="377" t="s">
        <v>235</v>
      </c>
      <c r="B302" s="377"/>
      <c r="C302" s="377"/>
      <c r="D302" s="62"/>
      <c r="E302" s="62"/>
      <c r="F302" s="62"/>
      <c r="G302" s="62"/>
      <c r="H302" s="62"/>
      <c r="I302" s="62"/>
      <c r="J302" s="62"/>
      <c r="K302" s="62"/>
      <c r="L302" s="130"/>
    </row>
    <row r="303" spans="1:12" s="63" customFormat="1" ht="15" customHeight="1">
      <c r="A303" s="68">
        <f>2+2+(2*(7.6+6.85+8.4+3.1+7.8+10.5+7.15+9.1+4.3+8.65))</f>
        <v>150.9</v>
      </c>
      <c r="B303" s="68">
        <f>B299</f>
        <v>0.6</v>
      </c>
      <c r="C303" s="68">
        <f t="shared" ref="C303" si="15">B303*A303</f>
        <v>90.54</v>
      </c>
      <c r="D303" s="62"/>
      <c r="E303" s="62"/>
      <c r="F303" s="62"/>
      <c r="G303" s="62"/>
      <c r="H303" s="62"/>
      <c r="I303" s="62"/>
      <c r="J303" s="62"/>
      <c r="K303" s="62"/>
      <c r="L303" s="130"/>
    </row>
    <row r="304" spans="1:12" s="63" customFormat="1" ht="15" customHeight="1">
      <c r="A304" s="377" t="s">
        <v>236</v>
      </c>
      <c r="B304" s="377"/>
      <c r="C304" s="377"/>
      <c r="D304" s="62"/>
      <c r="E304" s="62"/>
      <c r="F304" s="62"/>
      <c r="G304" s="62"/>
      <c r="H304" s="62"/>
      <c r="I304" s="62"/>
      <c r="J304" s="62"/>
      <c r="K304" s="62"/>
      <c r="L304" s="130"/>
    </row>
    <row r="305" spans="1:12" s="63" customFormat="1" ht="15" customHeight="1">
      <c r="A305" s="68">
        <f>2+2+(2*(8.05+7+2.85+9+2.4+5.85+10.5+6.9+8.8+4.05+8.3))</f>
        <v>151.39999999999998</v>
      </c>
      <c r="B305" s="68">
        <f>B301</f>
        <v>0.6</v>
      </c>
      <c r="C305" s="68">
        <f t="shared" ref="C305" si="16">B305*A305</f>
        <v>90.839999999999989</v>
      </c>
      <c r="D305" s="62"/>
      <c r="E305" s="62"/>
      <c r="F305" s="62"/>
      <c r="G305" s="62"/>
      <c r="H305" s="62"/>
      <c r="I305" s="62"/>
      <c r="J305" s="62"/>
      <c r="K305" s="62"/>
      <c r="L305" s="130"/>
    </row>
    <row r="306" spans="1:12" s="63" customFormat="1" ht="15" customHeight="1">
      <c r="A306" s="377" t="s">
        <v>237</v>
      </c>
      <c r="B306" s="377"/>
      <c r="C306" s="377"/>
      <c r="D306" s="62"/>
      <c r="E306" s="62"/>
      <c r="F306" s="62"/>
      <c r="G306" s="62"/>
      <c r="H306" s="62"/>
      <c r="I306" s="62"/>
      <c r="J306" s="62"/>
      <c r="K306" s="62"/>
      <c r="L306" s="130"/>
    </row>
    <row r="307" spans="1:12" s="63" customFormat="1" ht="15" customHeight="1">
      <c r="A307" s="68">
        <f>2+4.3+4.3+3.2</f>
        <v>13.8</v>
      </c>
      <c r="B307" s="68">
        <f>B303</f>
        <v>0.6</v>
      </c>
      <c r="C307" s="68">
        <f t="shared" ref="C307" si="17">B307*A307</f>
        <v>8.2799999999999994</v>
      </c>
      <c r="D307" s="62"/>
      <c r="E307" s="62"/>
      <c r="F307" s="62"/>
      <c r="G307" s="62"/>
      <c r="H307" s="62"/>
      <c r="I307" s="62"/>
      <c r="J307" s="62"/>
      <c r="K307" s="62"/>
      <c r="L307" s="130"/>
    </row>
    <row r="308" spans="1:12" s="63" customFormat="1" ht="15" customHeight="1">
      <c r="A308" s="377" t="s">
        <v>238</v>
      </c>
      <c r="B308" s="377"/>
      <c r="C308" s="377"/>
      <c r="D308" s="62"/>
      <c r="E308" s="62"/>
      <c r="F308" s="62"/>
      <c r="G308" s="62"/>
      <c r="H308" s="62"/>
      <c r="I308" s="62"/>
      <c r="J308" s="62"/>
      <c r="K308" s="62"/>
      <c r="L308" s="130"/>
    </row>
    <row r="309" spans="1:12" s="63" customFormat="1" ht="15" customHeight="1">
      <c r="A309" s="68">
        <f>3.5+5.85+6.1+0.7</f>
        <v>16.149999999999999</v>
      </c>
      <c r="B309" s="68">
        <f>B305</f>
        <v>0.6</v>
      </c>
      <c r="C309" s="68">
        <f t="shared" ref="C309" si="18">B309*A309</f>
        <v>9.69</v>
      </c>
      <c r="D309" s="62"/>
      <c r="E309" s="62"/>
      <c r="F309" s="62"/>
      <c r="G309" s="62"/>
      <c r="H309" s="62"/>
      <c r="I309" s="62"/>
      <c r="J309" s="62"/>
      <c r="K309" s="62"/>
      <c r="L309" s="130"/>
    </row>
    <row r="310" spans="1:12" s="63" customFormat="1" ht="15" customHeight="1">
      <c r="A310" s="377" t="s">
        <v>134</v>
      </c>
      <c r="B310" s="377"/>
      <c r="C310" s="198">
        <f>SUM(C295:C309)</f>
        <v>317.09999999999997</v>
      </c>
      <c r="D310" s="62"/>
      <c r="E310" s="62"/>
      <c r="F310" s="62"/>
      <c r="G310" s="62"/>
      <c r="H310" s="62"/>
      <c r="I310" s="62"/>
      <c r="J310" s="62"/>
      <c r="K310" s="62"/>
      <c r="L310" s="130"/>
    </row>
    <row r="311" spans="1:12" s="105" customFormat="1" ht="16.2">
      <c r="A311" s="140"/>
      <c r="B311" s="140"/>
      <c r="C311" s="140"/>
      <c r="D311" s="140"/>
      <c r="E311" s="141"/>
      <c r="F311" s="141"/>
      <c r="G311" s="140"/>
      <c r="H311" s="142"/>
    </row>
    <row r="312" spans="1:12" s="71" customFormat="1" ht="33" customHeight="1">
      <c r="A312" s="119" t="str">
        <f>'Planilha Orcamentária'!A47</f>
        <v>6.2</v>
      </c>
      <c r="B312" s="70" t="s">
        <v>129</v>
      </c>
      <c r="C312" s="374" t="str">
        <f>'Planilha Orcamentária'!D47</f>
        <v>CHAPISCO COM ARGAMASSA, TRAÇO 1:3 (CIMENTO E AREIA), ESP . 5MM, APLICADO EM ALVENARIA/ESTRUTURA DE CONCRETO COM COLHER, INCLUSIVE ARGAMASSA COM PREPARO MECANIZADO</v>
      </c>
      <c r="D312" s="374"/>
      <c r="E312" s="374"/>
      <c r="F312" s="374"/>
      <c r="G312" s="374"/>
      <c r="H312" s="374"/>
      <c r="I312" s="374"/>
      <c r="J312" s="374"/>
      <c r="K312" s="374"/>
      <c r="L312" s="375"/>
    </row>
    <row r="313" spans="1:12" s="105" customFormat="1" ht="16.2">
      <c r="A313" s="140"/>
      <c r="B313" s="140"/>
      <c r="C313" s="140"/>
      <c r="D313" s="140"/>
      <c r="E313" s="141"/>
      <c r="F313" s="141"/>
      <c r="G313" s="140"/>
      <c r="H313" s="142"/>
    </row>
    <row r="314" spans="1:12" s="57" customFormat="1" ht="18.75" customHeight="1">
      <c r="A314" s="119" t="str">
        <f>'Planilha Orcamentária'!A48</f>
        <v>6.3</v>
      </c>
      <c r="B314" s="70" t="s">
        <v>130</v>
      </c>
      <c r="C314" s="374" t="str">
        <f>'Planilha Orcamentária'!D48</f>
        <v>EMBOÇO COM ARGAMASSA, TRAÇO 1:6 (CIMENTO E AREIA), ESP. 20MM, APLICAÇÃO MANUAL, INCLUSIVE ARGAMASSA COM PREPARO MECANIZADO, EXCLUSIVE CHAPISCO</v>
      </c>
      <c r="D314" s="374"/>
      <c r="E314" s="374"/>
      <c r="F314" s="374"/>
      <c r="G314" s="374"/>
      <c r="H314" s="374"/>
      <c r="I314" s="374"/>
      <c r="J314" s="374"/>
      <c r="K314" s="374"/>
      <c r="L314" s="375"/>
    </row>
    <row r="315" spans="1:12" s="105" customFormat="1" ht="16.2">
      <c r="A315" s="140"/>
      <c r="B315" s="140"/>
      <c r="C315" s="140"/>
      <c r="D315" s="140"/>
      <c r="E315" s="141"/>
      <c r="F315" s="141"/>
      <c r="G315" s="140"/>
      <c r="H315" s="142"/>
    </row>
    <row r="316" spans="1:12" s="57" customFormat="1" ht="18.75" customHeight="1">
      <c r="A316" s="119" t="str">
        <f>'Planilha Orcamentária'!A49</f>
        <v>6.4</v>
      </c>
      <c r="B316" s="70" t="s">
        <v>155</v>
      </c>
      <c r="C316" s="374" t="str">
        <f>'Planilha Orcamentária'!D49</f>
        <v>PREPARAÇÃO PARA EMASSAMENTO OU PINTURA (LÁTEX/ ACRÍLICA) EM PAREDE, INCLUSIVE UMA (1) DEMÃO DE SELADOR ACRÍLICO</v>
      </c>
      <c r="D316" s="374"/>
      <c r="E316" s="374"/>
      <c r="F316" s="374"/>
      <c r="G316" s="374"/>
      <c r="H316" s="374"/>
      <c r="I316" s="374"/>
      <c r="J316" s="374"/>
      <c r="K316" s="374"/>
      <c r="L316" s="375"/>
    </row>
    <row r="317" spans="1:12" s="105" customFormat="1" ht="16.2">
      <c r="A317" s="140"/>
      <c r="B317" s="140"/>
      <c r="C317" s="140"/>
      <c r="D317" s="140"/>
      <c r="E317" s="141"/>
      <c r="F317" s="141"/>
      <c r="G317" s="140"/>
      <c r="H317" s="142"/>
    </row>
    <row r="318" spans="1:12" s="57" customFormat="1" ht="18.75" customHeight="1">
      <c r="A318" s="119" t="str">
        <f>'Planilha Orcamentária'!A50</f>
        <v>6.5</v>
      </c>
      <c r="B318" s="70" t="s">
        <v>157</v>
      </c>
      <c r="C318" s="374" t="str">
        <f>'Planilha Orcamentária'!D50</f>
        <v>PINTURA LÁTEX (PVA) EM PAREDE, DUAS (2) DEMÃOS, EXCLUSIVE SELADOR ACRÍLICO E MASSA ACRÍLICA/CORRIDA (PVA)</v>
      </c>
      <c r="D318" s="374"/>
      <c r="E318" s="374"/>
      <c r="F318" s="374"/>
      <c r="G318" s="374"/>
      <c r="H318" s="374"/>
      <c r="I318" s="374"/>
      <c r="J318" s="374"/>
      <c r="K318" s="374"/>
      <c r="L318" s="375"/>
    </row>
    <row r="319" spans="1:12" s="105" customFormat="1" ht="16.2">
      <c r="A319" s="140"/>
      <c r="B319" s="140"/>
      <c r="C319" s="140"/>
      <c r="D319" s="140"/>
      <c r="E319" s="141"/>
      <c r="F319" s="141"/>
      <c r="G319" s="140"/>
      <c r="H319" s="142"/>
    </row>
    <row r="320" spans="1:12" s="105" customFormat="1" ht="16.2" customHeight="1">
      <c r="A320" s="370" t="s">
        <v>158</v>
      </c>
      <c r="B320" s="370"/>
      <c r="C320" s="370"/>
      <c r="D320" s="140"/>
      <c r="E320" s="141"/>
      <c r="F320" s="141"/>
      <c r="G320" s="140"/>
      <c r="H320" s="142"/>
    </row>
    <row r="321" spans="1:12" s="63" customFormat="1" ht="15" customHeight="1">
      <c r="A321" s="377" t="s">
        <v>133</v>
      </c>
      <c r="B321" s="377" t="s">
        <v>135</v>
      </c>
      <c r="C321" s="377" t="s">
        <v>139</v>
      </c>
      <c r="D321" s="62"/>
      <c r="E321" s="62"/>
      <c r="F321" s="62"/>
      <c r="G321" s="62"/>
      <c r="H321" s="62"/>
      <c r="I321" s="62"/>
      <c r="J321" s="62"/>
      <c r="K321" s="62"/>
      <c r="L321" s="130"/>
    </row>
    <row r="322" spans="1:12" s="63" customFormat="1" ht="22.2" customHeight="1">
      <c r="A322" s="377"/>
      <c r="B322" s="377"/>
      <c r="C322" s="377"/>
      <c r="D322" s="62"/>
      <c r="E322" s="62"/>
      <c r="F322" s="62"/>
      <c r="G322" s="62"/>
      <c r="H322" s="62"/>
      <c r="I322" s="62"/>
      <c r="J322" s="62"/>
      <c r="K322" s="62"/>
      <c r="L322" s="130"/>
    </row>
    <row r="323" spans="1:12" s="63" customFormat="1" ht="15" customHeight="1">
      <c r="A323" s="377" t="s">
        <v>138</v>
      </c>
      <c r="B323" s="377"/>
      <c r="C323" s="377"/>
      <c r="D323" s="62"/>
      <c r="E323" s="62"/>
      <c r="F323" s="62"/>
      <c r="G323" s="62"/>
      <c r="H323" s="62"/>
      <c r="I323" s="62"/>
      <c r="J323" s="62"/>
      <c r="K323" s="62"/>
      <c r="L323" s="130"/>
    </row>
    <row r="324" spans="1:12" s="63" customFormat="1" ht="15" customHeight="1">
      <c r="A324" s="68">
        <f>12.4+28.15+5.6+4.4+9+8.15+5+4.4</f>
        <v>77.100000000000009</v>
      </c>
      <c r="B324" s="68">
        <v>0.7</v>
      </c>
      <c r="C324" s="68">
        <f>B324*A324</f>
        <v>53.970000000000006</v>
      </c>
      <c r="D324" s="62"/>
      <c r="E324" s="62"/>
      <c r="F324" s="62"/>
      <c r="G324" s="62"/>
      <c r="H324" s="62"/>
      <c r="I324" s="62"/>
      <c r="J324" s="62"/>
      <c r="K324" s="62"/>
      <c r="L324" s="130"/>
    </row>
    <row r="325" spans="1:12" s="63" customFormat="1" ht="15" customHeight="1">
      <c r="A325" s="377" t="s">
        <v>153</v>
      </c>
      <c r="B325" s="377"/>
      <c r="C325" s="377"/>
      <c r="D325" s="62"/>
      <c r="E325" s="62"/>
      <c r="F325" s="62"/>
      <c r="G325" s="62"/>
      <c r="H325" s="62"/>
      <c r="I325" s="62"/>
      <c r="J325" s="62"/>
      <c r="K325" s="62"/>
      <c r="L325" s="130"/>
    </row>
    <row r="326" spans="1:12" s="63" customFormat="1" ht="15" customHeight="1">
      <c r="A326" s="68">
        <f>(5.8+1.3+5.85+1.85+1.3+2.3)+(2*(9.75+5.65+8.15+7.2+4.7))</f>
        <v>89.300000000000011</v>
      </c>
      <c r="B326" s="68">
        <f>B324</f>
        <v>0.7</v>
      </c>
      <c r="C326" s="68">
        <f t="shared" ref="C326" si="19">B326*A326</f>
        <v>62.510000000000005</v>
      </c>
      <c r="D326" s="62"/>
      <c r="E326" s="62"/>
      <c r="F326" s="62"/>
      <c r="G326" s="62"/>
      <c r="H326" s="62"/>
      <c r="I326" s="62"/>
      <c r="J326" s="62"/>
      <c r="K326" s="62"/>
      <c r="L326" s="130"/>
    </row>
    <row r="327" spans="1:12" s="63" customFormat="1" ht="15" customHeight="1">
      <c r="A327" s="377" t="s">
        <v>154</v>
      </c>
      <c r="B327" s="377"/>
      <c r="C327" s="377"/>
      <c r="D327" s="62"/>
      <c r="E327" s="62"/>
      <c r="F327" s="62"/>
      <c r="G327" s="62"/>
      <c r="H327" s="62"/>
      <c r="I327" s="62"/>
      <c r="J327" s="62"/>
      <c r="K327" s="62"/>
      <c r="L327" s="130"/>
    </row>
    <row r="328" spans="1:12" s="63" customFormat="1" ht="15" customHeight="1">
      <c r="A328" s="68">
        <f>2+5.2+0.75+4.75</f>
        <v>12.7</v>
      </c>
      <c r="B328" s="68">
        <f>B324</f>
        <v>0.7</v>
      </c>
      <c r="C328" s="68">
        <f t="shared" ref="C328" si="20">B328*A328</f>
        <v>8.8899999999999988</v>
      </c>
      <c r="D328" s="62"/>
      <c r="E328" s="62"/>
      <c r="F328" s="62"/>
      <c r="G328" s="62"/>
      <c r="H328" s="62"/>
      <c r="I328" s="62"/>
      <c r="J328" s="62"/>
      <c r="K328" s="62"/>
      <c r="L328" s="130"/>
    </row>
    <row r="329" spans="1:12" s="63" customFormat="1" ht="15" customHeight="1">
      <c r="A329" s="377" t="s">
        <v>231</v>
      </c>
      <c r="B329" s="377"/>
      <c r="C329" s="377"/>
      <c r="D329" s="62"/>
      <c r="E329" s="62"/>
      <c r="F329" s="62"/>
      <c r="G329" s="62"/>
      <c r="H329" s="62"/>
      <c r="I329" s="62"/>
      <c r="J329" s="62"/>
      <c r="K329" s="62"/>
      <c r="L329" s="130"/>
    </row>
    <row r="330" spans="1:12" s="63" customFormat="1" ht="15" customHeight="1">
      <c r="A330" s="68">
        <f>0.9+7.05+7.2+2</f>
        <v>17.149999999999999</v>
      </c>
      <c r="B330" s="68">
        <f>B326</f>
        <v>0.7</v>
      </c>
      <c r="C330" s="68">
        <f t="shared" ref="C330" si="21">B330*A330</f>
        <v>12.004999999999999</v>
      </c>
      <c r="D330" s="62"/>
      <c r="E330" s="62"/>
      <c r="F330" s="62"/>
      <c r="G330" s="62"/>
      <c r="H330" s="62"/>
      <c r="I330" s="62"/>
      <c r="J330" s="62"/>
      <c r="K330" s="62"/>
      <c r="L330" s="130"/>
    </row>
    <row r="331" spans="1:12" s="63" customFormat="1" ht="15" customHeight="1">
      <c r="A331" s="377" t="s">
        <v>235</v>
      </c>
      <c r="B331" s="377"/>
      <c r="C331" s="377"/>
      <c r="D331" s="62"/>
      <c r="E331" s="62"/>
      <c r="F331" s="62"/>
      <c r="G331" s="62"/>
      <c r="H331" s="62"/>
      <c r="I331" s="62"/>
      <c r="J331" s="62"/>
      <c r="K331" s="62"/>
      <c r="L331" s="130"/>
    </row>
    <row r="332" spans="1:12" s="63" customFormat="1" ht="15" customHeight="1">
      <c r="A332" s="68">
        <f>2+2+(2*(7.6+6.85+8.4+3.1+7.8+10.5+7.15+9.1+4.3+8.65))</f>
        <v>150.9</v>
      </c>
      <c r="B332" s="68">
        <f>B328</f>
        <v>0.7</v>
      </c>
      <c r="C332" s="68">
        <f t="shared" ref="C332" si="22">B332*A332</f>
        <v>105.63</v>
      </c>
      <c r="D332" s="62"/>
      <c r="E332" s="62"/>
      <c r="F332" s="62"/>
      <c r="G332" s="62"/>
      <c r="H332" s="62"/>
      <c r="I332" s="62"/>
      <c r="J332" s="62"/>
      <c r="K332" s="62"/>
      <c r="L332" s="130"/>
    </row>
    <row r="333" spans="1:12" s="63" customFormat="1" ht="15" customHeight="1">
      <c r="A333" s="377" t="s">
        <v>236</v>
      </c>
      <c r="B333" s="377"/>
      <c r="C333" s="377"/>
      <c r="D333" s="62"/>
      <c r="E333" s="62"/>
      <c r="F333" s="62"/>
      <c r="G333" s="62"/>
      <c r="H333" s="62"/>
      <c r="I333" s="62"/>
      <c r="J333" s="62"/>
      <c r="K333" s="62"/>
      <c r="L333" s="130"/>
    </row>
    <row r="334" spans="1:12" s="63" customFormat="1" ht="15" customHeight="1">
      <c r="A334" s="68">
        <f>2+2+(2*(8.05+7+2.85+9+2.4+5.85+10.5+6.9+8.8+4.05+8.3))</f>
        <v>151.39999999999998</v>
      </c>
      <c r="B334" s="68">
        <f>B330</f>
        <v>0.7</v>
      </c>
      <c r="C334" s="68">
        <f t="shared" ref="C334" si="23">B334*A334</f>
        <v>105.97999999999998</v>
      </c>
      <c r="D334" s="62"/>
      <c r="E334" s="62"/>
      <c r="F334" s="62"/>
      <c r="G334" s="62"/>
      <c r="H334" s="62"/>
      <c r="I334" s="62"/>
      <c r="J334" s="62"/>
      <c r="K334" s="62"/>
      <c r="L334" s="130"/>
    </row>
    <row r="335" spans="1:12" s="63" customFormat="1" ht="15" customHeight="1">
      <c r="A335" s="377" t="s">
        <v>237</v>
      </c>
      <c r="B335" s="377"/>
      <c r="C335" s="377"/>
      <c r="D335" s="62"/>
      <c r="E335" s="62"/>
      <c r="F335" s="62"/>
      <c r="G335" s="62"/>
      <c r="H335" s="62"/>
      <c r="I335" s="62"/>
      <c r="J335" s="62"/>
      <c r="K335" s="62"/>
      <c r="L335" s="130"/>
    </row>
    <row r="336" spans="1:12" s="63" customFormat="1" ht="15" customHeight="1">
      <c r="A336" s="68">
        <f>2+4.3+4.3+3.2</f>
        <v>13.8</v>
      </c>
      <c r="B336" s="68">
        <f>B332</f>
        <v>0.7</v>
      </c>
      <c r="C336" s="68">
        <f t="shared" ref="C336" si="24">B336*A336</f>
        <v>9.66</v>
      </c>
      <c r="D336" s="62"/>
      <c r="E336" s="62"/>
      <c r="F336" s="62"/>
      <c r="G336" s="62"/>
      <c r="H336" s="62"/>
      <c r="I336" s="62"/>
      <c r="J336" s="62"/>
      <c r="K336" s="62"/>
      <c r="L336" s="130"/>
    </row>
    <row r="337" spans="1:12" s="63" customFormat="1" ht="15" customHeight="1">
      <c r="A337" s="377" t="s">
        <v>238</v>
      </c>
      <c r="B337" s="377"/>
      <c r="C337" s="377"/>
      <c r="D337" s="62"/>
      <c r="E337" s="62"/>
      <c r="F337" s="62"/>
      <c r="G337" s="62"/>
      <c r="H337" s="62"/>
      <c r="I337" s="62"/>
      <c r="J337" s="62"/>
      <c r="K337" s="62"/>
      <c r="L337" s="130"/>
    </row>
    <row r="338" spans="1:12" s="63" customFormat="1" ht="15" customHeight="1">
      <c r="A338" s="68">
        <f>3.5+5.85+6.1+0.7</f>
        <v>16.149999999999999</v>
      </c>
      <c r="B338" s="68">
        <f>B334</f>
        <v>0.7</v>
      </c>
      <c r="C338" s="68">
        <f t="shared" ref="C338" si="25">B338*A338</f>
        <v>11.304999999999998</v>
      </c>
      <c r="D338" s="62"/>
      <c r="E338" s="62"/>
      <c r="F338" s="62"/>
      <c r="G338" s="62"/>
      <c r="H338" s="62"/>
      <c r="I338" s="62"/>
      <c r="J338" s="62"/>
      <c r="K338" s="62"/>
      <c r="L338" s="130"/>
    </row>
    <row r="339" spans="1:12" s="63" customFormat="1" ht="15" customHeight="1">
      <c r="A339" s="377" t="s">
        <v>134</v>
      </c>
      <c r="B339" s="377"/>
      <c r="C339" s="198">
        <f>SUM(C324:C338)</f>
        <v>369.95000000000005</v>
      </c>
      <c r="D339" s="62"/>
      <c r="E339" s="62"/>
      <c r="F339" s="62"/>
      <c r="G339" s="62"/>
      <c r="H339" s="62"/>
      <c r="I339" s="62"/>
      <c r="J339" s="62"/>
      <c r="K339" s="62"/>
      <c r="L339" s="130"/>
    </row>
    <row r="340" spans="1:12" ht="15" customHeight="1">
      <c r="A340" s="60"/>
      <c r="B340" s="60"/>
      <c r="D340" s="60"/>
      <c r="E340" s="60"/>
      <c r="F340" s="60"/>
      <c r="H340" s="60"/>
      <c r="I340" s="60"/>
      <c r="J340" s="61"/>
      <c r="K340" s="61"/>
      <c r="L340" s="61"/>
    </row>
    <row r="341" spans="1:12" ht="15" customHeight="1">
      <c r="A341" s="60"/>
      <c r="B341" s="60"/>
      <c r="D341" s="60"/>
      <c r="E341" s="60"/>
      <c r="F341" s="60"/>
      <c r="H341" s="60"/>
      <c r="I341" s="60"/>
      <c r="J341" s="61"/>
      <c r="K341" s="61"/>
      <c r="L341" s="61"/>
    </row>
    <row r="342" spans="1:12" ht="15" customHeight="1">
      <c r="A342" s="60"/>
      <c r="B342" s="60"/>
      <c r="D342" s="60"/>
      <c r="E342" s="60"/>
      <c r="F342" s="60"/>
      <c r="H342" s="60"/>
      <c r="I342" s="60"/>
      <c r="J342" s="61"/>
      <c r="K342" s="61"/>
      <c r="L342" s="61"/>
    </row>
    <row r="343" spans="1:12" ht="15" customHeight="1">
      <c r="A343" s="60"/>
      <c r="B343" s="60"/>
      <c r="D343" s="60"/>
      <c r="E343" s="60"/>
      <c r="F343" s="60"/>
      <c r="H343" s="60"/>
      <c r="I343" s="60"/>
      <c r="J343" s="61"/>
      <c r="K343" s="61"/>
      <c r="L343" s="61"/>
    </row>
    <row r="344" spans="1:12" ht="15" customHeight="1">
      <c r="A344" s="60"/>
      <c r="B344" s="60"/>
      <c r="D344" s="60"/>
      <c r="E344" s="60"/>
      <c r="F344" s="60"/>
      <c r="H344" s="60"/>
      <c r="I344" s="60"/>
      <c r="J344" s="61"/>
      <c r="K344" s="61"/>
      <c r="L344" s="61"/>
    </row>
    <row r="345" spans="1:12" ht="15" customHeight="1">
      <c r="A345" s="60"/>
      <c r="B345" s="60"/>
      <c r="D345" s="60"/>
      <c r="E345" s="60"/>
      <c r="F345" s="60"/>
      <c r="H345" s="60"/>
      <c r="I345" s="60"/>
      <c r="J345" s="61"/>
      <c r="K345" s="61"/>
      <c r="L345" s="61"/>
    </row>
    <row r="346" spans="1:12" ht="15" customHeight="1">
      <c r="A346" s="60"/>
      <c r="B346" s="60"/>
      <c r="D346" s="60"/>
      <c r="E346" s="60"/>
      <c r="F346" s="60"/>
      <c r="H346" s="60"/>
      <c r="I346" s="60"/>
      <c r="J346" s="61"/>
      <c r="K346" s="61"/>
      <c r="L346" s="61"/>
    </row>
    <row r="347" spans="1:12" ht="15" customHeight="1">
      <c r="A347" s="60"/>
      <c r="B347" s="60"/>
      <c r="D347" s="60"/>
      <c r="E347" s="60"/>
      <c r="F347" s="60"/>
      <c r="H347" s="60"/>
      <c r="I347" s="60"/>
      <c r="J347" s="61"/>
      <c r="K347" s="61"/>
      <c r="L347" s="61"/>
    </row>
    <row r="348" spans="1:12" ht="15" customHeight="1">
      <c r="A348" s="60"/>
      <c r="B348" s="60"/>
      <c r="D348" s="60"/>
      <c r="E348" s="60"/>
      <c r="F348" s="60"/>
      <c r="H348" s="60"/>
      <c r="I348" s="60"/>
      <c r="J348" s="61"/>
      <c r="K348" s="61"/>
      <c r="L348" s="61"/>
    </row>
    <row r="349" spans="1:12" ht="15" customHeight="1">
      <c r="A349" s="60"/>
      <c r="B349" s="60"/>
      <c r="D349" s="60"/>
      <c r="E349" s="60"/>
      <c r="F349" s="60"/>
      <c r="H349" s="60"/>
      <c r="I349" s="60"/>
      <c r="J349" s="61"/>
      <c r="K349" s="61"/>
      <c r="L349" s="61"/>
    </row>
    <row r="350" spans="1:12" ht="15" customHeight="1">
      <c r="A350" s="60"/>
      <c r="B350" s="60"/>
      <c r="D350" s="60"/>
      <c r="E350" s="60"/>
      <c r="F350" s="60"/>
      <c r="H350" s="60"/>
      <c r="I350" s="60"/>
      <c r="J350" s="61"/>
      <c r="K350" s="61"/>
      <c r="L350" s="61"/>
    </row>
    <row r="351" spans="1:12" ht="15" customHeight="1">
      <c r="A351" s="60"/>
      <c r="B351" s="60"/>
      <c r="D351" s="60"/>
      <c r="E351" s="60"/>
      <c r="F351" s="60"/>
      <c r="H351" s="60"/>
      <c r="I351" s="60"/>
      <c r="J351" s="61"/>
      <c r="K351" s="61"/>
      <c r="L351" s="61"/>
    </row>
    <row r="352" spans="1:12" ht="15" customHeight="1">
      <c r="A352" s="60"/>
      <c r="B352" s="60"/>
      <c r="D352" s="60"/>
      <c r="E352" s="60"/>
      <c r="F352" s="60"/>
      <c r="H352" s="60"/>
      <c r="I352" s="60"/>
      <c r="J352" s="61"/>
      <c r="K352" s="61"/>
      <c r="L352" s="61"/>
    </row>
    <row r="353" spans="1:12" ht="15" customHeight="1">
      <c r="A353" s="60"/>
      <c r="B353" s="60"/>
      <c r="D353" s="60"/>
      <c r="E353" s="60"/>
      <c r="F353" s="60"/>
      <c r="H353" s="60"/>
      <c r="I353" s="60"/>
      <c r="J353" s="61"/>
      <c r="K353" s="61"/>
      <c r="L353" s="61"/>
    </row>
    <row r="354" spans="1:12" ht="15" customHeight="1">
      <c r="A354" s="60"/>
      <c r="B354" s="60"/>
      <c r="D354" s="60"/>
      <c r="E354" s="60"/>
      <c r="F354" s="60"/>
      <c r="H354" s="60"/>
      <c r="I354" s="60"/>
      <c r="J354" s="61"/>
      <c r="K354" s="61"/>
      <c r="L354" s="61"/>
    </row>
    <row r="355" spans="1:12" ht="15" customHeight="1">
      <c r="A355" s="60"/>
      <c r="B355" s="60"/>
      <c r="D355" s="60"/>
      <c r="E355" s="60"/>
      <c r="F355" s="60"/>
      <c r="H355" s="60"/>
      <c r="I355" s="60"/>
      <c r="J355" s="61"/>
      <c r="K355" s="61"/>
      <c r="L355" s="61"/>
    </row>
    <row r="356" spans="1:12" ht="15" customHeight="1">
      <c r="A356" s="60"/>
      <c r="B356" s="60"/>
      <c r="D356" s="60"/>
      <c r="E356" s="60"/>
      <c r="F356" s="60"/>
      <c r="H356" s="60"/>
      <c r="I356" s="60"/>
      <c r="J356" s="61"/>
      <c r="K356" s="61"/>
      <c r="L356" s="61"/>
    </row>
    <row r="357" spans="1:12" ht="15" customHeight="1">
      <c r="A357" s="60"/>
      <c r="B357" s="60"/>
      <c r="D357" s="60"/>
      <c r="E357" s="60"/>
      <c r="F357" s="60"/>
      <c r="H357" s="60"/>
      <c r="I357" s="60"/>
      <c r="J357" s="61"/>
      <c r="K357" s="61"/>
      <c r="L357" s="61"/>
    </row>
    <row r="358" spans="1:12" ht="15" customHeight="1">
      <c r="A358" s="60"/>
      <c r="B358" s="60"/>
      <c r="D358" s="60"/>
      <c r="E358" s="60"/>
      <c r="F358" s="60"/>
      <c r="H358" s="60"/>
      <c r="I358" s="60"/>
      <c r="J358" s="61"/>
      <c r="K358" s="61"/>
      <c r="L358" s="61"/>
    </row>
    <row r="359" spans="1:12" ht="15" customHeight="1">
      <c r="A359" s="60"/>
      <c r="B359" s="60"/>
      <c r="D359" s="60"/>
      <c r="E359" s="60"/>
      <c r="F359" s="60"/>
      <c r="H359" s="60"/>
      <c r="I359" s="60"/>
      <c r="J359" s="61"/>
      <c r="K359" s="61"/>
      <c r="L359" s="61"/>
    </row>
    <row r="360" spans="1:12" ht="15" customHeight="1">
      <c r="A360" s="60"/>
      <c r="B360" s="60"/>
      <c r="D360" s="60"/>
      <c r="E360" s="60"/>
      <c r="F360" s="60"/>
      <c r="H360" s="60"/>
      <c r="I360" s="60"/>
      <c r="J360" s="61"/>
      <c r="K360" s="61"/>
      <c r="L360" s="61"/>
    </row>
    <row r="361" spans="1:12" ht="15" customHeight="1">
      <c r="A361" s="60"/>
      <c r="B361" s="60"/>
      <c r="D361" s="60"/>
      <c r="E361" s="60"/>
      <c r="F361" s="60"/>
      <c r="H361" s="60"/>
      <c r="I361" s="60"/>
      <c r="J361" s="61"/>
      <c r="K361" s="61"/>
      <c r="L361" s="61"/>
    </row>
    <row r="362" spans="1:12" ht="15" customHeight="1">
      <c r="A362" s="60"/>
      <c r="B362" s="60"/>
      <c r="D362" s="60"/>
      <c r="E362" s="60"/>
      <c r="F362" s="60"/>
      <c r="H362" s="60"/>
      <c r="I362" s="60"/>
      <c r="J362" s="61"/>
      <c r="K362" s="61"/>
      <c r="L362" s="61"/>
    </row>
    <row r="363" spans="1:12" ht="15" customHeight="1">
      <c r="A363" s="60"/>
      <c r="B363" s="60"/>
      <c r="D363" s="60"/>
      <c r="E363" s="60"/>
      <c r="F363" s="60"/>
      <c r="H363" s="60"/>
      <c r="I363" s="60"/>
      <c r="J363" s="61"/>
      <c r="K363" s="61"/>
      <c r="L363" s="61"/>
    </row>
    <row r="364" spans="1:12" ht="15" customHeight="1">
      <c r="A364" s="60"/>
      <c r="B364" s="60"/>
      <c r="D364" s="60"/>
      <c r="E364" s="60"/>
      <c r="F364" s="60"/>
      <c r="H364" s="60"/>
      <c r="I364" s="60"/>
      <c r="J364" s="61"/>
      <c r="K364" s="61"/>
      <c r="L364" s="61"/>
    </row>
    <row r="365" spans="1:12" ht="15" customHeight="1">
      <c r="A365" s="60"/>
      <c r="B365" s="60"/>
      <c r="D365" s="60"/>
      <c r="E365" s="60"/>
      <c r="F365" s="60"/>
      <c r="H365" s="60"/>
      <c r="I365" s="60"/>
      <c r="J365" s="61"/>
      <c r="K365" s="61"/>
      <c r="L365" s="61"/>
    </row>
    <row r="366" spans="1:12" ht="15" customHeight="1">
      <c r="A366" s="60"/>
      <c r="B366" s="60"/>
      <c r="D366" s="60"/>
      <c r="E366" s="60"/>
      <c r="F366" s="60"/>
      <c r="H366" s="60"/>
      <c r="I366" s="60"/>
      <c r="J366" s="61"/>
      <c r="K366" s="61"/>
      <c r="L366" s="61"/>
    </row>
    <row r="367" spans="1:12" ht="15" customHeight="1">
      <c r="A367" s="60"/>
      <c r="B367" s="60"/>
      <c r="D367" s="60"/>
      <c r="E367" s="60"/>
      <c r="F367" s="60"/>
      <c r="H367" s="60"/>
      <c r="I367" s="60"/>
      <c r="J367" s="61"/>
      <c r="K367" s="61"/>
      <c r="L367" s="61"/>
    </row>
    <row r="368" spans="1:12" ht="15" customHeight="1">
      <c r="A368" s="60"/>
      <c r="B368" s="60"/>
      <c r="G368" s="61"/>
      <c r="J368" s="61"/>
      <c r="K368" s="61"/>
      <c r="L368" s="61"/>
    </row>
    <row r="369" spans="1:12" ht="15" customHeight="1">
      <c r="A369" s="60"/>
      <c r="B369" s="60"/>
      <c r="G369" s="61"/>
      <c r="J369" s="61"/>
      <c r="K369" s="61"/>
      <c r="L369" s="61"/>
    </row>
    <row r="370" spans="1:12" ht="15" customHeight="1">
      <c r="A370" s="60"/>
      <c r="B370" s="60"/>
      <c r="G370" s="61"/>
      <c r="J370" s="61"/>
      <c r="K370" s="61"/>
      <c r="L370" s="61"/>
    </row>
    <row r="371" spans="1:12" ht="15" customHeight="1">
      <c r="A371" s="60"/>
      <c r="B371" s="60"/>
      <c r="G371" s="61"/>
      <c r="J371" s="61"/>
      <c r="K371" s="61"/>
      <c r="L371" s="61"/>
    </row>
    <row r="372" spans="1:12" ht="15" customHeight="1">
      <c r="A372" s="60"/>
      <c r="B372" s="60"/>
      <c r="G372" s="61"/>
      <c r="J372" s="61"/>
      <c r="K372" s="61"/>
      <c r="L372" s="61"/>
    </row>
    <row r="373" spans="1:12" ht="15" customHeight="1">
      <c r="A373" s="60"/>
      <c r="B373" s="60"/>
      <c r="G373" s="61"/>
      <c r="J373" s="61"/>
      <c r="K373" s="61"/>
      <c r="L373" s="61"/>
    </row>
    <row r="374" spans="1:12" ht="15" customHeight="1">
      <c r="A374" s="60"/>
      <c r="B374" s="60"/>
      <c r="G374" s="61"/>
      <c r="J374" s="61"/>
      <c r="K374" s="61"/>
      <c r="L374" s="61"/>
    </row>
    <row r="375" spans="1:12" ht="15" customHeight="1">
      <c r="A375" s="60"/>
      <c r="B375" s="60"/>
      <c r="G375" s="61"/>
      <c r="J375" s="61"/>
      <c r="K375" s="61"/>
      <c r="L375" s="61"/>
    </row>
    <row r="376" spans="1:12" ht="15" customHeight="1">
      <c r="A376" s="60"/>
      <c r="B376" s="60"/>
      <c r="G376" s="61"/>
      <c r="J376" s="61"/>
      <c r="K376" s="61"/>
      <c r="L376" s="61"/>
    </row>
  </sheetData>
  <mergeCells count="246">
    <mergeCell ref="E59:G59"/>
    <mergeCell ref="E57:G57"/>
    <mergeCell ref="E55:G55"/>
    <mergeCell ref="E96:F96"/>
    <mergeCell ref="E102:F102"/>
    <mergeCell ref="A103:G103"/>
    <mergeCell ref="D104:D105"/>
    <mergeCell ref="E104:E105"/>
    <mergeCell ref="A106:F106"/>
    <mergeCell ref="C65:L65"/>
    <mergeCell ref="C72:L72"/>
    <mergeCell ref="A76:A77"/>
    <mergeCell ref="C79:L79"/>
    <mergeCell ref="A83:A84"/>
    <mergeCell ref="C86:L86"/>
    <mergeCell ref="A90:A91"/>
    <mergeCell ref="D98:D99"/>
    <mergeCell ref="E98:E99"/>
    <mergeCell ref="A100:F100"/>
    <mergeCell ref="A108:F108"/>
    <mergeCell ref="H212:I212"/>
    <mergeCell ref="H213:I213"/>
    <mergeCell ref="A205:D205"/>
    <mergeCell ref="B208:C208"/>
    <mergeCell ref="A134:B135"/>
    <mergeCell ref="C134:C135"/>
    <mergeCell ref="A172:B173"/>
    <mergeCell ref="C172:C173"/>
    <mergeCell ref="A182:B183"/>
    <mergeCell ref="C182:C183"/>
    <mergeCell ref="C112:C113"/>
    <mergeCell ref="C163:L163"/>
    <mergeCell ref="C161:D161"/>
    <mergeCell ref="C160:D160"/>
    <mergeCell ref="A112:B113"/>
    <mergeCell ref="A165:B165"/>
    <mergeCell ref="A166:B166"/>
    <mergeCell ref="C120:L120"/>
    <mergeCell ref="A122:B123"/>
    <mergeCell ref="C122:C123"/>
    <mergeCell ref="C158:L158"/>
    <mergeCell ref="C137:L137"/>
    <mergeCell ref="C145:L145"/>
    <mergeCell ref="H232:I232"/>
    <mergeCell ref="H233:I233"/>
    <mergeCell ref="H234:I234"/>
    <mergeCell ref="H226:I226"/>
    <mergeCell ref="H227:I227"/>
    <mergeCell ref="B220:C220"/>
    <mergeCell ref="B221:C221"/>
    <mergeCell ref="B223:C223"/>
    <mergeCell ref="B212:C212"/>
    <mergeCell ref="B213:C213"/>
    <mergeCell ref="B216:C216"/>
    <mergeCell ref="B217:C217"/>
    <mergeCell ref="B230:C230"/>
    <mergeCell ref="B231:C231"/>
    <mergeCell ref="H228:I228"/>
    <mergeCell ref="H229:I229"/>
    <mergeCell ref="H230:I230"/>
    <mergeCell ref="H231:I231"/>
    <mergeCell ref="H221:I221"/>
    <mergeCell ref="H222:I222"/>
    <mergeCell ref="A2:L2"/>
    <mergeCell ref="A3:L3"/>
    <mergeCell ref="A1:L1"/>
    <mergeCell ref="A4:L4"/>
    <mergeCell ref="C16:L16"/>
    <mergeCell ref="F5:H5"/>
    <mergeCell ref="C6:D6"/>
    <mergeCell ref="F6:G6"/>
    <mergeCell ref="D18:F18"/>
    <mergeCell ref="C8:L8"/>
    <mergeCell ref="A9:L9"/>
    <mergeCell ref="C10:L10"/>
    <mergeCell ref="C12:L12"/>
    <mergeCell ref="C5:D5"/>
    <mergeCell ref="J7:K7"/>
    <mergeCell ref="A143:B143"/>
    <mergeCell ref="A133:L133"/>
    <mergeCell ref="C125:L125"/>
    <mergeCell ref="A127:B128"/>
    <mergeCell ref="C127:C128"/>
    <mergeCell ref="C20:L20"/>
    <mergeCell ref="A24:B24"/>
    <mergeCell ref="C24:D24"/>
    <mergeCell ref="A25:B25"/>
    <mergeCell ref="C25:D25"/>
    <mergeCell ref="E24:F24"/>
    <mergeCell ref="E25:F25"/>
    <mergeCell ref="C130:L130"/>
    <mergeCell ref="C132:L132"/>
    <mergeCell ref="C110:L110"/>
    <mergeCell ref="C29:L29"/>
    <mergeCell ref="C115:L115"/>
    <mergeCell ref="A117:B118"/>
    <mergeCell ref="C117:C118"/>
    <mergeCell ref="C94:L94"/>
    <mergeCell ref="C27:L27"/>
    <mergeCell ref="E61:G61"/>
    <mergeCell ref="A69:A70"/>
    <mergeCell ref="A97:G97"/>
    <mergeCell ref="C41:L41"/>
    <mergeCell ref="C53:L53"/>
    <mergeCell ref="B252:C252"/>
    <mergeCell ref="B253:C253"/>
    <mergeCell ref="H208:I208"/>
    <mergeCell ref="H209:I209"/>
    <mergeCell ref="B237:C237"/>
    <mergeCell ref="C168:L168"/>
    <mergeCell ref="C202:L202"/>
    <mergeCell ref="B204:C204"/>
    <mergeCell ref="C195:L195"/>
    <mergeCell ref="C200:L200"/>
    <mergeCell ref="H204:I204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45:I245"/>
    <mergeCell ref="H246:I246"/>
    <mergeCell ref="B238:C238"/>
    <mergeCell ref="G252:I252"/>
    <mergeCell ref="B239:C239"/>
    <mergeCell ref="A302:C302"/>
    <mergeCell ref="A304:C304"/>
    <mergeCell ref="A306:C306"/>
    <mergeCell ref="A269:B269"/>
    <mergeCell ref="C269:D269"/>
    <mergeCell ref="E269:E270"/>
    <mergeCell ref="E260:E261"/>
    <mergeCell ref="A285:C285"/>
    <mergeCell ref="C275:L275"/>
    <mergeCell ref="A266:B266"/>
    <mergeCell ref="C266:D266"/>
    <mergeCell ref="C287:L287"/>
    <mergeCell ref="E266:E267"/>
    <mergeCell ref="F266:F267"/>
    <mergeCell ref="A260:B260"/>
    <mergeCell ref="C260:D260"/>
    <mergeCell ref="F260:F261"/>
    <mergeCell ref="A263:B263"/>
    <mergeCell ref="A292:A293"/>
    <mergeCell ref="A294:C294"/>
    <mergeCell ref="A298:C298"/>
    <mergeCell ref="C289:L289"/>
    <mergeCell ref="B292:B293"/>
    <mergeCell ref="C263:D263"/>
    <mergeCell ref="C292:C293"/>
    <mergeCell ref="A291:C291"/>
    <mergeCell ref="H210:I210"/>
    <mergeCell ref="H211:I211"/>
    <mergeCell ref="B233:C233"/>
    <mergeCell ref="B246:C246"/>
    <mergeCell ref="B234:C234"/>
    <mergeCell ref="B235:C235"/>
    <mergeCell ref="B236:C236"/>
    <mergeCell ref="B242:C242"/>
    <mergeCell ref="B243:C243"/>
    <mergeCell ref="B245:C245"/>
    <mergeCell ref="E263:E264"/>
    <mergeCell ref="H248:I248"/>
    <mergeCell ref="H249:I249"/>
    <mergeCell ref="H250:I250"/>
    <mergeCell ref="H251:I251"/>
    <mergeCell ref="F263:F264"/>
    <mergeCell ref="B214:C214"/>
    <mergeCell ref="H224:I224"/>
    <mergeCell ref="H225:I225"/>
    <mergeCell ref="C258:L258"/>
    <mergeCell ref="B251:C251"/>
    <mergeCell ref="B248:C248"/>
    <mergeCell ref="B254:C254"/>
    <mergeCell ref="B215:C215"/>
    <mergeCell ref="B218:C218"/>
    <mergeCell ref="B219:C219"/>
    <mergeCell ref="A222:D222"/>
    <mergeCell ref="H205:I205"/>
    <mergeCell ref="H206:I206"/>
    <mergeCell ref="B227:C227"/>
    <mergeCell ref="B226:C226"/>
    <mergeCell ref="B225:C225"/>
    <mergeCell ref="B224:C224"/>
    <mergeCell ref="B232:C232"/>
    <mergeCell ref="B247:C247"/>
    <mergeCell ref="B249:C249"/>
    <mergeCell ref="B250:C250"/>
    <mergeCell ref="H236:I236"/>
    <mergeCell ref="H247:I247"/>
    <mergeCell ref="B228:C228"/>
    <mergeCell ref="B229:C229"/>
    <mergeCell ref="H207:I207"/>
    <mergeCell ref="H219:I219"/>
    <mergeCell ref="H220:I220"/>
    <mergeCell ref="A339:B339"/>
    <mergeCell ref="A333:C333"/>
    <mergeCell ref="A335:C335"/>
    <mergeCell ref="A337:C337"/>
    <mergeCell ref="A296:C296"/>
    <mergeCell ref="C256:L256"/>
    <mergeCell ref="A272:D272"/>
    <mergeCell ref="A308:C308"/>
    <mergeCell ref="A325:C325"/>
    <mergeCell ref="A327:C327"/>
    <mergeCell ref="A329:C329"/>
    <mergeCell ref="A331:C331"/>
    <mergeCell ref="C316:L316"/>
    <mergeCell ref="C314:L314"/>
    <mergeCell ref="C312:L312"/>
    <mergeCell ref="A320:C320"/>
    <mergeCell ref="A321:A322"/>
    <mergeCell ref="B321:B322"/>
    <mergeCell ref="C321:C322"/>
    <mergeCell ref="A323:C323"/>
    <mergeCell ref="C318:L318"/>
    <mergeCell ref="A310:B310"/>
    <mergeCell ref="F269:F270"/>
    <mergeCell ref="A300:C300"/>
    <mergeCell ref="B240:C240"/>
    <mergeCell ref="B241:C241"/>
    <mergeCell ref="B244:C244"/>
    <mergeCell ref="B209:C209"/>
    <mergeCell ref="H223:I223"/>
    <mergeCell ref="B210:C210"/>
    <mergeCell ref="B211:C211"/>
    <mergeCell ref="A147:B147"/>
    <mergeCell ref="A148:B148"/>
    <mergeCell ref="C150:L150"/>
    <mergeCell ref="A156:B156"/>
    <mergeCell ref="H214:I214"/>
    <mergeCell ref="H215:I215"/>
    <mergeCell ref="H216:I216"/>
    <mergeCell ref="H217:I217"/>
    <mergeCell ref="H218:I218"/>
    <mergeCell ref="C175:L175"/>
    <mergeCell ref="C180:L180"/>
    <mergeCell ref="C170:L170"/>
    <mergeCell ref="C190:L190"/>
    <mergeCell ref="C185:L185"/>
    <mergeCell ref="B206:C206"/>
    <mergeCell ref="B207:C207"/>
    <mergeCell ref="H235:I235"/>
  </mergeCells>
  <phoneticPr fontId="4" type="noConversion"/>
  <printOptions horizontalCentered="1"/>
  <pageMargins left="0" right="0" top="0.39370078740157483" bottom="0" header="0" footer="0"/>
  <pageSetup paperSize="9" scale="62" fitToHeight="0" orientation="landscape" horizontalDpi="300" verticalDpi="300" r:id="rId1"/>
  <headerFooter alignWithMargins="0"/>
  <rowBreaks count="8" manualBreakCount="8">
    <brk id="40" max="11" man="1"/>
    <brk id="85" max="11" man="1"/>
    <brk id="119" max="11" man="1"/>
    <brk id="162" max="11" man="1"/>
    <brk id="174" max="11" man="1"/>
    <brk id="199" max="11" man="1"/>
    <brk id="255" max="11" man="1"/>
    <brk id="286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9"/>
  <sheetViews>
    <sheetView showGridLines="0" showZeros="0" view="pageBreakPreview" zoomScaleNormal="75" zoomScaleSheetLayoutView="100" workbookViewId="0">
      <selection activeCell="K4" sqref="K4"/>
    </sheetView>
  </sheetViews>
  <sheetFormatPr defaultColWidth="9.109375" defaultRowHeight="13.2"/>
  <cols>
    <col min="1" max="1" width="7.109375" style="4" customWidth="1"/>
    <col min="2" max="2" width="37.21875" style="4" customWidth="1"/>
    <col min="3" max="3" width="16.44140625" style="13" customWidth="1"/>
    <col min="4" max="4" width="19" style="13" customWidth="1"/>
    <col min="5" max="5" width="15.77734375" style="4" customWidth="1"/>
    <col min="6" max="6" width="16.5546875" style="4" customWidth="1"/>
    <col min="7" max="7" width="13.33203125" style="4" customWidth="1"/>
    <col min="8" max="8" width="15.77734375" style="4" customWidth="1"/>
    <col min="9" max="9" width="14.6640625" style="4" customWidth="1"/>
    <col min="10" max="10" width="16.109375" style="4" customWidth="1"/>
    <col min="11" max="16384" width="9.109375" style="4"/>
  </cols>
  <sheetData>
    <row r="1" spans="1:10" ht="18" customHeight="1">
      <c r="A1" s="456" t="s">
        <v>17</v>
      </c>
      <c r="B1" s="457"/>
      <c r="C1" s="457"/>
      <c r="D1" s="457"/>
      <c r="E1" s="457"/>
      <c r="F1" s="457"/>
      <c r="G1" s="457"/>
      <c r="H1" s="457"/>
      <c r="I1" s="457"/>
    </row>
    <row r="2" spans="1:10" ht="28.2" customHeight="1">
      <c r="A2" s="460" t="str">
        <f>'Planilha Orcamentária'!A2:E2</f>
        <v>PREFEITURA MUNICIPAL DE BOM JARDIM DE MINAS /MG</v>
      </c>
      <c r="B2" s="461"/>
      <c r="C2" s="462"/>
      <c r="D2" s="138" t="s">
        <v>30</v>
      </c>
      <c r="E2" s="475">
        <f>'Planilha Orcamentária'!I51</f>
        <v>571260.32114999997</v>
      </c>
      <c r="F2" s="475"/>
      <c r="G2" s="139" t="s">
        <v>28</v>
      </c>
      <c r="H2" s="231">
        <v>45782</v>
      </c>
      <c r="I2" s="139" t="s">
        <v>57</v>
      </c>
    </row>
    <row r="3" spans="1:10" ht="21.75" customHeight="1">
      <c r="A3" s="463" t="str">
        <f>'Planilha Orcamentária'!A3:E3</f>
        <v>OBRA: PAVIMENTAÇÃO ASFÁLTICA EM CBUQ E EXECUÇÃO DE INFRAESTRUTURA EM VIA URBANA - ETAPA 02</v>
      </c>
      <c r="B3" s="464"/>
      <c r="C3" s="464"/>
      <c r="D3" s="464"/>
      <c r="E3" s="464"/>
      <c r="F3" s="465"/>
      <c r="G3" s="478" t="s">
        <v>240</v>
      </c>
      <c r="H3" s="478"/>
      <c r="I3" s="478"/>
    </row>
    <row r="4" spans="1:10" ht="36.6" customHeight="1">
      <c r="A4" s="466" t="str">
        <f>'Planilha Orcamentária'!A4:E4</f>
        <v>LOCAL: AVENIDA PREFEITO GENIVALDO MARQUES DE PAULA - CENTRO (ENTRADA DO MUNICIPIO DE BOM JARDIM DE MINAS)/MG</v>
      </c>
      <c r="B4" s="467"/>
      <c r="C4" s="467"/>
      <c r="D4" s="467"/>
      <c r="E4" s="467"/>
      <c r="F4" s="468"/>
      <c r="G4" s="479"/>
      <c r="H4" s="479"/>
      <c r="I4" s="479"/>
    </row>
    <row r="5" spans="1:10" ht="36" customHeight="1">
      <c r="A5" s="5" t="s">
        <v>0</v>
      </c>
      <c r="B5" s="5" t="s">
        <v>18</v>
      </c>
      <c r="C5" s="95" t="s">
        <v>19</v>
      </c>
      <c r="D5" s="95" t="s">
        <v>20</v>
      </c>
      <c r="E5" s="5" t="s">
        <v>21</v>
      </c>
      <c r="F5" s="5" t="s">
        <v>22</v>
      </c>
      <c r="G5" s="5" t="s">
        <v>50</v>
      </c>
      <c r="H5" s="5" t="s">
        <v>241</v>
      </c>
      <c r="I5" s="5" t="s">
        <v>242</v>
      </c>
    </row>
    <row r="6" spans="1:10" s="9" customFormat="1" ht="14.25" customHeight="1">
      <c r="A6" s="458" t="s">
        <v>32</v>
      </c>
      <c r="B6" s="459" t="str">
        <f>'Planilha Orcamentária'!D9</f>
        <v>SERVIÇOS PRELIMINARES</v>
      </c>
      <c r="C6" s="6" t="s">
        <v>23</v>
      </c>
      <c r="D6" s="7">
        <f>D7/$D$19</f>
        <v>2.4971489567633173E-2</v>
      </c>
      <c r="E6" s="8">
        <v>0.2</v>
      </c>
      <c r="F6" s="8">
        <v>0.2</v>
      </c>
      <c r="G6" s="8">
        <v>0.2</v>
      </c>
      <c r="H6" s="8">
        <v>0.2</v>
      </c>
      <c r="I6" s="8">
        <v>0.2</v>
      </c>
      <c r="J6" s="232"/>
    </row>
    <row r="7" spans="1:10" s="9" customFormat="1">
      <c r="A7" s="458"/>
      <c r="B7" s="459"/>
      <c r="C7" s="10" t="s">
        <v>24</v>
      </c>
      <c r="D7" s="21">
        <f>'Planilha Orcamentária'!I9</f>
        <v>14265.221149999999</v>
      </c>
      <c r="E7" s="21">
        <f>E6*$D$7</f>
        <v>2853.04423</v>
      </c>
      <c r="F7" s="21">
        <f>F6*$D$7</f>
        <v>2853.04423</v>
      </c>
      <c r="G7" s="21">
        <f>G6*$D$7</f>
        <v>2853.04423</v>
      </c>
      <c r="H7" s="21">
        <f>H6*$D$7</f>
        <v>2853.04423</v>
      </c>
      <c r="I7" s="21">
        <f>I6*$D$7</f>
        <v>2853.04423</v>
      </c>
      <c r="J7" s="283"/>
    </row>
    <row r="8" spans="1:10" s="9" customFormat="1" ht="14.25" customHeight="1">
      <c r="A8" s="458" t="s">
        <v>33</v>
      </c>
      <c r="B8" s="459" t="str">
        <f>'Planilha Orcamentária'!D13</f>
        <v>DRENAGEM PLUVIAL</v>
      </c>
      <c r="C8" s="6" t="s">
        <v>23</v>
      </c>
      <c r="D8" s="7">
        <f>D9/$D$19</f>
        <v>0.26151102127881443</v>
      </c>
      <c r="E8" s="8">
        <v>0.5</v>
      </c>
      <c r="F8" s="8">
        <v>0.5</v>
      </c>
      <c r="G8" s="8"/>
      <c r="H8" s="8"/>
      <c r="I8" s="8"/>
      <c r="J8" s="232"/>
    </row>
    <row r="9" spans="1:10" s="9" customFormat="1" ht="14.25" customHeight="1">
      <c r="A9" s="458"/>
      <c r="B9" s="459"/>
      <c r="C9" s="10" t="s">
        <v>24</v>
      </c>
      <c r="D9" s="21">
        <f>'Planilha Orcamentária'!I13</f>
        <v>149390.87</v>
      </c>
      <c r="E9" s="21">
        <f>E8*$D$9</f>
        <v>74695.434999999998</v>
      </c>
      <c r="F9" s="21">
        <f>F8*$D$9</f>
        <v>74695.434999999998</v>
      </c>
      <c r="G9" s="21"/>
      <c r="H9" s="21"/>
      <c r="I9" s="21"/>
      <c r="J9" s="283"/>
    </row>
    <row r="10" spans="1:10" s="9" customFormat="1" ht="14.25" customHeight="1">
      <c r="A10" s="476" t="s">
        <v>34</v>
      </c>
      <c r="B10" s="459" t="str">
        <f>'Planilha Orcamentária'!D26</f>
        <v>SERVIÇOS DE TERRAPLENAGEM</v>
      </c>
      <c r="C10" s="6" t="s">
        <v>23</v>
      </c>
      <c r="D10" s="7">
        <f>D11/$D$19</f>
        <v>0.23312973975139883</v>
      </c>
      <c r="E10" s="8">
        <v>0.2</v>
      </c>
      <c r="F10" s="8">
        <v>0.3</v>
      </c>
      <c r="G10" s="8">
        <v>0.5</v>
      </c>
      <c r="H10" s="8">
        <v>0</v>
      </c>
      <c r="I10" s="8">
        <v>0</v>
      </c>
      <c r="J10" s="232"/>
    </row>
    <row r="11" spans="1:10" s="9" customFormat="1" ht="14.25" customHeight="1">
      <c r="A11" s="477"/>
      <c r="B11" s="459"/>
      <c r="C11" s="10" t="s">
        <v>24</v>
      </c>
      <c r="D11" s="21">
        <f>'Planilha Orcamentária'!I26</f>
        <v>133177.77000000002</v>
      </c>
      <c r="E11" s="21">
        <f>E10*$D$11</f>
        <v>26635.554000000004</v>
      </c>
      <c r="F11" s="21">
        <f>F10*$D$11</f>
        <v>39953.331000000006</v>
      </c>
      <c r="G11" s="21">
        <f>G10*$D$11</f>
        <v>66588.885000000009</v>
      </c>
      <c r="H11" s="21">
        <f>H10*$D$11</f>
        <v>0</v>
      </c>
      <c r="I11" s="21">
        <f>I10*$D$11</f>
        <v>0</v>
      </c>
      <c r="J11" s="283"/>
    </row>
    <row r="12" spans="1:10" s="9" customFormat="1" ht="14.25" customHeight="1">
      <c r="A12" s="476" t="s">
        <v>35</v>
      </c>
      <c r="B12" s="459" t="str">
        <f>'Planilha Orcamentária'!D33</f>
        <v>SERVIÇOS DE PAVIMENTAÇÃO ASFÁLTICA</v>
      </c>
      <c r="C12" s="6" t="s">
        <v>23</v>
      </c>
      <c r="D12" s="7">
        <f>D13/$D$19</f>
        <v>0.32107755993057735</v>
      </c>
      <c r="E12" s="8"/>
      <c r="F12" s="8"/>
      <c r="G12" s="8">
        <v>0.22</v>
      </c>
      <c r="H12" s="8">
        <v>0.55000000000000004</v>
      </c>
      <c r="I12" s="8">
        <v>0.23</v>
      </c>
      <c r="J12" s="232"/>
    </row>
    <row r="13" spans="1:10" s="9" customFormat="1" ht="14.25" customHeight="1">
      <c r="A13" s="477"/>
      <c r="B13" s="459"/>
      <c r="C13" s="10" t="s">
        <v>24</v>
      </c>
      <c r="D13" s="21">
        <f>'Planilha Orcamentária'!I33</f>
        <v>183418.87</v>
      </c>
      <c r="E13" s="21"/>
      <c r="F13" s="21"/>
      <c r="G13" s="21">
        <f>G12*$D$13</f>
        <v>40352.151400000002</v>
      </c>
      <c r="H13" s="21">
        <f>H12*$D$13</f>
        <v>100880.37850000001</v>
      </c>
      <c r="I13" s="21">
        <f>I12*$D$13</f>
        <v>42186.340100000001</v>
      </c>
      <c r="J13" s="283"/>
    </row>
    <row r="14" spans="1:10" s="9" customFormat="1" ht="14.25" customHeight="1">
      <c r="A14" s="476" t="s">
        <v>46</v>
      </c>
      <c r="B14" s="459" t="str">
        <f>'Planilha Orcamentária'!D40</f>
        <v>SINALIZAÇÃO VIÁRIA</v>
      </c>
      <c r="C14" s="6" t="s">
        <v>23</v>
      </c>
      <c r="D14" s="7">
        <f>D15/$D$19</f>
        <v>2.8667333251909687E-2</v>
      </c>
      <c r="E14" s="8">
        <v>0</v>
      </c>
      <c r="F14" s="8"/>
      <c r="G14" s="8"/>
      <c r="H14" s="8"/>
      <c r="I14" s="8">
        <v>1</v>
      </c>
      <c r="J14" s="232"/>
    </row>
    <row r="15" spans="1:10" s="9" customFormat="1" ht="14.25" customHeight="1">
      <c r="A15" s="477"/>
      <c r="B15" s="459"/>
      <c r="C15" s="10" t="s">
        <v>24</v>
      </c>
      <c r="D15" s="20">
        <f>'Planilha Orcamentária'!I40</f>
        <v>16376.51</v>
      </c>
      <c r="E15" s="20">
        <f>E14*$D$15</f>
        <v>0</v>
      </c>
      <c r="F15" s="21"/>
      <c r="G15" s="21"/>
      <c r="H15" s="21"/>
      <c r="I15" s="21">
        <f>I14*$D$15</f>
        <v>16376.51</v>
      </c>
      <c r="J15" s="283"/>
    </row>
    <row r="16" spans="1:10" s="9" customFormat="1" ht="14.25" customHeight="1">
      <c r="A16" s="476" t="s">
        <v>119</v>
      </c>
      <c r="B16" s="459" t="str">
        <f>'Planilha Orcamentária'!D45</f>
        <v>URBANIZAÇÃO</v>
      </c>
      <c r="C16" s="6" t="s">
        <v>23</v>
      </c>
      <c r="D16" s="7">
        <f>D17/$D$19</f>
        <v>0.13064285621966659</v>
      </c>
      <c r="E16" s="8">
        <v>0</v>
      </c>
      <c r="F16" s="8"/>
      <c r="G16" s="8"/>
      <c r="H16" s="8">
        <v>0.2</v>
      </c>
      <c r="I16" s="8">
        <v>0.8</v>
      </c>
      <c r="J16" s="232"/>
    </row>
    <row r="17" spans="1:10" s="9" customFormat="1" ht="14.25" customHeight="1">
      <c r="A17" s="477"/>
      <c r="B17" s="459"/>
      <c r="C17" s="10" t="s">
        <v>24</v>
      </c>
      <c r="D17" s="20">
        <f>'Planilha Orcamentária'!I45</f>
        <v>74631.08</v>
      </c>
      <c r="E17" s="20">
        <f>E16*$D$15</f>
        <v>0</v>
      </c>
      <c r="F17" s="21"/>
      <c r="G17" s="21"/>
      <c r="H17" s="21">
        <f>H16*$D$17</f>
        <v>14926.216</v>
      </c>
      <c r="I17" s="21">
        <f>I16*$D$17</f>
        <v>59704.864000000001</v>
      </c>
      <c r="J17" s="283"/>
    </row>
    <row r="18" spans="1:10" s="9" customFormat="1" ht="14.25" customHeight="1">
      <c r="A18" s="458" t="s">
        <v>25</v>
      </c>
      <c r="B18" s="458"/>
      <c r="C18" s="6" t="s">
        <v>23</v>
      </c>
      <c r="D18" s="7">
        <f>D6+D10++D14+D12+D16+D8</f>
        <v>1</v>
      </c>
      <c r="E18" s="7">
        <f>E19/$D$19</f>
        <v>0.18237575650321361</v>
      </c>
      <c r="F18" s="7">
        <f>F19/$D$19</f>
        <v>0.20568873047835348</v>
      </c>
      <c r="G18" s="7">
        <f>G19/$D$19</f>
        <v>0.19219623097395308</v>
      </c>
      <c r="H18" s="7">
        <f>H19/$D$19</f>
        <v>0.20771552711927752</v>
      </c>
      <c r="I18" s="7">
        <f>I19/$D$19</f>
        <v>0.2120237549252024</v>
      </c>
      <c r="J18" s="232"/>
    </row>
    <row r="19" spans="1:10" s="9" customFormat="1" ht="13.5" customHeight="1">
      <c r="A19" s="458"/>
      <c r="B19" s="458"/>
      <c r="C19" s="6" t="s">
        <v>24</v>
      </c>
      <c r="D19" s="22">
        <f t="shared" ref="D19:I19" si="0">D7+D11+D13+D15+D17+D9</f>
        <v>571260.32114999997</v>
      </c>
      <c r="E19" s="22">
        <f t="shared" si="0"/>
        <v>104184.03323</v>
      </c>
      <c r="F19" s="22">
        <f t="shared" si="0"/>
        <v>117501.81023</v>
      </c>
      <c r="G19" s="22">
        <f t="shared" si="0"/>
        <v>109794.08063000001</v>
      </c>
      <c r="H19" s="22">
        <f t="shared" si="0"/>
        <v>118659.63873000001</v>
      </c>
      <c r="I19" s="22">
        <f t="shared" si="0"/>
        <v>121120.75833000001</v>
      </c>
      <c r="J19" s="233"/>
    </row>
    <row r="20" spans="1:10" ht="14.25" customHeight="1">
      <c r="A20" s="11"/>
      <c r="B20" s="199"/>
      <c r="C20" s="199"/>
      <c r="D20" s="199"/>
      <c r="E20" s="199"/>
      <c r="F20" s="469"/>
      <c r="G20" s="470"/>
      <c r="H20" s="330"/>
      <c r="I20" s="331"/>
    </row>
    <row r="21" spans="1:10" ht="27.75" customHeight="1">
      <c r="A21" s="11"/>
      <c r="B21" s="12"/>
      <c r="C21" s="199"/>
      <c r="F21" s="471"/>
      <c r="G21" s="472"/>
      <c r="H21" s="15"/>
      <c r="I21" s="332"/>
    </row>
    <row r="22" spans="1:10">
      <c r="A22" s="14"/>
      <c r="B22" s="23" t="str">
        <f>'Planilha Orcamentária'!C54</f>
        <v>Priscila Cristina de Paula Neto</v>
      </c>
      <c r="D22" s="200"/>
      <c r="E22" s="200"/>
      <c r="F22" s="471"/>
      <c r="G22" s="472"/>
      <c r="H22" s="15"/>
      <c r="I22" s="332"/>
    </row>
    <row r="23" spans="1:10" ht="19.5" customHeight="1">
      <c r="A23" s="15"/>
      <c r="B23" s="201" t="str">
        <f>'Planilha Orcamentária'!C56</f>
        <v>Engenheira Civil</v>
      </c>
      <c r="F23" s="471"/>
      <c r="G23" s="472"/>
      <c r="H23" s="15"/>
      <c r="I23" s="332"/>
    </row>
    <row r="24" spans="1:10" ht="19.5" customHeight="1">
      <c r="A24" s="15"/>
      <c r="B24" s="201" t="str">
        <f>'Planilha Orcamentária'!C57</f>
        <v>CREA-MG Nº: 142702/D</v>
      </c>
      <c r="F24" s="471"/>
      <c r="G24" s="472"/>
      <c r="H24" s="15"/>
      <c r="I24" s="332"/>
    </row>
    <row r="25" spans="1:10" ht="19.5" customHeight="1">
      <c r="A25" s="15"/>
      <c r="B25" s="201"/>
      <c r="F25" s="471"/>
      <c r="G25" s="472"/>
      <c r="H25" s="15"/>
      <c r="I25" s="332"/>
    </row>
    <row r="26" spans="1:10" ht="13.5" customHeight="1">
      <c r="A26" s="16"/>
      <c r="B26" s="24"/>
      <c r="C26" s="202"/>
      <c r="D26" s="202"/>
      <c r="E26" s="203"/>
      <c r="F26" s="471"/>
      <c r="G26" s="472"/>
      <c r="H26" s="15"/>
      <c r="I26" s="332"/>
    </row>
    <row r="27" spans="1:10" ht="14.25" customHeight="1">
      <c r="A27" s="15"/>
      <c r="B27" s="23" t="str">
        <f>'Planilha Orcamentária'!C60</f>
        <v>José Francisco Matos e Silva</v>
      </c>
      <c r="F27" s="471"/>
      <c r="G27" s="472"/>
      <c r="H27" s="15"/>
      <c r="I27" s="332"/>
    </row>
    <row r="28" spans="1:10" ht="14.1" customHeight="1">
      <c r="A28" s="15"/>
      <c r="B28" s="204" t="str" cm="1">
        <f t="array" ref="B28:C28">'Planilha Orcamentária'!C61:D61</f>
        <v xml:space="preserve">Prefeito Municipal de Bom Jardim de Minas </v>
      </c>
      <c r="C28" s="13">
        <v>0</v>
      </c>
      <c r="F28" s="471"/>
      <c r="G28" s="472"/>
      <c r="H28" s="15"/>
      <c r="I28" s="332"/>
    </row>
    <row r="29" spans="1:10">
      <c r="A29" s="17"/>
      <c r="B29" s="18"/>
      <c r="C29" s="19"/>
      <c r="D29" s="19"/>
      <c r="E29" s="18"/>
      <c r="F29" s="473"/>
      <c r="G29" s="474"/>
      <c r="H29" s="17"/>
      <c r="I29" s="333"/>
    </row>
  </sheetData>
  <mergeCells count="20">
    <mergeCell ref="F20:G29"/>
    <mergeCell ref="E2:F2"/>
    <mergeCell ref="A18:B19"/>
    <mergeCell ref="A10:A11"/>
    <mergeCell ref="B10:B11"/>
    <mergeCell ref="A14:A15"/>
    <mergeCell ref="B14:B15"/>
    <mergeCell ref="A12:A13"/>
    <mergeCell ref="B12:B13"/>
    <mergeCell ref="A6:A7"/>
    <mergeCell ref="B6:B7"/>
    <mergeCell ref="A16:A17"/>
    <mergeCell ref="B16:B17"/>
    <mergeCell ref="G3:I4"/>
    <mergeCell ref="A1:I1"/>
    <mergeCell ref="A8:A9"/>
    <mergeCell ref="B8:B9"/>
    <mergeCell ref="A2:C2"/>
    <mergeCell ref="A3:F3"/>
    <mergeCell ref="A4:F4"/>
  </mergeCells>
  <phoneticPr fontId="66" type="noConversion"/>
  <printOptions horizontalCentered="1"/>
  <pageMargins left="0.19685039370078741" right="0.19685039370078741" top="0.59055118110236227" bottom="0.19685039370078741" header="0.19685039370078741" footer="0"/>
  <pageSetup paperSize="9" scale="91" orientation="landscape" horizontalDpi="4294967295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20B6A-D95F-40CD-85E0-7285DDA51799}">
  <dimension ref="A1:G28"/>
  <sheetViews>
    <sheetView view="pageBreakPreview" topLeftCell="A7" zoomScaleNormal="115" zoomScaleSheetLayoutView="100" workbookViewId="0">
      <selection activeCell="C21" sqref="C21"/>
    </sheetView>
  </sheetViews>
  <sheetFormatPr defaultRowHeight="13.2"/>
  <cols>
    <col min="1" max="1" width="10.5546875" style="247" customWidth="1"/>
    <col min="2" max="2" width="16" style="247" customWidth="1"/>
    <col min="3" max="3" width="40.6640625" style="247" customWidth="1"/>
    <col min="4" max="4" width="7.109375" style="247" bestFit="1" customWidth="1"/>
    <col min="5" max="5" width="10.44140625" style="247" bestFit="1" customWidth="1"/>
    <col min="6" max="6" width="11.88671875" style="247" bestFit="1" customWidth="1"/>
    <col min="7" max="7" width="15.6640625" style="247" customWidth="1"/>
    <col min="8" max="9" width="8.88671875" style="247"/>
    <col min="10" max="10" width="12.33203125" style="247" customWidth="1"/>
    <col min="11" max="11" width="13.109375" style="247" customWidth="1"/>
    <col min="12" max="12" width="12.109375" style="247" customWidth="1"/>
    <col min="13" max="256" width="8.88671875" style="247"/>
    <col min="257" max="257" width="10.5546875" style="247" customWidth="1"/>
    <col min="258" max="258" width="16" style="247" customWidth="1"/>
    <col min="259" max="259" width="40.6640625" style="247" customWidth="1"/>
    <col min="260" max="260" width="7.109375" style="247" bestFit="1" customWidth="1"/>
    <col min="261" max="261" width="10.44140625" style="247" bestFit="1" customWidth="1"/>
    <col min="262" max="262" width="11.88671875" style="247" bestFit="1" customWidth="1"/>
    <col min="263" max="263" width="15.6640625" style="247" customWidth="1"/>
    <col min="264" max="265" width="8.88671875" style="247"/>
    <col min="266" max="266" width="12.33203125" style="247" customWidth="1"/>
    <col min="267" max="267" width="13.109375" style="247" customWidth="1"/>
    <col min="268" max="268" width="12.109375" style="247" customWidth="1"/>
    <col min="269" max="512" width="8.88671875" style="247"/>
    <col min="513" max="513" width="10.5546875" style="247" customWidth="1"/>
    <col min="514" max="514" width="16" style="247" customWidth="1"/>
    <col min="515" max="515" width="40.6640625" style="247" customWidth="1"/>
    <col min="516" max="516" width="7.109375" style="247" bestFit="1" customWidth="1"/>
    <col min="517" max="517" width="10.44140625" style="247" bestFit="1" customWidth="1"/>
    <col min="518" max="518" width="11.88671875" style="247" bestFit="1" customWidth="1"/>
    <col min="519" max="519" width="15.6640625" style="247" customWidth="1"/>
    <col min="520" max="521" width="8.88671875" style="247"/>
    <col min="522" max="522" width="12.33203125" style="247" customWidth="1"/>
    <col min="523" max="523" width="13.109375" style="247" customWidth="1"/>
    <col min="524" max="524" width="12.109375" style="247" customWidth="1"/>
    <col min="525" max="768" width="8.88671875" style="247"/>
    <col min="769" max="769" width="10.5546875" style="247" customWidth="1"/>
    <col min="770" max="770" width="16" style="247" customWidth="1"/>
    <col min="771" max="771" width="40.6640625" style="247" customWidth="1"/>
    <col min="772" max="772" width="7.109375" style="247" bestFit="1" customWidth="1"/>
    <col min="773" max="773" width="10.44140625" style="247" bestFit="1" customWidth="1"/>
    <col min="774" max="774" width="11.88671875" style="247" bestFit="1" customWidth="1"/>
    <col min="775" max="775" width="15.6640625" style="247" customWidth="1"/>
    <col min="776" max="777" width="8.88671875" style="247"/>
    <col min="778" max="778" width="12.33203125" style="247" customWidth="1"/>
    <col min="779" max="779" width="13.109375" style="247" customWidth="1"/>
    <col min="780" max="780" width="12.109375" style="247" customWidth="1"/>
    <col min="781" max="1024" width="8.88671875" style="247"/>
    <col min="1025" max="1025" width="10.5546875" style="247" customWidth="1"/>
    <col min="1026" max="1026" width="16" style="247" customWidth="1"/>
    <col min="1027" max="1027" width="40.6640625" style="247" customWidth="1"/>
    <col min="1028" max="1028" width="7.109375" style="247" bestFit="1" customWidth="1"/>
    <col min="1029" max="1029" width="10.44140625" style="247" bestFit="1" customWidth="1"/>
    <col min="1030" max="1030" width="11.88671875" style="247" bestFit="1" customWidth="1"/>
    <col min="1031" max="1031" width="15.6640625" style="247" customWidth="1"/>
    <col min="1032" max="1033" width="8.88671875" style="247"/>
    <col min="1034" max="1034" width="12.33203125" style="247" customWidth="1"/>
    <col min="1035" max="1035" width="13.109375" style="247" customWidth="1"/>
    <col min="1036" max="1036" width="12.109375" style="247" customWidth="1"/>
    <col min="1037" max="1280" width="8.88671875" style="247"/>
    <col min="1281" max="1281" width="10.5546875" style="247" customWidth="1"/>
    <col min="1282" max="1282" width="16" style="247" customWidth="1"/>
    <col min="1283" max="1283" width="40.6640625" style="247" customWidth="1"/>
    <col min="1284" max="1284" width="7.109375" style="247" bestFit="1" customWidth="1"/>
    <col min="1285" max="1285" width="10.44140625" style="247" bestFit="1" customWidth="1"/>
    <col min="1286" max="1286" width="11.88671875" style="247" bestFit="1" customWidth="1"/>
    <col min="1287" max="1287" width="15.6640625" style="247" customWidth="1"/>
    <col min="1288" max="1289" width="8.88671875" style="247"/>
    <col min="1290" max="1290" width="12.33203125" style="247" customWidth="1"/>
    <col min="1291" max="1291" width="13.109375" style="247" customWidth="1"/>
    <col min="1292" max="1292" width="12.109375" style="247" customWidth="1"/>
    <col min="1293" max="1536" width="8.88671875" style="247"/>
    <col min="1537" max="1537" width="10.5546875" style="247" customWidth="1"/>
    <col min="1538" max="1538" width="16" style="247" customWidth="1"/>
    <col min="1539" max="1539" width="40.6640625" style="247" customWidth="1"/>
    <col min="1540" max="1540" width="7.109375" style="247" bestFit="1" customWidth="1"/>
    <col min="1541" max="1541" width="10.44140625" style="247" bestFit="1" customWidth="1"/>
    <col min="1542" max="1542" width="11.88671875" style="247" bestFit="1" customWidth="1"/>
    <col min="1543" max="1543" width="15.6640625" style="247" customWidth="1"/>
    <col min="1544" max="1545" width="8.88671875" style="247"/>
    <col min="1546" max="1546" width="12.33203125" style="247" customWidth="1"/>
    <col min="1547" max="1547" width="13.109375" style="247" customWidth="1"/>
    <col min="1548" max="1548" width="12.109375" style="247" customWidth="1"/>
    <col min="1549" max="1792" width="8.88671875" style="247"/>
    <col min="1793" max="1793" width="10.5546875" style="247" customWidth="1"/>
    <col min="1794" max="1794" width="16" style="247" customWidth="1"/>
    <col min="1795" max="1795" width="40.6640625" style="247" customWidth="1"/>
    <col min="1796" max="1796" width="7.109375" style="247" bestFit="1" customWidth="1"/>
    <col min="1797" max="1797" width="10.44140625" style="247" bestFit="1" customWidth="1"/>
    <col min="1798" max="1798" width="11.88671875" style="247" bestFit="1" customWidth="1"/>
    <col min="1799" max="1799" width="15.6640625" style="247" customWidth="1"/>
    <col min="1800" max="1801" width="8.88671875" style="247"/>
    <col min="1802" max="1802" width="12.33203125" style="247" customWidth="1"/>
    <col min="1803" max="1803" width="13.109375" style="247" customWidth="1"/>
    <col min="1804" max="1804" width="12.109375" style="247" customWidth="1"/>
    <col min="1805" max="2048" width="8.88671875" style="247"/>
    <col min="2049" max="2049" width="10.5546875" style="247" customWidth="1"/>
    <col min="2050" max="2050" width="16" style="247" customWidth="1"/>
    <col min="2051" max="2051" width="40.6640625" style="247" customWidth="1"/>
    <col min="2052" max="2052" width="7.109375" style="247" bestFit="1" customWidth="1"/>
    <col min="2053" max="2053" width="10.44140625" style="247" bestFit="1" customWidth="1"/>
    <col min="2054" max="2054" width="11.88671875" style="247" bestFit="1" customWidth="1"/>
    <col min="2055" max="2055" width="15.6640625" style="247" customWidth="1"/>
    <col min="2056" max="2057" width="8.88671875" style="247"/>
    <col min="2058" max="2058" width="12.33203125" style="247" customWidth="1"/>
    <col min="2059" max="2059" width="13.109375" style="247" customWidth="1"/>
    <col min="2060" max="2060" width="12.109375" style="247" customWidth="1"/>
    <col min="2061" max="2304" width="8.88671875" style="247"/>
    <col min="2305" max="2305" width="10.5546875" style="247" customWidth="1"/>
    <col min="2306" max="2306" width="16" style="247" customWidth="1"/>
    <col min="2307" max="2307" width="40.6640625" style="247" customWidth="1"/>
    <col min="2308" max="2308" width="7.109375" style="247" bestFit="1" customWidth="1"/>
    <col min="2309" max="2309" width="10.44140625" style="247" bestFit="1" customWidth="1"/>
    <col min="2310" max="2310" width="11.88671875" style="247" bestFit="1" customWidth="1"/>
    <col min="2311" max="2311" width="15.6640625" style="247" customWidth="1"/>
    <col min="2312" max="2313" width="8.88671875" style="247"/>
    <col min="2314" max="2314" width="12.33203125" style="247" customWidth="1"/>
    <col min="2315" max="2315" width="13.109375" style="247" customWidth="1"/>
    <col min="2316" max="2316" width="12.109375" style="247" customWidth="1"/>
    <col min="2317" max="2560" width="8.88671875" style="247"/>
    <col min="2561" max="2561" width="10.5546875" style="247" customWidth="1"/>
    <col min="2562" max="2562" width="16" style="247" customWidth="1"/>
    <col min="2563" max="2563" width="40.6640625" style="247" customWidth="1"/>
    <col min="2564" max="2564" width="7.109375" style="247" bestFit="1" customWidth="1"/>
    <col min="2565" max="2565" width="10.44140625" style="247" bestFit="1" customWidth="1"/>
    <col min="2566" max="2566" width="11.88671875" style="247" bestFit="1" customWidth="1"/>
    <col min="2567" max="2567" width="15.6640625" style="247" customWidth="1"/>
    <col min="2568" max="2569" width="8.88671875" style="247"/>
    <col min="2570" max="2570" width="12.33203125" style="247" customWidth="1"/>
    <col min="2571" max="2571" width="13.109375" style="247" customWidth="1"/>
    <col min="2572" max="2572" width="12.109375" style="247" customWidth="1"/>
    <col min="2573" max="2816" width="8.88671875" style="247"/>
    <col min="2817" max="2817" width="10.5546875" style="247" customWidth="1"/>
    <col min="2818" max="2818" width="16" style="247" customWidth="1"/>
    <col min="2819" max="2819" width="40.6640625" style="247" customWidth="1"/>
    <col min="2820" max="2820" width="7.109375" style="247" bestFit="1" customWidth="1"/>
    <col min="2821" max="2821" width="10.44140625" style="247" bestFit="1" customWidth="1"/>
    <col min="2822" max="2822" width="11.88671875" style="247" bestFit="1" customWidth="1"/>
    <col min="2823" max="2823" width="15.6640625" style="247" customWidth="1"/>
    <col min="2824" max="2825" width="8.88671875" style="247"/>
    <col min="2826" max="2826" width="12.33203125" style="247" customWidth="1"/>
    <col min="2827" max="2827" width="13.109375" style="247" customWidth="1"/>
    <col min="2828" max="2828" width="12.109375" style="247" customWidth="1"/>
    <col min="2829" max="3072" width="8.88671875" style="247"/>
    <col min="3073" max="3073" width="10.5546875" style="247" customWidth="1"/>
    <col min="3074" max="3074" width="16" style="247" customWidth="1"/>
    <col min="3075" max="3075" width="40.6640625" style="247" customWidth="1"/>
    <col min="3076" max="3076" width="7.109375" style="247" bestFit="1" customWidth="1"/>
    <col min="3077" max="3077" width="10.44140625" style="247" bestFit="1" customWidth="1"/>
    <col min="3078" max="3078" width="11.88671875" style="247" bestFit="1" customWidth="1"/>
    <col min="3079" max="3079" width="15.6640625" style="247" customWidth="1"/>
    <col min="3080" max="3081" width="8.88671875" style="247"/>
    <col min="3082" max="3082" width="12.33203125" style="247" customWidth="1"/>
    <col min="3083" max="3083" width="13.109375" style="247" customWidth="1"/>
    <col min="3084" max="3084" width="12.109375" style="247" customWidth="1"/>
    <col min="3085" max="3328" width="8.88671875" style="247"/>
    <col min="3329" max="3329" width="10.5546875" style="247" customWidth="1"/>
    <col min="3330" max="3330" width="16" style="247" customWidth="1"/>
    <col min="3331" max="3331" width="40.6640625" style="247" customWidth="1"/>
    <col min="3332" max="3332" width="7.109375" style="247" bestFit="1" customWidth="1"/>
    <col min="3333" max="3333" width="10.44140625" style="247" bestFit="1" customWidth="1"/>
    <col min="3334" max="3334" width="11.88671875" style="247" bestFit="1" customWidth="1"/>
    <col min="3335" max="3335" width="15.6640625" style="247" customWidth="1"/>
    <col min="3336" max="3337" width="8.88671875" style="247"/>
    <col min="3338" max="3338" width="12.33203125" style="247" customWidth="1"/>
    <col min="3339" max="3339" width="13.109375" style="247" customWidth="1"/>
    <col min="3340" max="3340" width="12.109375" style="247" customWidth="1"/>
    <col min="3341" max="3584" width="8.88671875" style="247"/>
    <col min="3585" max="3585" width="10.5546875" style="247" customWidth="1"/>
    <col min="3586" max="3586" width="16" style="247" customWidth="1"/>
    <col min="3587" max="3587" width="40.6640625" style="247" customWidth="1"/>
    <col min="3588" max="3588" width="7.109375" style="247" bestFit="1" customWidth="1"/>
    <col min="3589" max="3589" width="10.44140625" style="247" bestFit="1" customWidth="1"/>
    <col min="3590" max="3590" width="11.88671875" style="247" bestFit="1" customWidth="1"/>
    <col min="3591" max="3591" width="15.6640625" style="247" customWidth="1"/>
    <col min="3592" max="3593" width="8.88671875" style="247"/>
    <col min="3594" max="3594" width="12.33203125" style="247" customWidth="1"/>
    <col min="3595" max="3595" width="13.109375" style="247" customWidth="1"/>
    <col min="3596" max="3596" width="12.109375" style="247" customWidth="1"/>
    <col min="3597" max="3840" width="8.88671875" style="247"/>
    <col min="3841" max="3841" width="10.5546875" style="247" customWidth="1"/>
    <col min="3842" max="3842" width="16" style="247" customWidth="1"/>
    <col min="3843" max="3843" width="40.6640625" style="247" customWidth="1"/>
    <col min="3844" max="3844" width="7.109375" style="247" bestFit="1" customWidth="1"/>
    <col min="3845" max="3845" width="10.44140625" style="247" bestFit="1" customWidth="1"/>
    <col min="3846" max="3846" width="11.88671875" style="247" bestFit="1" customWidth="1"/>
    <col min="3847" max="3847" width="15.6640625" style="247" customWidth="1"/>
    <col min="3848" max="3849" width="8.88671875" style="247"/>
    <col min="3850" max="3850" width="12.33203125" style="247" customWidth="1"/>
    <col min="3851" max="3851" width="13.109375" style="247" customWidth="1"/>
    <col min="3852" max="3852" width="12.109375" style="247" customWidth="1"/>
    <col min="3853" max="4096" width="8.88671875" style="247"/>
    <col min="4097" max="4097" width="10.5546875" style="247" customWidth="1"/>
    <col min="4098" max="4098" width="16" style="247" customWidth="1"/>
    <col min="4099" max="4099" width="40.6640625" style="247" customWidth="1"/>
    <col min="4100" max="4100" width="7.109375" style="247" bestFit="1" customWidth="1"/>
    <col min="4101" max="4101" width="10.44140625" style="247" bestFit="1" customWidth="1"/>
    <col min="4102" max="4102" width="11.88671875" style="247" bestFit="1" customWidth="1"/>
    <col min="4103" max="4103" width="15.6640625" style="247" customWidth="1"/>
    <col min="4104" max="4105" width="8.88671875" style="247"/>
    <col min="4106" max="4106" width="12.33203125" style="247" customWidth="1"/>
    <col min="4107" max="4107" width="13.109375" style="247" customWidth="1"/>
    <col min="4108" max="4108" width="12.109375" style="247" customWidth="1"/>
    <col min="4109" max="4352" width="8.88671875" style="247"/>
    <col min="4353" max="4353" width="10.5546875" style="247" customWidth="1"/>
    <col min="4354" max="4354" width="16" style="247" customWidth="1"/>
    <col min="4355" max="4355" width="40.6640625" style="247" customWidth="1"/>
    <col min="4356" max="4356" width="7.109375" style="247" bestFit="1" customWidth="1"/>
    <col min="4357" max="4357" width="10.44140625" style="247" bestFit="1" customWidth="1"/>
    <col min="4358" max="4358" width="11.88671875" style="247" bestFit="1" customWidth="1"/>
    <col min="4359" max="4359" width="15.6640625" style="247" customWidth="1"/>
    <col min="4360" max="4361" width="8.88671875" style="247"/>
    <col min="4362" max="4362" width="12.33203125" style="247" customWidth="1"/>
    <col min="4363" max="4363" width="13.109375" style="247" customWidth="1"/>
    <col min="4364" max="4364" width="12.109375" style="247" customWidth="1"/>
    <col min="4365" max="4608" width="8.88671875" style="247"/>
    <col min="4609" max="4609" width="10.5546875" style="247" customWidth="1"/>
    <col min="4610" max="4610" width="16" style="247" customWidth="1"/>
    <col min="4611" max="4611" width="40.6640625" style="247" customWidth="1"/>
    <col min="4612" max="4612" width="7.109375" style="247" bestFit="1" customWidth="1"/>
    <col min="4613" max="4613" width="10.44140625" style="247" bestFit="1" customWidth="1"/>
    <col min="4614" max="4614" width="11.88671875" style="247" bestFit="1" customWidth="1"/>
    <col min="4615" max="4615" width="15.6640625" style="247" customWidth="1"/>
    <col min="4616" max="4617" width="8.88671875" style="247"/>
    <col min="4618" max="4618" width="12.33203125" style="247" customWidth="1"/>
    <col min="4619" max="4619" width="13.109375" style="247" customWidth="1"/>
    <col min="4620" max="4620" width="12.109375" style="247" customWidth="1"/>
    <col min="4621" max="4864" width="8.88671875" style="247"/>
    <col min="4865" max="4865" width="10.5546875" style="247" customWidth="1"/>
    <col min="4866" max="4866" width="16" style="247" customWidth="1"/>
    <col min="4867" max="4867" width="40.6640625" style="247" customWidth="1"/>
    <col min="4868" max="4868" width="7.109375" style="247" bestFit="1" customWidth="1"/>
    <col min="4869" max="4869" width="10.44140625" style="247" bestFit="1" customWidth="1"/>
    <col min="4870" max="4870" width="11.88671875" style="247" bestFit="1" customWidth="1"/>
    <col min="4871" max="4871" width="15.6640625" style="247" customWidth="1"/>
    <col min="4872" max="4873" width="8.88671875" style="247"/>
    <col min="4874" max="4874" width="12.33203125" style="247" customWidth="1"/>
    <col min="4875" max="4875" width="13.109375" style="247" customWidth="1"/>
    <col min="4876" max="4876" width="12.109375" style="247" customWidth="1"/>
    <col min="4877" max="5120" width="8.88671875" style="247"/>
    <col min="5121" max="5121" width="10.5546875" style="247" customWidth="1"/>
    <col min="5122" max="5122" width="16" style="247" customWidth="1"/>
    <col min="5123" max="5123" width="40.6640625" style="247" customWidth="1"/>
    <col min="5124" max="5124" width="7.109375" style="247" bestFit="1" customWidth="1"/>
    <col min="5125" max="5125" width="10.44140625" style="247" bestFit="1" customWidth="1"/>
    <col min="5126" max="5126" width="11.88671875" style="247" bestFit="1" customWidth="1"/>
    <col min="5127" max="5127" width="15.6640625" style="247" customWidth="1"/>
    <col min="5128" max="5129" width="8.88671875" style="247"/>
    <col min="5130" max="5130" width="12.33203125" style="247" customWidth="1"/>
    <col min="5131" max="5131" width="13.109375" style="247" customWidth="1"/>
    <col min="5132" max="5132" width="12.109375" style="247" customWidth="1"/>
    <col min="5133" max="5376" width="8.88671875" style="247"/>
    <col min="5377" max="5377" width="10.5546875" style="247" customWidth="1"/>
    <col min="5378" max="5378" width="16" style="247" customWidth="1"/>
    <col min="5379" max="5379" width="40.6640625" style="247" customWidth="1"/>
    <col min="5380" max="5380" width="7.109375" style="247" bestFit="1" customWidth="1"/>
    <col min="5381" max="5381" width="10.44140625" style="247" bestFit="1" customWidth="1"/>
    <col min="5382" max="5382" width="11.88671875" style="247" bestFit="1" customWidth="1"/>
    <col min="5383" max="5383" width="15.6640625" style="247" customWidth="1"/>
    <col min="5384" max="5385" width="8.88671875" style="247"/>
    <col min="5386" max="5386" width="12.33203125" style="247" customWidth="1"/>
    <col min="5387" max="5387" width="13.109375" style="247" customWidth="1"/>
    <col min="5388" max="5388" width="12.109375" style="247" customWidth="1"/>
    <col min="5389" max="5632" width="8.88671875" style="247"/>
    <col min="5633" max="5633" width="10.5546875" style="247" customWidth="1"/>
    <col min="5634" max="5634" width="16" style="247" customWidth="1"/>
    <col min="5635" max="5635" width="40.6640625" style="247" customWidth="1"/>
    <col min="5636" max="5636" width="7.109375" style="247" bestFit="1" customWidth="1"/>
    <col min="5637" max="5637" width="10.44140625" style="247" bestFit="1" customWidth="1"/>
    <col min="5638" max="5638" width="11.88671875" style="247" bestFit="1" customWidth="1"/>
    <col min="5639" max="5639" width="15.6640625" style="247" customWidth="1"/>
    <col min="5640" max="5641" width="8.88671875" style="247"/>
    <col min="5642" max="5642" width="12.33203125" style="247" customWidth="1"/>
    <col min="5643" max="5643" width="13.109375" style="247" customWidth="1"/>
    <col min="5644" max="5644" width="12.109375" style="247" customWidth="1"/>
    <col min="5645" max="5888" width="8.88671875" style="247"/>
    <col min="5889" max="5889" width="10.5546875" style="247" customWidth="1"/>
    <col min="5890" max="5890" width="16" style="247" customWidth="1"/>
    <col min="5891" max="5891" width="40.6640625" style="247" customWidth="1"/>
    <col min="5892" max="5892" width="7.109375" style="247" bestFit="1" customWidth="1"/>
    <col min="5893" max="5893" width="10.44140625" style="247" bestFit="1" customWidth="1"/>
    <col min="5894" max="5894" width="11.88671875" style="247" bestFit="1" customWidth="1"/>
    <col min="5895" max="5895" width="15.6640625" style="247" customWidth="1"/>
    <col min="5896" max="5897" width="8.88671875" style="247"/>
    <col min="5898" max="5898" width="12.33203125" style="247" customWidth="1"/>
    <col min="5899" max="5899" width="13.109375" style="247" customWidth="1"/>
    <col min="5900" max="5900" width="12.109375" style="247" customWidth="1"/>
    <col min="5901" max="6144" width="8.88671875" style="247"/>
    <col min="6145" max="6145" width="10.5546875" style="247" customWidth="1"/>
    <col min="6146" max="6146" width="16" style="247" customWidth="1"/>
    <col min="6147" max="6147" width="40.6640625" style="247" customWidth="1"/>
    <col min="6148" max="6148" width="7.109375" style="247" bestFit="1" customWidth="1"/>
    <col min="6149" max="6149" width="10.44140625" style="247" bestFit="1" customWidth="1"/>
    <col min="6150" max="6150" width="11.88671875" style="247" bestFit="1" customWidth="1"/>
    <col min="6151" max="6151" width="15.6640625" style="247" customWidth="1"/>
    <col min="6152" max="6153" width="8.88671875" style="247"/>
    <col min="6154" max="6154" width="12.33203125" style="247" customWidth="1"/>
    <col min="6155" max="6155" width="13.109375" style="247" customWidth="1"/>
    <col min="6156" max="6156" width="12.109375" style="247" customWidth="1"/>
    <col min="6157" max="6400" width="8.88671875" style="247"/>
    <col min="6401" max="6401" width="10.5546875" style="247" customWidth="1"/>
    <col min="6402" max="6402" width="16" style="247" customWidth="1"/>
    <col min="6403" max="6403" width="40.6640625" style="247" customWidth="1"/>
    <col min="6404" max="6404" width="7.109375" style="247" bestFit="1" customWidth="1"/>
    <col min="6405" max="6405" width="10.44140625" style="247" bestFit="1" customWidth="1"/>
    <col min="6406" max="6406" width="11.88671875" style="247" bestFit="1" customWidth="1"/>
    <col min="6407" max="6407" width="15.6640625" style="247" customWidth="1"/>
    <col min="6408" max="6409" width="8.88671875" style="247"/>
    <col min="6410" max="6410" width="12.33203125" style="247" customWidth="1"/>
    <col min="6411" max="6411" width="13.109375" style="247" customWidth="1"/>
    <col min="6412" max="6412" width="12.109375" style="247" customWidth="1"/>
    <col min="6413" max="6656" width="8.88671875" style="247"/>
    <col min="6657" max="6657" width="10.5546875" style="247" customWidth="1"/>
    <col min="6658" max="6658" width="16" style="247" customWidth="1"/>
    <col min="6659" max="6659" width="40.6640625" style="247" customWidth="1"/>
    <col min="6660" max="6660" width="7.109375" style="247" bestFit="1" customWidth="1"/>
    <col min="6661" max="6661" width="10.44140625" style="247" bestFit="1" customWidth="1"/>
    <col min="6662" max="6662" width="11.88671875" style="247" bestFit="1" customWidth="1"/>
    <col min="6663" max="6663" width="15.6640625" style="247" customWidth="1"/>
    <col min="6664" max="6665" width="8.88671875" style="247"/>
    <col min="6666" max="6666" width="12.33203125" style="247" customWidth="1"/>
    <col min="6667" max="6667" width="13.109375" style="247" customWidth="1"/>
    <col min="6668" max="6668" width="12.109375" style="247" customWidth="1"/>
    <col min="6669" max="6912" width="8.88671875" style="247"/>
    <col min="6913" max="6913" width="10.5546875" style="247" customWidth="1"/>
    <col min="6914" max="6914" width="16" style="247" customWidth="1"/>
    <col min="6915" max="6915" width="40.6640625" style="247" customWidth="1"/>
    <col min="6916" max="6916" width="7.109375" style="247" bestFit="1" customWidth="1"/>
    <col min="6917" max="6917" width="10.44140625" style="247" bestFit="1" customWidth="1"/>
    <col min="6918" max="6918" width="11.88671875" style="247" bestFit="1" customWidth="1"/>
    <col min="6919" max="6919" width="15.6640625" style="247" customWidth="1"/>
    <col min="6920" max="6921" width="8.88671875" style="247"/>
    <col min="6922" max="6922" width="12.33203125" style="247" customWidth="1"/>
    <col min="6923" max="6923" width="13.109375" style="247" customWidth="1"/>
    <col min="6924" max="6924" width="12.109375" style="247" customWidth="1"/>
    <col min="6925" max="7168" width="8.88671875" style="247"/>
    <col min="7169" max="7169" width="10.5546875" style="247" customWidth="1"/>
    <col min="7170" max="7170" width="16" style="247" customWidth="1"/>
    <col min="7171" max="7171" width="40.6640625" style="247" customWidth="1"/>
    <col min="7172" max="7172" width="7.109375" style="247" bestFit="1" customWidth="1"/>
    <col min="7173" max="7173" width="10.44140625" style="247" bestFit="1" customWidth="1"/>
    <col min="7174" max="7174" width="11.88671875" style="247" bestFit="1" customWidth="1"/>
    <col min="7175" max="7175" width="15.6640625" style="247" customWidth="1"/>
    <col min="7176" max="7177" width="8.88671875" style="247"/>
    <col min="7178" max="7178" width="12.33203125" style="247" customWidth="1"/>
    <col min="7179" max="7179" width="13.109375" style="247" customWidth="1"/>
    <col min="7180" max="7180" width="12.109375" style="247" customWidth="1"/>
    <col min="7181" max="7424" width="8.88671875" style="247"/>
    <col min="7425" max="7425" width="10.5546875" style="247" customWidth="1"/>
    <col min="7426" max="7426" width="16" style="247" customWidth="1"/>
    <col min="7427" max="7427" width="40.6640625" style="247" customWidth="1"/>
    <col min="7428" max="7428" width="7.109375" style="247" bestFit="1" customWidth="1"/>
    <col min="7429" max="7429" width="10.44140625" style="247" bestFit="1" customWidth="1"/>
    <col min="7430" max="7430" width="11.88671875" style="247" bestFit="1" customWidth="1"/>
    <col min="7431" max="7431" width="15.6640625" style="247" customWidth="1"/>
    <col min="7432" max="7433" width="8.88671875" style="247"/>
    <col min="7434" max="7434" width="12.33203125" style="247" customWidth="1"/>
    <col min="7435" max="7435" width="13.109375" style="247" customWidth="1"/>
    <col min="7436" max="7436" width="12.109375" style="247" customWidth="1"/>
    <col min="7437" max="7680" width="8.88671875" style="247"/>
    <col min="7681" max="7681" width="10.5546875" style="247" customWidth="1"/>
    <col min="7682" max="7682" width="16" style="247" customWidth="1"/>
    <col min="7683" max="7683" width="40.6640625" style="247" customWidth="1"/>
    <col min="7684" max="7684" width="7.109375" style="247" bestFit="1" customWidth="1"/>
    <col min="7685" max="7685" width="10.44140625" style="247" bestFit="1" customWidth="1"/>
    <col min="7686" max="7686" width="11.88671875" style="247" bestFit="1" customWidth="1"/>
    <col min="7687" max="7687" width="15.6640625" style="247" customWidth="1"/>
    <col min="7688" max="7689" width="8.88671875" style="247"/>
    <col min="7690" max="7690" width="12.33203125" style="247" customWidth="1"/>
    <col min="7691" max="7691" width="13.109375" style="247" customWidth="1"/>
    <col min="7692" max="7692" width="12.109375" style="247" customWidth="1"/>
    <col min="7693" max="7936" width="8.88671875" style="247"/>
    <col min="7937" max="7937" width="10.5546875" style="247" customWidth="1"/>
    <col min="7938" max="7938" width="16" style="247" customWidth="1"/>
    <col min="7939" max="7939" width="40.6640625" style="247" customWidth="1"/>
    <col min="7940" max="7940" width="7.109375" style="247" bestFit="1" customWidth="1"/>
    <col min="7941" max="7941" width="10.44140625" style="247" bestFit="1" customWidth="1"/>
    <col min="7942" max="7942" width="11.88671875" style="247" bestFit="1" customWidth="1"/>
    <col min="7943" max="7943" width="15.6640625" style="247" customWidth="1"/>
    <col min="7944" max="7945" width="8.88671875" style="247"/>
    <col min="7946" max="7946" width="12.33203125" style="247" customWidth="1"/>
    <col min="7947" max="7947" width="13.109375" style="247" customWidth="1"/>
    <col min="7948" max="7948" width="12.109375" style="247" customWidth="1"/>
    <col min="7949" max="8192" width="8.88671875" style="247"/>
    <col min="8193" max="8193" width="10.5546875" style="247" customWidth="1"/>
    <col min="8194" max="8194" width="16" style="247" customWidth="1"/>
    <col min="8195" max="8195" width="40.6640625" style="247" customWidth="1"/>
    <col min="8196" max="8196" width="7.109375" style="247" bestFit="1" customWidth="1"/>
    <col min="8197" max="8197" width="10.44140625" style="247" bestFit="1" customWidth="1"/>
    <col min="8198" max="8198" width="11.88671875" style="247" bestFit="1" customWidth="1"/>
    <col min="8199" max="8199" width="15.6640625" style="247" customWidth="1"/>
    <col min="8200" max="8201" width="8.88671875" style="247"/>
    <col min="8202" max="8202" width="12.33203125" style="247" customWidth="1"/>
    <col min="8203" max="8203" width="13.109375" style="247" customWidth="1"/>
    <col min="8204" max="8204" width="12.109375" style="247" customWidth="1"/>
    <col min="8205" max="8448" width="8.88671875" style="247"/>
    <col min="8449" max="8449" width="10.5546875" style="247" customWidth="1"/>
    <col min="8450" max="8450" width="16" style="247" customWidth="1"/>
    <col min="8451" max="8451" width="40.6640625" style="247" customWidth="1"/>
    <col min="8452" max="8452" width="7.109375" style="247" bestFit="1" customWidth="1"/>
    <col min="8453" max="8453" width="10.44140625" style="247" bestFit="1" customWidth="1"/>
    <col min="8454" max="8454" width="11.88671875" style="247" bestFit="1" customWidth="1"/>
    <col min="8455" max="8455" width="15.6640625" style="247" customWidth="1"/>
    <col min="8456" max="8457" width="8.88671875" style="247"/>
    <col min="8458" max="8458" width="12.33203125" style="247" customWidth="1"/>
    <col min="8459" max="8459" width="13.109375" style="247" customWidth="1"/>
    <col min="8460" max="8460" width="12.109375" style="247" customWidth="1"/>
    <col min="8461" max="8704" width="8.88671875" style="247"/>
    <col min="8705" max="8705" width="10.5546875" style="247" customWidth="1"/>
    <col min="8706" max="8706" width="16" style="247" customWidth="1"/>
    <col min="8707" max="8707" width="40.6640625" style="247" customWidth="1"/>
    <col min="8708" max="8708" width="7.109375" style="247" bestFit="1" customWidth="1"/>
    <col min="8709" max="8709" width="10.44140625" style="247" bestFit="1" customWidth="1"/>
    <col min="8710" max="8710" width="11.88671875" style="247" bestFit="1" customWidth="1"/>
    <col min="8711" max="8711" width="15.6640625" style="247" customWidth="1"/>
    <col min="8712" max="8713" width="8.88671875" style="247"/>
    <col min="8714" max="8714" width="12.33203125" style="247" customWidth="1"/>
    <col min="8715" max="8715" width="13.109375" style="247" customWidth="1"/>
    <col min="8716" max="8716" width="12.109375" style="247" customWidth="1"/>
    <col min="8717" max="8960" width="8.88671875" style="247"/>
    <col min="8961" max="8961" width="10.5546875" style="247" customWidth="1"/>
    <col min="8962" max="8962" width="16" style="247" customWidth="1"/>
    <col min="8963" max="8963" width="40.6640625" style="247" customWidth="1"/>
    <col min="8964" max="8964" width="7.109375" style="247" bestFit="1" customWidth="1"/>
    <col min="8965" max="8965" width="10.44140625" style="247" bestFit="1" customWidth="1"/>
    <col min="8966" max="8966" width="11.88671875" style="247" bestFit="1" customWidth="1"/>
    <col min="8967" max="8967" width="15.6640625" style="247" customWidth="1"/>
    <col min="8968" max="8969" width="8.88671875" style="247"/>
    <col min="8970" max="8970" width="12.33203125" style="247" customWidth="1"/>
    <col min="8971" max="8971" width="13.109375" style="247" customWidth="1"/>
    <col min="8972" max="8972" width="12.109375" style="247" customWidth="1"/>
    <col min="8973" max="9216" width="8.88671875" style="247"/>
    <col min="9217" max="9217" width="10.5546875" style="247" customWidth="1"/>
    <col min="9218" max="9218" width="16" style="247" customWidth="1"/>
    <col min="9219" max="9219" width="40.6640625" style="247" customWidth="1"/>
    <col min="9220" max="9220" width="7.109375" style="247" bestFit="1" customWidth="1"/>
    <col min="9221" max="9221" width="10.44140625" style="247" bestFit="1" customWidth="1"/>
    <col min="9222" max="9222" width="11.88671875" style="247" bestFit="1" customWidth="1"/>
    <col min="9223" max="9223" width="15.6640625" style="247" customWidth="1"/>
    <col min="9224" max="9225" width="8.88671875" style="247"/>
    <col min="9226" max="9226" width="12.33203125" style="247" customWidth="1"/>
    <col min="9227" max="9227" width="13.109375" style="247" customWidth="1"/>
    <col min="9228" max="9228" width="12.109375" style="247" customWidth="1"/>
    <col min="9229" max="9472" width="8.88671875" style="247"/>
    <col min="9473" max="9473" width="10.5546875" style="247" customWidth="1"/>
    <col min="9474" max="9474" width="16" style="247" customWidth="1"/>
    <col min="9475" max="9475" width="40.6640625" style="247" customWidth="1"/>
    <col min="9476" max="9476" width="7.109375" style="247" bestFit="1" customWidth="1"/>
    <col min="9477" max="9477" width="10.44140625" style="247" bestFit="1" customWidth="1"/>
    <col min="9478" max="9478" width="11.88671875" style="247" bestFit="1" customWidth="1"/>
    <col min="9479" max="9479" width="15.6640625" style="247" customWidth="1"/>
    <col min="9480" max="9481" width="8.88671875" style="247"/>
    <col min="9482" max="9482" width="12.33203125" style="247" customWidth="1"/>
    <col min="9483" max="9483" width="13.109375" style="247" customWidth="1"/>
    <col min="9484" max="9484" width="12.109375" style="247" customWidth="1"/>
    <col min="9485" max="9728" width="8.88671875" style="247"/>
    <col min="9729" max="9729" width="10.5546875" style="247" customWidth="1"/>
    <col min="9730" max="9730" width="16" style="247" customWidth="1"/>
    <col min="9731" max="9731" width="40.6640625" style="247" customWidth="1"/>
    <col min="9732" max="9732" width="7.109375" style="247" bestFit="1" customWidth="1"/>
    <col min="9733" max="9733" width="10.44140625" style="247" bestFit="1" customWidth="1"/>
    <col min="9734" max="9734" width="11.88671875" style="247" bestFit="1" customWidth="1"/>
    <col min="9735" max="9735" width="15.6640625" style="247" customWidth="1"/>
    <col min="9736" max="9737" width="8.88671875" style="247"/>
    <col min="9738" max="9738" width="12.33203125" style="247" customWidth="1"/>
    <col min="9739" max="9739" width="13.109375" style="247" customWidth="1"/>
    <col min="9740" max="9740" width="12.109375" style="247" customWidth="1"/>
    <col min="9741" max="9984" width="8.88671875" style="247"/>
    <col min="9985" max="9985" width="10.5546875" style="247" customWidth="1"/>
    <col min="9986" max="9986" width="16" style="247" customWidth="1"/>
    <col min="9987" max="9987" width="40.6640625" style="247" customWidth="1"/>
    <col min="9988" max="9988" width="7.109375" style="247" bestFit="1" customWidth="1"/>
    <col min="9989" max="9989" width="10.44140625" style="247" bestFit="1" customWidth="1"/>
    <col min="9990" max="9990" width="11.88671875" style="247" bestFit="1" customWidth="1"/>
    <col min="9991" max="9991" width="15.6640625" style="247" customWidth="1"/>
    <col min="9992" max="9993" width="8.88671875" style="247"/>
    <col min="9994" max="9994" width="12.33203125" style="247" customWidth="1"/>
    <col min="9995" max="9995" width="13.109375" style="247" customWidth="1"/>
    <col min="9996" max="9996" width="12.109375" style="247" customWidth="1"/>
    <col min="9997" max="10240" width="8.88671875" style="247"/>
    <col min="10241" max="10241" width="10.5546875" style="247" customWidth="1"/>
    <col min="10242" max="10242" width="16" style="247" customWidth="1"/>
    <col min="10243" max="10243" width="40.6640625" style="247" customWidth="1"/>
    <col min="10244" max="10244" width="7.109375" style="247" bestFit="1" customWidth="1"/>
    <col min="10245" max="10245" width="10.44140625" style="247" bestFit="1" customWidth="1"/>
    <col min="10246" max="10246" width="11.88671875" style="247" bestFit="1" customWidth="1"/>
    <col min="10247" max="10247" width="15.6640625" style="247" customWidth="1"/>
    <col min="10248" max="10249" width="8.88671875" style="247"/>
    <col min="10250" max="10250" width="12.33203125" style="247" customWidth="1"/>
    <col min="10251" max="10251" width="13.109375" style="247" customWidth="1"/>
    <col min="10252" max="10252" width="12.109375" style="247" customWidth="1"/>
    <col min="10253" max="10496" width="8.88671875" style="247"/>
    <col min="10497" max="10497" width="10.5546875" style="247" customWidth="1"/>
    <col min="10498" max="10498" width="16" style="247" customWidth="1"/>
    <col min="10499" max="10499" width="40.6640625" style="247" customWidth="1"/>
    <col min="10500" max="10500" width="7.109375" style="247" bestFit="1" customWidth="1"/>
    <col min="10501" max="10501" width="10.44140625" style="247" bestFit="1" customWidth="1"/>
    <col min="10502" max="10502" width="11.88671875" style="247" bestFit="1" customWidth="1"/>
    <col min="10503" max="10503" width="15.6640625" style="247" customWidth="1"/>
    <col min="10504" max="10505" width="8.88671875" style="247"/>
    <col min="10506" max="10506" width="12.33203125" style="247" customWidth="1"/>
    <col min="10507" max="10507" width="13.109375" style="247" customWidth="1"/>
    <col min="10508" max="10508" width="12.109375" style="247" customWidth="1"/>
    <col min="10509" max="10752" width="8.88671875" style="247"/>
    <col min="10753" max="10753" width="10.5546875" style="247" customWidth="1"/>
    <col min="10754" max="10754" width="16" style="247" customWidth="1"/>
    <col min="10755" max="10755" width="40.6640625" style="247" customWidth="1"/>
    <col min="10756" max="10756" width="7.109375" style="247" bestFit="1" customWidth="1"/>
    <col min="10757" max="10757" width="10.44140625" style="247" bestFit="1" customWidth="1"/>
    <col min="10758" max="10758" width="11.88671875" style="247" bestFit="1" customWidth="1"/>
    <col min="10759" max="10759" width="15.6640625" style="247" customWidth="1"/>
    <col min="10760" max="10761" width="8.88671875" style="247"/>
    <col min="10762" max="10762" width="12.33203125" style="247" customWidth="1"/>
    <col min="10763" max="10763" width="13.109375" style="247" customWidth="1"/>
    <col min="10764" max="10764" width="12.109375" style="247" customWidth="1"/>
    <col min="10765" max="11008" width="8.88671875" style="247"/>
    <col min="11009" max="11009" width="10.5546875" style="247" customWidth="1"/>
    <col min="11010" max="11010" width="16" style="247" customWidth="1"/>
    <col min="11011" max="11011" width="40.6640625" style="247" customWidth="1"/>
    <col min="11012" max="11012" width="7.109375" style="247" bestFit="1" customWidth="1"/>
    <col min="11013" max="11013" width="10.44140625" style="247" bestFit="1" customWidth="1"/>
    <col min="11014" max="11014" width="11.88671875" style="247" bestFit="1" customWidth="1"/>
    <col min="11015" max="11015" width="15.6640625" style="247" customWidth="1"/>
    <col min="11016" max="11017" width="8.88671875" style="247"/>
    <col min="11018" max="11018" width="12.33203125" style="247" customWidth="1"/>
    <col min="11019" max="11019" width="13.109375" style="247" customWidth="1"/>
    <col min="11020" max="11020" width="12.109375" style="247" customWidth="1"/>
    <col min="11021" max="11264" width="8.88671875" style="247"/>
    <col min="11265" max="11265" width="10.5546875" style="247" customWidth="1"/>
    <col min="11266" max="11266" width="16" style="247" customWidth="1"/>
    <col min="11267" max="11267" width="40.6640625" style="247" customWidth="1"/>
    <col min="11268" max="11268" width="7.109375" style="247" bestFit="1" customWidth="1"/>
    <col min="11269" max="11269" width="10.44140625" style="247" bestFit="1" customWidth="1"/>
    <col min="11270" max="11270" width="11.88671875" style="247" bestFit="1" customWidth="1"/>
    <col min="11271" max="11271" width="15.6640625" style="247" customWidth="1"/>
    <col min="11272" max="11273" width="8.88671875" style="247"/>
    <col min="11274" max="11274" width="12.33203125" style="247" customWidth="1"/>
    <col min="11275" max="11275" width="13.109375" style="247" customWidth="1"/>
    <col min="11276" max="11276" width="12.109375" style="247" customWidth="1"/>
    <col min="11277" max="11520" width="8.88671875" style="247"/>
    <col min="11521" max="11521" width="10.5546875" style="247" customWidth="1"/>
    <col min="11522" max="11522" width="16" style="247" customWidth="1"/>
    <col min="11523" max="11523" width="40.6640625" style="247" customWidth="1"/>
    <col min="11524" max="11524" width="7.109375" style="247" bestFit="1" customWidth="1"/>
    <col min="11525" max="11525" width="10.44140625" style="247" bestFit="1" customWidth="1"/>
    <col min="11526" max="11526" width="11.88671875" style="247" bestFit="1" customWidth="1"/>
    <col min="11527" max="11527" width="15.6640625" style="247" customWidth="1"/>
    <col min="11528" max="11529" width="8.88671875" style="247"/>
    <col min="11530" max="11530" width="12.33203125" style="247" customWidth="1"/>
    <col min="11531" max="11531" width="13.109375" style="247" customWidth="1"/>
    <col min="11532" max="11532" width="12.109375" style="247" customWidth="1"/>
    <col min="11533" max="11776" width="8.88671875" style="247"/>
    <col min="11777" max="11777" width="10.5546875" style="247" customWidth="1"/>
    <col min="11778" max="11778" width="16" style="247" customWidth="1"/>
    <col min="11779" max="11779" width="40.6640625" style="247" customWidth="1"/>
    <col min="11780" max="11780" width="7.109375" style="247" bestFit="1" customWidth="1"/>
    <col min="11781" max="11781" width="10.44140625" style="247" bestFit="1" customWidth="1"/>
    <col min="11782" max="11782" width="11.88671875" style="247" bestFit="1" customWidth="1"/>
    <col min="11783" max="11783" width="15.6640625" style="247" customWidth="1"/>
    <col min="11784" max="11785" width="8.88671875" style="247"/>
    <col min="11786" max="11786" width="12.33203125" style="247" customWidth="1"/>
    <col min="11787" max="11787" width="13.109375" style="247" customWidth="1"/>
    <col min="11788" max="11788" width="12.109375" style="247" customWidth="1"/>
    <col min="11789" max="12032" width="8.88671875" style="247"/>
    <col min="12033" max="12033" width="10.5546875" style="247" customWidth="1"/>
    <col min="12034" max="12034" width="16" style="247" customWidth="1"/>
    <col min="12035" max="12035" width="40.6640625" style="247" customWidth="1"/>
    <col min="12036" max="12036" width="7.109375" style="247" bestFit="1" customWidth="1"/>
    <col min="12037" max="12037" width="10.44140625" style="247" bestFit="1" customWidth="1"/>
    <col min="12038" max="12038" width="11.88671875" style="247" bestFit="1" customWidth="1"/>
    <col min="12039" max="12039" width="15.6640625" style="247" customWidth="1"/>
    <col min="12040" max="12041" width="8.88671875" style="247"/>
    <col min="12042" max="12042" width="12.33203125" style="247" customWidth="1"/>
    <col min="12043" max="12043" width="13.109375" style="247" customWidth="1"/>
    <col min="12044" max="12044" width="12.109375" style="247" customWidth="1"/>
    <col min="12045" max="12288" width="8.88671875" style="247"/>
    <col min="12289" max="12289" width="10.5546875" style="247" customWidth="1"/>
    <col min="12290" max="12290" width="16" style="247" customWidth="1"/>
    <col min="12291" max="12291" width="40.6640625" style="247" customWidth="1"/>
    <col min="12292" max="12292" width="7.109375" style="247" bestFit="1" customWidth="1"/>
    <col min="12293" max="12293" width="10.44140625" style="247" bestFit="1" customWidth="1"/>
    <col min="12294" max="12294" width="11.88671875" style="247" bestFit="1" customWidth="1"/>
    <col min="12295" max="12295" width="15.6640625" style="247" customWidth="1"/>
    <col min="12296" max="12297" width="8.88671875" style="247"/>
    <col min="12298" max="12298" width="12.33203125" style="247" customWidth="1"/>
    <col min="12299" max="12299" width="13.109375" style="247" customWidth="1"/>
    <col min="12300" max="12300" width="12.109375" style="247" customWidth="1"/>
    <col min="12301" max="12544" width="8.88671875" style="247"/>
    <col min="12545" max="12545" width="10.5546875" style="247" customWidth="1"/>
    <col min="12546" max="12546" width="16" style="247" customWidth="1"/>
    <col min="12547" max="12547" width="40.6640625" style="247" customWidth="1"/>
    <col min="12548" max="12548" width="7.109375" style="247" bestFit="1" customWidth="1"/>
    <col min="12549" max="12549" width="10.44140625" style="247" bestFit="1" customWidth="1"/>
    <col min="12550" max="12550" width="11.88671875" style="247" bestFit="1" customWidth="1"/>
    <col min="12551" max="12551" width="15.6640625" style="247" customWidth="1"/>
    <col min="12552" max="12553" width="8.88671875" style="247"/>
    <col min="12554" max="12554" width="12.33203125" style="247" customWidth="1"/>
    <col min="12555" max="12555" width="13.109375" style="247" customWidth="1"/>
    <col min="12556" max="12556" width="12.109375" style="247" customWidth="1"/>
    <col min="12557" max="12800" width="8.88671875" style="247"/>
    <col min="12801" max="12801" width="10.5546875" style="247" customWidth="1"/>
    <col min="12802" max="12802" width="16" style="247" customWidth="1"/>
    <col min="12803" max="12803" width="40.6640625" style="247" customWidth="1"/>
    <col min="12804" max="12804" width="7.109375" style="247" bestFit="1" customWidth="1"/>
    <col min="12805" max="12805" width="10.44140625" style="247" bestFit="1" customWidth="1"/>
    <col min="12806" max="12806" width="11.88671875" style="247" bestFit="1" customWidth="1"/>
    <col min="12807" max="12807" width="15.6640625" style="247" customWidth="1"/>
    <col min="12808" max="12809" width="8.88671875" style="247"/>
    <col min="12810" max="12810" width="12.33203125" style="247" customWidth="1"/>
    <col min="12811" max="12811" width="13.109375" style="247" customWidth="1"/>
    <col min="12812" max="12812" width="12.109375" style="247" customWidth="1"/>
    <col min="12813" max="13056" width="8.88671875" style="247"/>
    <col min="13057" max="13057" width="10.5546875" style="247" customWidth="1"/>
    <col min="13058" max="13058" width="16" style="247" customWidth="1"/>
    <col min="13059" max="13059" width="40.6640625" style="247" customWidth="1"/>
    <col min="13060" max="13060" width="7.109375" style="247" bestFit="1" customWidth="1"/>
    <col min="13061" max="13061" width="10.44140625" style="247" bestFit="1" customWidth="1"/>
    <col min="13062" max="13062" width="11.88671875" style="247" bestFit="1" customWidth="1"/>
    <col min="13063" max="13063" width="15.6640625" style="247" customWidth="1"/>
    <col min="13064" max="13065" width="8.88671875" style="247"/>
    <col min="13066" max="13066" width="12.33203125" style="247" customWidth="1"/>
    <col min="13067" max="13067" width="13.109375" style="247" customWidth="1"/>
    <col min="13068" max="13068" width="12.109375" style="247" customWidth="1"/>
    <col min="13069" max="13312" width="8.88671875" style="247"/>
    <col min="13313" max="13313" width="10.5546875" style="247" customWidth="1"/>
    <col min="13314" max="13314" width="16" style="247" customWidth="1"/>
    <col min="13315" max="13315" width="40.6640625" style="247" customWidth="1"/>
    <col min="13316" max="13316" width="7.109375" style="247" bestFit="1" customWidth="1"/>
    <col min="13317" max="13317" width="10.44140625" style="247" bestFit="1" customWidth="1"/>
    <col min="13318" max="13318" width="11.88671875" style="247" bestFit="1" customWidth="1"/>
    <col min="13319" max="13319" width="15.6640625" style="247" customWidth="1"/>
    <col min="13320" max="13321" width="8.88671875" style="247"/>
    <col min="13322" max="13322" width="12.33203125" style="247" customWidth="1"/>
    <col min="13323" max="13323" width="13.109375" style="247" customWidth="1"/>
    <col min="13324" max="13324" width="12.109375" style="247" customWidth="1"/>
    <col min="13325" max="13568" width="8.88671875" style="247"/>
    <col min="13569" max="13569" width="10.5546875" style="247" customWidth="1"/>
    <col min="13570" max="13570" width="16" style="247" customWidth="1"/>
    <col min="13571" max="13571" width="40.6640625" style="247" customWidth="1"/>
    <col min="13572" max="13572" width="7.109375" style="247" bestFit="1" customWidth="1"/>
    <col min="13573" max="13573" width="10.44140625" style="247" bestFit="1" customWidth="1"/>
    <col min="13574" max="13574" width="11.88671875" style="247" bestFit="1" customWidth="1"/>
    <col min="13575" max="13575" width="15.6640625" style="247" customWidth="1"/>
    <col min="13576" max="13577" width="8.88671875" style="247"/>
    <col min="13578" max="13578" width="12.33203125" style="247" customWidth="1"/>
    <col min="13579" max="13579" width="13.109375" style="247" customWidth="1"/>
    <col min="13580" max="13580" width="12.109375" style="247" customWidth="1"/>
    <col min="13581" max="13824" width="8.88671875" style="247"/>
    <col min="13825" max="13825" width="10.5546875" style="247" customWidth="1"/>
    <col min="13826" max="13826" width="16" style="247" customWidth="1"/>
    <col min="13827" max="13827" width="40.6640625" style="247" customWidth="1"/>
    <col min="13828" max="13828" width="7.109375" style="247" bestFit="1" customWidth="1"/>
    <col min="13829" max="13829" width="10.44140625" style="247" bestFit="1" customWidth="1"/>
    <col min="13830" max="13830" width="11.88671875" style="247" bestFit="1" customWidth="1"/>
    <col min="13831" max="13831" width="15.6640625" style="247" customWidth="1"/>
    <col min="13832" max="13833" width="8.88671875" style="247"/>
    <col min="13834" max="13834" width="12.33203125" style="247" customWidth="1"/>
    <col min="13835" max="13835" width="13.109375" style="247" customWidth="1"/>
    <col min="13836" max="13836" width="12.109375" style="247" customWidth="1"/>
    <col min="13837" max="14080" width="8.88671875" style="247"/>
    <col min="14081" max="14081" width="10.5546875" style="247" customWidth="1"/>
    <col min="14082" max="14082" width="16" style="247" customWidth="1"/>
    <col min="14083" max="14083" width="40.6640625" style="247" customWidth="1"/>
    <col min="14084" max="14084" width="7.109375" style="247" bestFit="1" customWidth="1"/>
    <col min="14085" max="14085" width="10.44140625" style="247" bestFit="1" customWidth="1"/>
    <col min="14086" max="14086" width="11.88671875" style="247" bestFit="1" customWidth="1"/>
    <col min="14087" max="14087" width="15.6640625" style="247" customWidth="1"/>
    <col min="14088" max="14089" width="8.88671875" style="247"/>
    <col min="14090" max="14090" width="12.33203125" style="247" customWidth="1"/>
    <col min="14091" max="14091" width="13.109375" style="247" customWidth="1"/>
    <col min="14092" max="14092" width="12.109375" style="247" customWidth="1"/>
    <col min="14093" max="14336" width="8.88671875" style="247"/>
    <col min="14337" max="14337" width="10.5546875" style="247" customWidth="1"/>
    <col min="14338" max="14338" width="16" style="247" customWidth="1"/>
    <col min="14339" max="14339" width="40.6640625" style="247" customWidth="1"/>
    <col min="14340" max="14340" width="7.109375" style="247" bestFit="1" customWidth="1"/>
    <col min="14341" max="14341" width="10.44140625" style="247" bestFit="1" customWidth="1"/>
    <col min="14342" max="14342" width="11.88671875" style="247" bestFit="1" customWidth="1"/>
    <col min="14343" max="14343" width="15.6640625" style="247" customWidth="1"/>
    <col min="14344" max="14345" width="8.88671875" style="247"/>
    <col min="14346" max="14346" width="12.33203125" style="247" customWidth="1"/>
    <col min="14347" max="14347" width="13.109375" style="247" customWidth="1"/>
    <col min="14348" max="14348" width="12.109375" style="247" customWidth="1"/>
    <col min="14349" max="14592" width="8.88671875" style="247"/>
    <col min="14593" max="14593" width="10.5546875" style="247" customWidth="1"/>
    <col min="14594" max="14594" width="16" style="247" customWidth="1"/>
    <col min="14595" max="14595" width="40.6640625" style="247" customWidth="1"/>
    <col min="14596" max="14596" width="7.109375" style="247" bestFit="1" customWidth="1"/>
    <col min="14597" max="14597" width="10.44140625" style="247" bestFit="1" customWidth="1"/>
    <col min="14598" max="14598" width="11.88671875" style="247" bestFit="1" customWidth="1"/>
    <col min="14599" max="14599" width="15.6640625" style="247" customWidth="1"/>
    <col min="14600" max="14601" width="8.88671875" style="247"/>
    <col min="14602" max="14602" width="12.33203125" style="247" customWidth="1"/>
    <col min="14603" max="14603" width="13.109375" style="247" customWidth="1"/>
    <col min="14604" max="14604" width="12.109375" style="247" customWidth="1"/>
    <col min="14605" max="14848" width="8.88671875" style="247"/>
    <col min="14849" max="14849" width="10.5546875" style="247" customWidth="1"/>
    <col min="14850" max="14850" width="16" style="247" customWidth="1"/>
    <col min="14851" max="14851" width="40.6640625" style="247" customWidth="1"/>
    <col min="14852" max="14852" width="7.109375" style="247" bestFit="1" customWidth="1"/>
    <col min="14853" max="14853" width="10.44140625" style="247" bestFit="1" customWidth="1"/>
    <col min="14854" max="14854" width="11.88671875" style="247" bestFit="1" customWidth="1"/>
    <col min="14855" max="14855" width="15.6640625" style="247" customWidth="1"/>
    <col min="14856" max="14857" width="8.88671875" style="247"/>
    <col min="14858" max="14858" width="12.33203125" style="247" customWidth="1"/>
    <col min="14859" max="14859" width="13.109375" style="247" customWidth="1"/>
    <col min="14860" max="14860" width="12.109375" style="247" customWidth="1"/>
    <col min="14861" max="15104" width="8.88671875" style="247"/>
    <col min="15105" max="15105" width="10.5546875" style="247" customWidth="1"/>
    <col min="15106" max="15106" width="16" style="247" customWidth="1"/>
    <col min="15107" max="15107" width="40.6640625" style="247" customWidth="1"/>
    <col min="15108" max="15108" width="7.109375" style="247" bestFit="1" customWidth="1"/>
    <col min="15109" max="15109" width="10.44140625" style="247" bestFit="1" customWidth="1"/>
    <col min="15110" max="15110" width="11.88671875" style="247" bestFit="1" customWidth="1"/>
    <col min="15111" max="15111" width="15.6640625" style="247" customWidth="1"/>
    <col min="15112" max="15113" width="8.88671875" style="247"/>
    <col min="15114" max="15114" width="12.33203125" style="247" customWidth="1"/>
    <col min="15115" max="15115" width="13.109375" style="247" customWidth="1"/>
    <col min="15116" max="15116" width="12.109375" style="247" customWidth="1"/>
    <col min="15117" max="15360" width="8.88671875" style="247"/>
    <col min="15361" max="15361" width="10.5546875" style="247" customWidth="1"/>
    <col min="15362" max="15362" width="16" style="247" customWidth="1"/>
    <col min="15363" max="15363" width="40.6640625" style="247" customWidth="1"/>
    <col min="15364" max="15364" width="7.109375" style="247" bestFit="1" customWidth="1"/>
    <col min="15365" max="15365" width="10.44140625" style="247" bestFit="1" customWidth="1"/>
    <col min="15366" max="15366" width="11.88671875" style="247" bestFit="1" customWidth="1"/>
    <col min="15367" max="15367" width="15.6640625" style="247" customWidth="1"/>
    <col min="15368" max="15369" width="8.88671875" style="247"/>
    <col min="15370" max="15370" width="12.33203125" style="247" customWidth="1"/>
    <col min="15371" max="15371" width="13.109375" style="247" customWidth="1"/>
    <col min="15372" max="15372" width="12.109375" style="247" customWidth="1"/>
    <col min="15373" max="15616" width="8.88671875" style="247"/>
    <col min="15617" max="15617" width="10.5546875" style="247" customWidth="1"/>
    <col min="15618" max="15618" width="16" style="247" customWidth="1"/>
    <col min="15619" max="15619" width="40.6640625" style="247" customWidth="1"/>
    <col min="15620" max="15620" width="7.109375" style="247" bestFit="1" customWidth="1"/>
    <col min="15621" max="15621" width="10.44140625" style="247" bestFit="1" customWidth="1"/>
    <col min="15622" max="15622" width="11.88671875" style="247" bestFit="1" customWidth="1"/>
    <col min="15623" max="15623" width="15.6640625" style="247" customWidth="1"/>
    <col min="15624" max="15625" width="8.88671875" style="247"/>
    <col min="15626" max="15626" width="12.33203125" style="247" customWidth="1"/>
    <col min="15627" max="15627" width="13.109375" style="247" customWidth="1"/>
    <col min="15628" max="15628" width="12.109375" style="247" customWidth="1"/>
    <col min="15629" max="15872" width="8.88671875" style="247"/>
    <col min="15873" max="15873" width="10.5546875" style="247" customWidth="1"/>
    <col min="15874" max="15874" width="16" style="247" customWidth="1"/>
    <col min="15875" max="15875" width="40.6640625" style="247" customWidth="1"/>
    <col min="15876" max="15876" width="7.109375" style="247" bestFit="1" customWidth="1"/>
    <col min="15877" max="15877" width="10.44140625" style="247" bestFit="1" customWidth="1"/>
    <col min="15878" max="15878" width="11.88671875" style="247" bestFit="1" customWidth="1"/>
    <col min="15879" max="15879" width="15.6640625" style="247" customWidth="1"/>
    <col min="15880" max="15881" width="8.88671875" style="247"/>
    <col min="15882" max="15882" width="12.33203125" style="247" customWidth="1"/>
    <col min="15883" max="15883" width="13.109375" style="247" customWidth="1"/>
    <col min="15884" max="15884" width="12.109375" style="247" customWidth="1"/>
    <col min="15885" max="16128" width="8.88671875" style="247"/>
    <col min="16129" max="16129" width="10.5546875" style="247" customWidth="1"/>
    <col min="16130" max="16130" width="16" style="247" customWidth="1"/>
    <col min="16131" max="16131" width="40.6640625" style="247" customWidth="1"/>
    <col min="16132" max="16132" width="7.109375" style="247" bestFit="1" customWidth="1"/>
    <col min="16133" max="16133" width="10.44140625" style="247" bestFit="1" customWidth="1"/>
    <col min="16134" max="16134" width="11.88671875" style="247" bestFit="1" customWidth="1"/>
    <col min="16135" max="16135" width="15.6640625" style="247" customWidth="1"/>
    <col min="16136" max="16137" width="8.88671875" style="247"/>
    <col min="16138" max="16138" width="12.33203125" style="247" customWidth="1"/>
    <col min="16139" max="16139" width="13.109375" style="247" customWidth="1"/>
    <col min="16140" max="16140" width="12.109375" style="247" customWidth="1"/>
    <col min="16141" max="16384" width="8.88671875" style="247"/>
  </cols>
  <sheetData>
    <row r="1" spans="1:7" ht="18" customHeight="1">
      <c r="A1" s="483" t="str">
        <f>'Planilha Orcamentária'!A2:E2</f>
        <v>PREFEITURA MUNICIPAL DE BOM JARDIM DE MINAS /MG</v>
      </c>
      <c r="B1" s="484"/>
      <c r="C1" s="484"/>
      <c r="D1" s="484"/>
      <c r="E1" s="484"/>
      <c r="F1" s="484"/>
      <c r="G1" s="485"/>
    </row>
    <row r="2" spans="1:7" ht="19.8" customHeight="1">
      <c r="A2" s="486" t="str">
        <f>'Planilha Orcamentária'!A3:E3</f>
        <v>OBRA: PAVIMENTAÇÃO ASFÁLTICA EM CBUQ E EXECUÇÃO DE INFRAESTRUTURA EM VIA URBANA - ETAPA 02</v>
      </c>
      <c r="B2" s="487"/>
      <c r="C2" s="487"/>
      <c r="D2" s="487"/>
      <c r="E2" s="487"/>
      <c r="F2" s="487"/>
      <c r="G2" s="488"/>
    </row>
    <row r="3" spans="1:7" ht="16.8" customHeight="1">
      <c r="A3" s="486" t="str">
        <f>'Planilha Orcamentária'!A4:E4</f>
        <v>LOCAL: AVENIDA PREFEITO GENIVALDO MARQUES DE PAULA - CENTRO (ENTRADA DO MUNICIPIO DE BOM JARDIM DE MINAS)/MG</v>
      </c>
      <c r="B3" s="487"/>
      <c r="C3" s="487"/>
      <c r="D3" s="487"/>
      <c r="E3" s="487"/>
      <c r="F3" s="487"/>
      <c r="G3" s="488"/>
    </row>
    <row r="4" spans="1:7" ht="28.2" customHeight="1" thickBot="1">
      <c r="A4" s="489" t="str">
        <f>'Planilha Orcamentária'!A5:E5</f>
        <v>REGIÃO/MÊS DE REFERÊNCIA: SEINFRA - REGIÃO LESTE -JANEIRO/2025, SINAPI DEZEMBRO/2024 E SICRO JANEIRO/2025 - COM DESONERAÇÃO.</v>
      </c>
      <c r="B4" s="490"/>
      <c r="C4" s="490"/>
      <c r="D4" s="490"/>
      <c r="E4" s="490"/>
      <c r="F4" s="490"/>
      <c r="G4" s="491"/>
    </row>
    <row r="5" spans="1:7" ht="13.8" thickBot="1">
      <c r="A5" s="248"/>
      <c r="B5" s="248"/>
      <c r="C5" s="248"/>
      <c r="D5" s="248"/>
      <c r="E5" s="248"/>
      <c r="F5" s="248"/>
      <c r="G5" s="248"/>
    </row>
    <row r="6" spans="1:7" ht="15" thickBot="1">
      <c r="A6" s="249"/>
      <c r="B6" s="492" t="s">
        <v>259</v>
      </c>
      <c r="C6" s="493"/>
      <c r="D6" s="493"/>
      <c r="E6" s="493"/>
      <c r="F6" s="493"/>
      <c r="G6" s="494"/>
    </row>
    <row r="7" spans="1:7" ht="3" customHeight="1">
      <c r="A7" s="495"/>
      <c r="B7" s="496"/>
      <c r="C7" s="496"/>
      <c r="D7" s="496"/>
      <c r="E7" s="496"/>
      <c r="F7" s="496"/>
      <c r="G7" s="497"/>
    </row>
    <row r="8" spans="1:7">
      <c r="A8" s="250"/>
      <c r="B8" s="251"/>
      <c r="C8" s="252" t="s">
        <v>260</v>
      </c>
      <c r="D8" s="253" t="s">
        <v>2</v>
      </c>
      <c r="E8" s="253" t="s">
        <v>261</v>
      </c>
      <c r="F8" s="253" t="s">
        <v>262</v>
      </c>
      <c r="G8" s="254" t="s">
        <v>263</v>
      </c>
    </row>
    <row r="9" spans="1:7" ht="35.4" customHeight="1">
      <c r="A9" s="255"/>
      <c r="B9" s="256" t="s">
        <v>264</v>
      </c>
      <c r="C9" s="257" t="s">
        <v>80</v>
      </c>
      <c r="D9" s="258" t="s">
        <v>205</v>
      </c>
      <c r="E9" s="259">
        <v>45658</v>
      </c>
      <c r="F9" s="260" t="s">
        <v>287</v>
      </c>
      <c r="G9" s="261">
        <f>SUM(G11:G14)</f>
        <v>4.6348950315519835</v>
      </c>
    </row>
    <row r="10" spans="1:7">
      <c r="A10" s="262"/>
      <c r="B10" s="263" t="s">
        <v>39</v>
      </c>
      <c r="C10" s="264" t="s">
        <v>265</v>
      </c>
      <c r="D10" s="265" t="s">
        <v>2</v>
      </c>
      <c r="E10" s="265" t="s">
        <v>266</v>
      </c>
      <c r="F10" s="265" t="s">
        <v>267</v>
      </c>
      <c r="G10" s="266" t="s">
        <v>268</v>
      </c>
    </row>
    <row r="11" spans="1:7" ht="24.6" customHeight="1">
      <c r="A11" s="267" t="s">
        <v>252</v>
      </c>
      <c r="B11" s="268" t="s">
        <v>283</v>
      </c>
      <c r="C11" s="269" t="s">
        <v>281</v>
      </c>
      <c r="D11" s="270" t="s">
        <v>271</v>
      </c>
      <c r="E11" s="271">
        <v>3.1961646024000001E-3</v>
      </c>
      <c r="F11" s="272">
        <v>38.340000000000003</v>
      </c>
      <c r="G11" s="273">
        <f>E11*F11</f>
        <v>0.12254095085601602</v>
      </c>
    </row>
    <row r="12" spans="1:7" ht="24.6" customHeight="1">
      <c r="A12" s="267" t="s">
        <v>252</v>
      </c>
      <c r="B12" s="268" t="s">
        <v>282</v>
      </c>
      <c r="C12" s="269" t="s">
        <v>277</v>
      </c>
      <c r="D12" s="270" t="s">
        <v>271</v>
      </c>
      <c r="E12" s="271">
        <v>3.1961646024000001E-3</v>
      </c>
      <c r="F12" s="272">
        <v>72.38</v>
      </c>
      <c r="G12" s="273">
        <f t="shared" ref="G12:G14" si="0">E12*F12</f>
        <v>0.23133839392171199</v>
      </c>
    </row>
    <row r="13" spans="1:7" ht="24.6" customHeight="1">
      <c r="A13" s="267" t="s">
        <v>40</v>
      </c>
      <c r="B13" s="268" t="s">
        <v>272</v>
      </c>
      <c r="C13" s="269" t="s">
        <v>273</v>
      </c>
      <c r="D13" s="270" t="s">
        <v>271</v>
      </c>
      <c r="E13" s="271">
        <v>3.1961646024000001E-3</v>
      </c>
      <c r="F13" s="272">
        <v>20.94</v>
      </c>
      <c r="G13" s="273">
        <f t="shared" si="0"/>
        <v>6.6927686774256007E-2</v>
      </c>
    </row>
    <row r="14" spans="1:7" ht="24.6" customHeight="1">
      <c r="A14" s="267" t="s">
        <v>40</v>
      </c>
      <c r="B14" s="268" t="s">
        <v>278</v>
      </c>
      <c r="C14" s="269" t="s">
        <v>306</v>
      </c>
      <c r="D14" s="270" t="s">
        <v>279</v>
      </c>
      <c r="E14" s="271">
        <v>1.1999999999999999E-3</v>
      </c>
      <c r="F14" s="272">
        <v>3511.74</v>
      </c>
      <c r="G14" s="273">
        <f t="shared" si="0"/>
        <v>4.2140879999999994</v>
      </c>
    </row>
    <row r="15" spans="1:7" ht="3" customHeight="1">
      <c r="A15" s="480"/>
      <c r="B15" s="481"/>
      <c r="C15" s="481"/>
      <c r="D15" s="481"/>
      <c r="E15" s="481"/>
      <c r="F15" s="481"/>
      <c r="G15" s="482"/>
    </row>
    <row r="16" spans="1:7">
      <c r="A16" s="250"/>
      <c r="B16" s="251"/>
      <c r="C16" s="252" t="s">
        <v>260</v>
      </c>
      <c r="D16" s="253" t="s">
        <v>2</v>
      </c>
      <c r="E16" s="253" t="s">
        <v>261</v>
      </c>
      <c r="F16" s="253" t="s">
        <v>262</v>
      </c>
      <c r="G16" s="254" t="s">
        <v>263</v>
      </c>
    </row>
    <row r="17" spans="1:7" ht="35.4" customHeight="1">
      <c r="A17" s="255"/>
      <c r="B17" s="256" t="s">
        <v>269</v>
      </c>
      <c r="C17" s="257" t="s">
        <v>67</v>
      </c>
      <c r="D17" s="258" t="s">
        <v>205</v>
      </c>
      <c r="E17" s="259">
        <v>45658</v>
      </c>
      <c r="F17" s="260" t="s">
        <v>287</v>
      </c>
      <c r="G17" s="261">
        <f>SUM(G19:G22)</f>
        <v>2.0614638104386858</v>
      </c>
    </row>
    <row r="18" spans="1:7">
      <c r="A18" s="262"/>
      <c r="B18" s="263" t="s">
        <v>39</v>
      </c>
      <c r="C18" s="264" t="s">
        <v>265</v>
      </c>
      <c r="D18" s="265" t="s">
        <v>2</v>
      </c>
      <c r="E18" s="265" t="s">
        <v>266</v>
      </c>
      <c r="F18" s="265" t="s">
        <v>267</v>
      </c>
      <c r="G18" s="266" t="s">
        <v>268</v>
      </c>
    </row>
    <row r="19" spans="1:7" ht="24.6" customHeight="1">
      <c r="A19" s="267" t="s">
        <v>252</v>
      </c>
      <c r="B19" s="268" t="s">
        <v>283</v>
      </c>
      <c r="C19" s="269" t="s">
        <v>281</v>
      </c>
      <c r="D19" s="270" t="s">
        <v>271</v>
      </c>
      <c r="E19" s="271">
        <v>2.3210831720999999E-3</v>
      </c>
      <c r="F19" s="272">
        <v>38.340000000000003</v>
      </c>
      <c r="G19" s="273">
        <f>E19*F19</f>
        <v>8.8990328818314007E-2</v>
      </c>
    </row>
    <row r="20" spans="1:7" ht="24.6" customHeight="1">
      <c r="A20" s="267" t="s">
        <v>252</v>
      </c>
      <c r="B20" s="268" t="s">
        <v>282</v>
      </c>
      <c r="C20" s="269" t="s">
        <v>277</v>
      </c>
      <c r="D20" s="270" t="s">
        <v>271</v>
      </c>
      <c r="E20" s="271">
        <v>2.3210831720999999E-3</v>
      </c>
      <c r="F20" s="272">
        <v>72.38</v>
      </c>
      <c r="G20" s="273">
        <f t="shared" ref="G20:G22" si="1">E20*F20</f>
        <v>0.16799999999659798</v>
      </c>
    </row>
    <row r="21" spans="1:7" ht="24.6" customHeight="1">
      <c r="A21" s="267" t="s">
        <v>40</v>
      </c>
      <c r="B21" s="268" t="s">
        <v>272</v>
      </c>
      <c r="C21" s="269" t="s">
        <v>273</v>
      </c>
      <c r="D21" s="270" t="s">
        <v>271</v>
      </c>
      <c r="E21" s="271">
        <v>2.3210831720999999E-3</v>
      </c>
      <c r="F21" s="272">
        <v>20.94</v>
      </c>
      <c r="G21" s="273">
        <f t="shared" si="1"/>
        <v>4.8603481623774002E-2</v>
      </c>
    </row>
    <row r="22" spans="1:7" ht="24.6" customHeight="1">
      <c r="A22" s="267" t="s">
        <v>40</v>
      </c>
      <c r="B22" s="268" t="s">
        <v>278</v>
      </c>
      <c r="C22" s="269" t="s">
        <v>306</v>
      </c>
      <c r="D22" s="270" t="s">
        <v>279</v>
      </c>
      <c r="E22" s="271">
        <v>5.0000000000000001E-4</v>
      </c>
      <c r="F22" s="272">
        <v>3511.74</v>
      </c>
      <c r="G22" s="273">
        <f t="shared" si="1"/>
        <v>1.7558699999999998</v>
      </c>
    </row>
    <row r="23" spans="1:7" ht="3" customHeight="1">
      <c r="A23" s="480"/>
      <c r="B23" s="481"/>
      <c r="C23" s="481"/>
      <c r="D23" s="481"/>
      <c r="E23" s="481"/>
      <c r="F23" s="481"/>
      <c r="G23" s="482"/>
    </row>
    <row r="24" spans="1:7">
      <c r="A24" s="274"/>
      <c r="B24" s="274"/>
      <c r="C24" s="274"/>
      <c r="D24" s="274"/>
      <c r="E24" s="275"/>
      <c r="F24" s="274"/>
      <c r="G24" s="276"/>
    </row>
    <row r="25" spans="1:7">
      <c r="A25" s="274"/>
      <c r="B25" s="274"/>
      <c r="C25" s="277" t="s">
        <v>274</v>
      </c>
      <c r="D25" s="274"/>
      <c r="E25" s="275"/>
      <c r="F25" s="274"/>
      <c r="G25" s="278"/>
    </row>
    <row r="26" spans="1:7">
      <c r="A26" s="274"/>
      <c r="B26" s="274"/>
      <c r="C26" s="279" t="s">
        <v>275</v>
      </c>
      <c r="D26" s="274"/>
      <c r="E26" s="275"/>
      <c r="F26" s="274"/>
      <c r="G26" s="278"/>
    </row>
    <row r="27" spans="1:7" ht="13.8">
      <c r="A27" s="274"/>
      <c r="B27" s="274"/>
      <c r="C27" s="280" t="s">
        <v>276</v>
      </c>
      <c r="D27" s="274"/>
      <c r="E27" s="274"/>
      <c r="F27" s="274"/>
      <c r="G27" s="281"/>
    </row>
    <row r="28" spans="1:7">
      <c r="A28" s="274"/>
      <c r="B28" s="274"/>
      <c r="C28" s="274"/>
      <c r="D28" s="274"/>
      <c r="E28" s="274"/>
      <c r="F28" s="274"/>
      <c r="G28" s="274"/>
    </row>
  </sheetData>
  <mergeCells count="8">
    <mergeCell ref="A23:G23"/>
    <mergeCell ref="A1:G1"/>
    <mergeCell ref="A2:G2"/>
    <mergeCell ref="A3:G3"/>
    <mergeCell ref="A4:G4"/>
    <mergeCell ref="B6:G6"/>
    <mergeCell ref="A7:G7"/>
    <mergeCell ref="A15:G15"/>
  </mergeCells>
  <printOptions horizontalCentered="1"/>
  <pageMargins left="0" right="0" top="0.59055118110236227" bottom="0" header="0" footer="0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3"/>
  <sheetViews>
    <sheetView topLeftCell="A25" workbookViewId="0">
      <selection activeCell="D33" sqref="D33"/>
    </sheetView>
  </sheetViews>
  <sheetFormatPr defaultRowHeight="13.2"/>
  <cols>
    <col min="1" max="1" width="24.33203125" customWidth="1"/>
    <col min="2" max="2" width="11.77734375" customWidth="1"/>
    <col min="3" max="3" width="14.5546875" customWidth="1"/>
  </cols>
  <sheetData>
    <row r="1" spans="1:10" ht="18.600000000000001">
      <c r="A1" s="532" t="s">
        <v>163</v>
      </c>
      <c r="B1" s="533"/>
      <c r="C1" s="533"/>
      <c r="D1" s="533"/>
      <c r="E1" s="533"/>
      <c r="F1" s="533"/>
      <c r="G1" s="533"/>
      <c r="H1" s="533"/>
      <c r="I1" s="533"/>
      <c r="J1" s="534"/>
    </row>
    <row r="2" spans="1:10">
      <c r="A2" s="535" t="s">
        <v>164</v>
      </c>
      <c r="B2" s="536" t="s">
        <v>195</v>
      </c>
      <c r="C2" s="537" t="s">
        <v>51</v>
      </c>
      <c r="D2" s="537"/>
      <c r="E2" s="537"/>
      <c r="F2" s="537"/>
      <c r="G2" s="537"/>
      <c r="H2" s="537"/>
      <c r="I2" s="537"/>
      <c r="J2" s="538" t="s">
        <v>196</v>
      </c>
    </row>
    <row r="3" spans="1:10">
      <c r="A3" s="535"/>
      <c r="B3" s="537"/>
      <c r="C3" s="541" t="s">
        <v>197</v>
      </c>
      <c r="D3" s="542"/>
      <c r="E3" s="542"/>
      <c r="F3" s="543"/>
      <c r="G3" s="541" t="s">
        <v>165</v>
      </c>
      <c r="H3" s="542"/>
      <c r="I3" s="543"/>
      <c r="J3" s="539"/>
    </row>
    <row r="4" spans="1:10" ht="52.2">
      <c r="A4" s="535"/>
      <c r="B4" s="537"/>
      <c r="C4" s="187">
        <v>0.02</v>
      </c>
      <c r="D4" s="187">
        <v>0.03</v>
      </c>
      <c r="E4" s="187">
        <v>0.04</v>
      </c>
      <c r="F4" s="187">
        <v>0.05</v>
      </c>
      <c r="G4" s="186" t="s">
        <v>198</v>
      </c>
      <c r="H4" s="186" t="s">
        <v>199</v>
      </c>
      <c r="I4" s="186" t="s">
        <v>200</v>
      </c>
      <c r="J4" s="540"/>
    </row>
    <row r="5" spans="1:10" ht="19.95" customHeight="1">
      <c r="A5" s="188" t="s">
        <v>166</v>
      </c>
      <c r="B5" s="172" t="s">
        <v>167</v>
      </c>
      <c r="C5" s="189">
        <v>1</v>
      </c>
      <c r="D5" s="189">
        <v>1</v>
      </c>
      <c r="E5" s="189">
        <v>1</v>
      </c>
      <c r="F5" s="189">
        <v>1</v>
      </c>
      <c r="G5" s="189">
        <v>1</v>
      </c>
      <c r="H5" s="189">
        <v>1</v>
      </c>
      <c r="I5" s="189">
        <v>1</v>
      </c>
      <c r="J5" s="190"/>
    </row>
    <row r="6" spans="1:10" ht="19.95" customHeight="1">
      <c r="A6" s="188" t="s">
        <v>168</v>
      </c>
      <c r="B6" s="172" t="s">
        <v>169</v>
      </c>
      <c r="C6" s="191">
        <v>4.6699999999999998E-2</v>
      </c>
      <c r="D6" s="191">
        <v>4.6699999999999998E-2</v>
      </c>
      <c r="E6" s="191">
        <v>4.6699999999999998E-2</v>
      </c>
      <c r="F6" s="191">
        <v>4.6699999999999998E-2</v>
      </c>
      <c r="G6" s="191">
        <v>3.4200000000000001E-2</v>
      </c>
      <c r="H6" s="191">
        <v>4.0099999999999997E-2</v>
      </c>
      <c r="I6" s="191">
        <v>3.4200000000000001E-2</v>
      </c>
      <c r="J6" s="190" t="s">
        <v>167</v>
      </c>
    </row>
    <row r="7" spans="1:10" ht="19.95" customHeight="1">
      <c r="A7" s="188" t="s">
        <v>170</v>
      </c>
      <c r="B7" s="172" t="s">
        <v>171</v>
      </c>
      <c r="C7" s="191">
        <v>7.5340000000000004E-2</v>
      </c>
      <c r="D7" s="191">
        <v>7.5340000000000004E-2</v>
      </c>
      <c r="E7" s="191">
        <v>7.5340000000000004E-2</v>
      </c>
      <c r="F7" s="191">
        <v>7.5340000000000004E-2</v>
      </c>
      <c r="G7" s="192">
        <v>4.9430000000000002E-2</v>
      </c>
      <c r="H7" s="191">
        <v>6.6400000000000001E-2</v>
      </c>
      <c r="I7" s="192">
        <v>4.9430000000000002E-2</v>
      </c>
      <c r="J7" s="190" t="s">
        <v>167</v>
      </c>
    </row>
    <row r="8" spans="1:10" ht="19.95" customHeight="1">
      <c r="A8" s="188" t="s">
        <v>172</v>
      </c>
      <c r="B8" s="172" t="s">
        <v>173</v>
      </c>
      <c r="C8" s="191">
        <v>8.6E-3</v>
      </c>
      <c r="D8" s="191">
        <v>8.6E-3</v>
      </c>
      <c r="E8" s="191">
        <v>8.6E-3</v>
      </c>
      <c r="F8" s="191">
        <v>8.6E-3</v>
      </c>
      <c r="G8" s="191">
        <v>8.6E-3</v>
      </c>
      <c r="H8" s="191">
        <v>8.6E-3</v>
      </c>
      <c r="I8" s="191">
        <v>8.6E-3</v>
      </c>
      <c r="J8" s="190" t="s">
        <v>167</v>
      </c>
    </row>
    <row r="9" spans="1:10" ht="19.95" customHeight="1">
      <c r="A9" s="188" t="s">
        <v>174</v>
      </c>
      <c r="B9" s="173"/>
      <c r="C9" s="193">
        <f>SUM(C10:C11)</f>
        <v>1.7100000000000001E-2</v>
      </c>
      <c r="D9" s="193">
        <f t="shared" ref="D9:H9" si="0">SUM(D10:D11)</f>
        <v>1.7100000000000001E-2</v>
      </c>
      <c r="E9" s="193">
        <f t="shared" si="0"/>
        <v>1.7100000000000001E-2</v>
      </c>
      <c r="F9" s="193">
        <f t="shared" si="0"/>
        <v>1.7100000000000001E-2</v>
      </c>
      <c r="G9" s="193">
        <v>1.29E-2</v>
      </c>
      <c r="H9" s="193">
        <f t="shared" si="0"/>
        <v>8.2000000000000007E-3</v>
      </c>
      <c r="I9" s="193">
        <v>1.29E-2</v>
      </c>
      <c r="J9" s="194" t="s">
        <v>167</v>
      </c>
    </row>
    <row r="10" spans="1:10" ht="19.95" customHeight="1">
      <c r="A10" s="188" t="s">
        <v>175</v>
      </c>
      <c r="B10" s="172" t="s">
        <v>176</v>
      </c>
      <c r="C10" s="191">
        <v>7.4000000000000003E-3</v>
      </c>
      <c r="D10" s="191">
        <v>7.4000000000000003E-3</v>
      </c>
      <c r="E10" s="191">
        <v>7.4000000000000003E-3</v>
      </c>
      <c r="F10" s="191">
        <v>7.4000000000000003E-3</v>
      </c>
      <c r="G10" s="191">
        <v>5.3E-3</v>
      </c>
      <c r="H10" s="191">
        <v>3.2000000000000002E-3</v>
      </c>
      <c r="I10" s="191">
        <v>5.3E-3</v>
      </c>
      <c r="J10" s="190" t="s">
        <v>167</v>
      </c>
    </row>
    <row r="11" spans="1:10" ht="19.95" customHeight="1">
      <c r="A11" s="188" t="s">
        <v>177</v>
      </c>
      <c r="B11" s="172" t="s">
        <v>178</v>
      </c>
      <c r="C11" s="191">
        <v>9.7000000000000003E-3</v>
      </c>
      <c r="D11" s="191">
        <v>9.7000000000000003E-3</v>
      </c>
      <c r="E11" s="191">
        <v>9.7000000000000003E-3</v>
      </c>
      <c r="F11" s="191">
        <v>9.7000000000000003E-3</v>
      </c>
      <c r="G11" s="191">
        <v>7.6E-3</v>
      </c>
      <c r="H11" s="191">
        <v>5.0000000000000001E-3</v>
      </c>
      <c r="I11" s="191">
        <v>7.6E-3</v>
      </c>
      <c r="J11" s="190" t="s">
        <v>167</v>
      </c>
    </row>
    <row r="12" spans="1:10" ht="19.95" customHeight="1">
      <c r="A12" s="188" t="s">
        <v>179</v>
      </c>
      <c r="B12" s="172" t="s">
        <v>180</v>
      </c>
      <c r="C12" s="193">
        <f t="shared" ref="C12:I12" si="1">SUM(C13:C15)</f>
        <v>5.0519999999999995E-2</v>
      </c>
      <c r="D12" s="193">
        <f t="shared" si="1"/>
        <v>5.7499999999999996E-2</v>
      </c>
      <c r="E12" s="193">
        <f t="shared" si="1"/>
        <v>6.454E-2</v>
      </c>
      <c r="F12" s="193">
        <f t="shared" si="1"/>
        <v>7.1499999999999994E-2</v>
      </c>
      <c r="G12" s="193">
        <f t="shared" si="1"/>
        <v>3.6499999999999998E-2</v>
      </c>
      <c r="H12" s="193">
        <f t="shared" si="1"/>
        <v>6.1499999999999999E-2</v>
      </c>
      <c r="I12" s="193">
        <f t="shared" si="1"/>
        <v>6.1539999999999997E-2</v>
      </c>
      <c r="J12" s="194" t="s">
        <v>181</v>
      </c>
    </row>
    <row r="13" spans="1:10" ht="19.95" customHeight="1">
      <c r="A13" s="188" t="s">
        <v>52</v>
      </c>
      <c r="B13" s="173" t="s">
        <v>182</v>
      </c>
      <c r="C13" s="195">
        <v>1.4019999999999999E-2</v>
      </c>
      <c r="D13" s="195">
        <v>2.0999999999999998E-2</v>
      </c>
      <c r="E13" s="195">
        <v>2.8039999999999999E-2</v>
      </c>
      <c r="F13" s="195">
        <v>3.4999999999999996E-2</v>
      </c>
      <c r="G13" s="195" t="s">
        <v>13</v>
      </c>
      <c r="H13" s="195">
        <v>2.5000000000000001E-2</v>
      </c>
      <c r="I13" s="195">
        <v>2.504E-2</v>
      </c>
      <c r="J13" s="190" t="s">
        <v>181</v>
      </c>
    </row>
    <row r="14" spans="1:10" ht="19.95" customHeight="1">
      <c r="A14" s="188" t="s">
        <v>53</v>
      </c>
      <c r="B14" s="173" t="s">
        <v>53</v>
      </c>
      <c r="C14" s="191">
        <v>6.4999999999999997E-3</v>
      </c>
      <c r="D14" s="191">
        <v>6.4999999999999997E-3</v>
      </c>
      <c r="E14" s="191">
        <v>6.4999999999999997E-3</v>
      </c>
      <c r="F14" s="191">
        <v>6.4999999999999997E-3</v>
      </c>
      <c r="G14" s="191">
        <v>6.4999999999999997E-3</v>
      </c>
      <c r="H14" s="191">
        <v>6.4999999999999997E-3</v>
      </c>
      <c r="I14" s="191">
        <v>6.4999999999999997E-3</v>
      </c>
      <c r="J14" s="190" t="s">
        <v>181</v>
      </c>
    </row>
    <row r="15" spans="1:10" ht="19.95" customHeight="1">
      <c r="A15" s="188" t="s">
        <v>54</v>
      </c>
      <c r="B15" s="173" t="s">
        <v>13</v>
      </c>
      <c r="C15" s="191">
        <v>0.03</v>
      </c>
      <c r="D15" s="191">
        <v>0.03</v>
      </c>
      <c r="E15" s="191">
        <v>0.03</v>
      </c>
      <c r="F15" s="191">
        <v>0.03</v>
      </c>
      <c r="G15" s="191">
        <v>0.03</v>
      </c>
      <c r="H15" s="191">
        <v>0.03</v>
      </c>
      <c r="I15" s="191">
        <v>0.03</v>
      </c>
      <c r="J15" s="190" t="s">
        <v>181</v>
      </c>
    </row>
    <row r="16" spans="1:10" ht="19.95" customHeight="1">
      <c r="A16" s="188" t="s">
        <v>183</v>
      </c>
      <c r="B16" s="173" t="s">
        <v>184</v>
      </c>
      <c r="C16" s="196">
        <v>3.5999999999999997E-2</v>
      </c>
      <c r="D16" s="196">
        <v>3.5999999999999997E-2</v>
      </c>
      <c r="E16" s="196">
        <v>3.5999999999999997E-2</v>
      </c>
      <c r="F16" s="196">
        <v>3.5999999999999997E-2</v>
      </c>
      <c r="G16" s="196">
        <v>3.5999999999999997E-2</v>
      </c>
      <c r="H16" s="196">
        <v>3.5999999999999997E-2</v>
      </c>
      <c r="I16" s="196">
        <v>3.5999999999999997E-2</v>
      </c>
      <c r="J16" s="190" t="s">
        <v>181</v>
      </c>
    </row>
    <row r="17" spans="1:10">
      <c r="A17" s="507"/>
      <c r="B17" s="508"/>
      <c r="C17" s="508"/>
      <c r="D17" s="508"/>
      <c r="E17" s="508"/>
      <c r="F17" s="508"/>
      <c r="G17" s="508"/>
      <c r="H17" s="508"/>
      <c r="I17" s="508"/>
      <c r="J17" s="509"/>
    </row>
    <row r="18" spans="1:10">
      <c r="A18" s="510" t="s">
        <v>185</v>
      </c>
      <c r="B18" s="511"/>
      <c r="C18" s="514" t="s">
        <v>186</v>
      </c>
      <c r="D18" s="515"/>
      <c r="E18" s="515"/>
      <c r="F18" s="515"/>
      <c r="G18" s="515"/>
      <c r="H18" s="515"/>
      <c r="I18" s="515"/>
      <c r="J18" s="516"/>
    </row>
    <row r="19" spans="1:10">
      <c r="A19" s="512"/>
      <c r="B19" s="513"/>
      <c r="C19" s="517" t="s">
        <v>187</v>
      </c>
      <c r="D19" s="518"/>
      <c r="E19" s="518"/>
      <c r="F19" s="518"/>
      <c r="G19" s="518"/>
      <c r="H19" s="518"/>
      <c r="I19" s="518"/>
      <c r="J19" s="519"/>
    </row>
    <row r="20" spans="1:10" ht="19.95" customHeight="1">
      <c r="A20" s="520" t="s">
        <v>188</v>
      </c>
      <c r="B20" s="521"/>
      <c r="C20" s="197">
        <v>0.15379999999999999</v>
      </c>
      <c r="D20" s="197">
        <v>0.15379999999999999</v>
      </c>
      <c r="E20" s="197">
        <v>0.15379999999999999</v>
      </c>
      <c r="F20" s="197">
        <v>0.15379999999999999</v>
      </c>
      <c r="G20" s="197">
        <f t="shared" ref="G20:I20" si="2">(1+(G6+G9))*(1+G8)*(1+G7)-1</f>
        <v>0.1083083331157999</v>
      </c>
      <c r="H20" s="197">
        <v>0.12759999999999999</v>
      </c>
      <c r="I20" s="197">
        <f t="shared" si="2"/>
        <v>0.1083083331157999</v>
      </c>
      <c r="J20" s="522"/>
    </row>
    <row r="21" spans="1:10" ht="19.95" customHeight="1">
      <c r="A21" s="520" t="s">
        <v>189</v>
      </c>
      <c r="B21" s="521"/>
      <c r="C21" s="197">
        <f>(1-(C12+C16))</f>
        <v>0.91348000000000007</v>
      </c>
      <c r="D21" s="197">
        <f t="shared" ref="D21:I21" si="3">(1-(D12+D16))</f>
        <v>0.90649999999999997</v>
      </c>
      <c r="E21" s="197">
        <f t="shared" si="3"/>
        <v>0.89946000000000004</v>
      </c>
      <c r="F21" s="197">
        <f t="shared" si="3"/>
        <v>0.89250000000000007</v>
      </c>
      <c r="G21" s="197">
        <f t="shared" si="3"/>
        <v>0.92749999999999999</v>
      </c>
      <c r="H21" s="197">
        <f t="shared" si="3"/>
        <v>0.90249999999999997</v>
      </c>
      <c r="I21" s="197">
        <f t="shared" si="3"/>
        <v>0.90246000000000004</v>
      </c>
      <c r="J21" s="523"/>
    </row>
    <row r="22" spans="1:10">
      <c r="A22" s="525" t="s">
        <v>55</v>
      </c>
      <c r="B22" s="526"/>
      <c r="C22" s="529">
        <v>0.26300000000000001</v>
      </c>
      <c r="D22" s="529">
        <f t="shared" ref="D22:H22" si="4">(1+D20)/D21-1</f>
        <v>0.27280750137892995</v>
      </c>
      <c r="E22" s="529">
        <v>0.28270000000000001</v>
      </c>
      <c r="F22" s="530">
        <v>0.2928</v>
      </c>
      <c r="G22" s="529">
        <v>0.19500000000000001</v>
      </c>
      <c r="H22" s="529">
        <f t="shared" si="4"/>
        <v>0.24941828254847653</v>
      </c>
      <c r="I22" s="529">
        <v>0.2281</v>
      </c>
      <c r="J22" s="523"/>
    </row>
    <row r="23" spans="1:10">
      <c r="A23" s="527"/>
      <c r="B23" s="528"/>
      <c r="C23" s="529"/>
      <c r="D23" s="529"/>
      <c r="E23" s="529"/>
      <c r="F23" s="531"/>
      <c r="G23" s="529"/>
      <c r="H23" s="529"/>
      <c r="I23" s="529"/>
      <c r="J23" s="524"/>
    </row>
    <row r="24" spans="1:10">
      <c r="A24" s="503" t="s">
        <v>190</v>
      </c>
      <c r="B24" s="504"/>
      <c r="C24" s="504"/>
      <c r="D24" s="504"/>
      <c r="E24" s="504"/>
      <c r="F24" s="504"/>
      <c r="G24" s="504"/>
      <c r="H24" s="504"/>
      <c r="I24" s="504"/>
      <c r="J24" s="505"/>
    </row>
    <row r="25" spans="1:10" ht="82.8" customHeight="1">
      <c r="A25" s="500" t="s">
        <v>191</v>
      </c>
      <c r="B25" s="501"/>
      <c r="C25" s="501"/>
      <c r="D25" s="501"/>
      <c r="E25" s="501"/>
      <c r="F25" s="501"/>
      <c r="G25" s="501"/>
      <c r="H25" s="501"/>
      <c r="I25" s="501"/>
      <c r="J25" s="502"/>
    </row>
    <row r="26" spans="1:10">
      <c r="A26" s="503" t="s">
        <v>190</v>
      </c>
      <c r="B26" s="504"/>
      <c r="C26" s="504"/>
      <c r="D26" s="504"/>
      <c r="E26" s="504"/>
      <c r="F26" s="504"/>
      <c r="G26" s="504"/>
      <c r="H26" s="504"/>
      <c r="I26" s="504"/>
      <c r="J26" s="505"/>
    </row>
    <row r="27" spans="1:10" ht="75.599999999999994" customHeight="1">
      <c r="A27" s="500" t="s">
        <v>191</v>
      </c>
      <c r="B27" s="501"/>
      <c r="C27" s="501"/>
      <c r="D27" s="501"/>
      <c r="E27" s="501"/>
      <c r="F27" s="501"/>
      <c r="G27" s="501"/>
      <c r="H27" s="501"/>
      <c r="I27" s="501"/>
      <c r="J27" s="502"/>
    </row>
    <row r="28" spans="1:10">
      <c r="A28" s="174"/>
      <c r="J28" s="175"/>
    </row>
    <row r="29" spans="1:10">
      <c r="A29" s="506" t="s">
        <v>201</v>
      </c>
      <c r="B29" s="499"/>
      <c r="C29" s="177">
        <v>45782</v>
      </c>
      <c r="D29" s="158" t="s">
        <v>192</v>
      </c>
      <c r="E29" s="158"/>
      <c r="F29" s="158"/>
      <c r="G29" s="158"/>
      <c r="H29" s="178" t="s">
        <v>193</v>
      </c>
      <c r="I29" s="179" t="s">
        <v>194</v>
      </c>
      <c r="J29" s="180"/>
    </row>
    <row r="30" spans="1:10">
      <c r="A30" s="181"/>
      <c r="B30" s="177"/>
      <c r="C30" s="158"/>
      <c r="D30" s="158"/>
      <c r="E30" s="158"/>
      <c r="F30" s="158"/>
      <c r="G30" s="158"/>
      <c r="H30" s="158"/>
      <c r="I30" s="158"/>
      <c r="J30" s="180"/>
    </row>
    <row r="31" spans="1:10">
      <c r="A31" s="181"/>
      <c r="B31" s="177"/>
      <c r="C31" s="158"/>
      <c r="D31" s="158"/>
      <c r="E31" s="158"/>
      <c r="F31" s="158"/>
      <c r="G31" s="158"/>
      <c r="H31" s="158"/>
      <c r="I31" s="158"/>
      <c r="J31" s="180"/>
    </row>
    <row r="32" spans="1:10">
      <c r="A32" s="181"/>
      <c r="B32" s="177"/>
      <c r="C32" s="158"/>
      <c r="D32" s="158"/>
      <c r="E32" s="158"/>
      <c r="F32" s="158"/>
      <c r="G32" s="158"/>
      <c r="H32" s="158"/>
      <c r="I32" s="158"/>
      <c r="J32" s="180"/>
    </row>
    <row r="33" spans="1:10">
      <c r="A33" s="182"/>
      <c r="B33" s="158"/>
      <c r="C33" s="158"/>
      <c r="D33" s="158"/>
      <c r="E33" s="158"/>
      <c r="F33" s="158"/>
      <c r="G33" s="158"/>
      <c r="H33" s="158"/>
      <c r="I33" s="158"/>
      <c r="J33" s="180"/>
    </row>
    <row r="34" spans="1:10">
      <c r="A34" s="182"/>
      <c r="B34" s="158"/>
      <c r="C34" s="498" t="str">
        <f>'[3]Planilha Orcamentária'!B36</f>
        <v>Priscila Cristina de Paula</v>
      </c>
      <c r="D34" s="498"/>
      <c r="E34" s="498"/>
      <c r="F34" s="498"/>
      <c r="G34" s="498"/>
      <c r="H34" s="158"/>
      <c r="I34" s="158"/>
      <c r="J34" s="180"/>
    </row>
    <row r="35" spans="1:10">
      <c r="A35" s="182"/>
      <c r="B35" s="158"/>
      <c r="C35" s="499" t="str">
        <f>'[3]Planilha Orcamentária'!B38</f>
        <v>Engenheira Civil</v>
      </c>
      <c r="D35" s="499"/>
      <c r="E35" s="499" t="str">
        <f>'[3]Planilha Orcamentária'!E36</f>
        <v>CREA-MG Nº: 142.702/D</v>
      </c>
      <c r="F35" s="499"/>
      <c r="G35" s="499"/>
      <c r="H35" s="158"/>
      <c r="I35" s="158"/>
      <c r="J35" s="180"/>
    </row>
    <row r="36" spans="1:10">
      <c r="A36" s="182"/>
      <c r="B36" s="158"/>
      <c r="C36" s="176"/>
      <c r="D36" s="176"/>
      <c r="E36" s="176"/>
      <c r="F36" s="176"/>
      <c r="G36" s="176"/>
      <c r="H36" s="158"/>
      <c r="I36" s="158"/>
      <c r="J36" s="180"/>
    </row>
    <row r="37" spans="1:10">
      <c r="A37" s="182"/>
      <c r="B37" s="158"/>
      <c r="C37" s="176"/>
      <c r="D37" s="176"/>
      <c r="E37" s="176"/>
      <c r="F37" s="176"/>
      <c r="G37" s="176"/>
      <c r="H37" s="158"/>
      <c r="I37" s="158"/>
      <c r="J37" s="180"/>
    </row>
    <row r="38" spans="1:10">
      <c r="A38" s="182"/>
      <c r="B38" s="158"/>
      <c r="C38" s="158"/>
      <c r="D38" s="158"/>
      <c r="E38" s="158"/>
      <c r="F38" s="158"/>
      <c r="G38" s="158"/>
      <c r="H38" s="158"/>
      <c r="I38" s="158"/>
      <c r="J38" s="180"/>
    </row>
    <row r="39" spans="1:10">
      <c r="A39" s="182"/>
      <c r="B39" s="158"/>
      <c r="C39" s="158"/>
      <c r="D39" s="158"/>
      <c r="E39" s="158"/>
      <c r="F39" s="158"/>
      <c r="G39" s="158"/>
      <c r="H39" s="158"/>
      <c r="I39" s="158"/>
      <c r="J39" s="180"/>
    </row>
    <row r="40" spans="1:10">
      <c r="A40" s="182"/>
      <c r="B40" s="158"/>
      <c r="C40" s="498" t="str">
        <f>'[3]Planilha Orcamentária'!B41</f>
        <v>José Francisco Matos e Silva</v>
      </c>
      <c r="D40" s="498"/>
      <c r="E40" s="498"/>
      <c r="F40" s="498"/>
      <c r="G40" s="498"/>
      <c r="H40" s="158"/>
      <c r="I40" s="158"/>
      <c r="J40" s="180"/>
    </row>
    <row r="41" spans="1:10">
      <c r="A41" s="182"/>
      <c r="B41" s="158"/>
      <c r="C41" s="499" t="str">
        <f>'[3]Planilha Orcamentária'!B42</f>
        <v>Prefeito Municipal</v>
      </c>
      <c r="D41" s="499"/>
      <c r="E41" s="499"/>
      <c r="F41" s="499"/>
      <c r="G41" s="499"/>
      <c r="H41" s="158"/>
      <c r="I41" s="158"/>
      <c r="J41" s="180"/>
    </row>
    <row r="42" spans="1:10">
      <c r="A42" s="182"/>
      <c r="B42" s="158"/>
      <c r="C42" s="176"/>
      <c r="D42" s="176"/>
      <c r="E42" s="176"/>
      <c r="F42" s="176"/>
      <c r="G42" s="176"/>
      <c r="H42" s="158"/>
      <c r="I42" s="158"/>
      <c r="J42" s="180"/>
    </row>
    <row r="43" spans="1:10">
      <c r="A43" s="183"/>
      <c r="B43" s="184"/>
      <c r="C43" s="184"/>
      <c r="D43" s="184"/>
      <c r="E43" s="184"/>
      <c r="F43" s="184"/>
      <c r="G43" s="184"/>
      <c r="H43" s="184"/>
      <c r="I43" s="184"/>
      <c r="J43" s="185"/>
    </row>
  </sheetData>
  <mergeCells count="32">
    <mergeCell ref="A1:J1"/>
    <mergeCell ref="A2:A4"/>
    <mergeCell ref="B2:B4"/>
    <mergeCell ref="C2:I2"/>
    <mergeCell ref="J2:J4"/>
    <mergeCell ref="C3:F3"/>
    <mergeCell ref="G3:I3"/>
    <mergeCell ref="A24:J24"/>
    <mergeCell ref="A17:J17"/>
    <mergeCell ref="A18:B19"/>
    <mergeCell ref="C18:J18"/>
    <mergeCell ref="C19:J19"/>
    <mergeCell ref="A20:B20"/>
    <mergeCell ref="J20:J23"/>
    <mergeCell ref="A21:B21"/>
    <mergeCell ref="A22:B23"/>
    <mergeCell ref="C22:C23"/>
    <mergeCell ref="D22:D23"/>
    <mergeCell ref="E22:E23"/>
    <mergeCell ref="F22:F23"/>
    <mergeCell ref="G22:G23"/>
    <mergeCell ref="H22:H23"/>
    <mergeCell ref="I22:I23"/>
    <mergeCell ref="C40:G40"/>
    <mergeCell ref="C41:G41"/>
    <mergeCell ref="A25:J25"/>
    <mergeCell ref="A26:J26"/>
    <mergeCell ref="A27:J27"/>
    <mergeCell ref="A29:B29"/>
    <mergeCell ref="C34:G34"/>
    <mergeCell ref="C35:D35"/>
    <mergeCell ref="E35:G35"/>
  </mergeCells>
  <pageMargins left="0.511811024" right="0.511811024" top="0.78740157499999996" bottom="0.78740157499999996" header="0.31496062000000002" footer="0.31496062000000002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Planilha Orcamentária</vt:lpstr>
      <vt:lpstr>Memória de Cálculo</vt:lpstr>
      <vt:lpstr>Cronograma</vt:lpstr>
      <vt:lpstr>COMP.CUSTO</vt:lpstr>
      <vt:lpstr>COMP. BDI</vt:lpstr>
      <vt:lpstr>COMP.CUSTO!Area_de_impressao</vt:lpstr>
      <vt:lpstr>Cronograma!Area_de_impressao</vt:lpstr>
      <vt:lpstr>'Memória de Cálculo'!Area_de_impressao</vt:lpstr>
      <vt:lpstr>'Planilha Orcamentária'!Area_de_impressao</vt:lpstr>
      <vt:lpstr>'Planilha Orcamentária'!Titulos_de_impressao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PRISCILA DE PAULA</cp:lastModifiedBy>
  <cp:lastPrinted>2025-05-05T14:19:16Z</cp:lastPrinted>
  <dcterms:created xsi:type="dcterms:W3CDTF">2006-09-22T13:55:22Z</dcterms:created>
  <dcterms:modified xsi:type="dcterms:W3CDTF">2025-05-05T14:19:23Z</dcterms:modified>
</cp:coreProperties>
</file>