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F:\OneDrive\NOTEBOOK DELL\HD DO NOTEBOOK\HD EXTERNO 2022\2025\PM_BOM JARDIM DE MINAS\ETAPA 02 - REVITALIZAÇÃO, REFORMA E CONSTRUÇÃO DE BANHEIROS PÚBLICOS\REV FINAL 02\"/>
    </mc:Choice>
  </mc:AlternateContent>
  <xr:revisionPtr revIDLastSave="0" documentId="13_ncr:1_{F15646E3-2D9E-408E-A743-9C02BBAA0C1F}" xr6:coauthVersionLast="47" xr6:coauthVersionMax="47" xr10:uidLastSave="{00000000-0000-0000-0000-000000000000}"/>
  <bookViews>
    <workbookView xWindow="-108" yWindow="-108" windowWidth="23256" windowHeight="12456" tabRatio="839" xr2:uid="{00000000-000D-0000-FFFF-FFFF00000000}"/>
  </bookViews>
  <sheets>
    <sheet name="Modelo Planilha Orcamentaria" sheetId="6" r:id="rId1"/>
    <sheet name="CFF" sheetId="8" r:id="rId2"/>
    <sheet name="MC II" sheetId="23" r:id="rId3"/>
    <sheet name="ANEXO MC ESTRUTURA COMPLEMENTAR" sheetId="32" r:id="rId4"/>
    <sheet name="COMP.CUSTO" sheetId="34" r:id="rId5"/>
    <sheet name="COTAÇÕES" sheetId="35" r:id="rId6"/>
  </sheets>
  <externalReferences>
    <externalReference r:id="rId7"/>
    <externalReference r:id="rId8"/>
  </externalReferences>
  <definedNames>
    <definedName name="_xlnm.Print_Area" localSheetId="3">'ANEXO MC ESTRUTURA COMPLEMENTAR'!$A$1:$L$155</definedName>
    <definedName name="_xlnm.Print_Area" localSheetId="1">CFF!$A$2:$I$49</definedName>
    <definedName name="_xlnm.Print_Area" localSheetId="4">'COMP.CUSTO'!$A$1:$G$106</definedName>
    <definedName name="_xlnm.Print_Area" localSheetId="2">'MC II'!$A$1:$G$143</definedName>
    <definedName name="_xlnm.Print_Area" localSheetId="0">'Modelo Planilha Orcamentaria'!$A$1:$I$154</definedName>
    <definedName name="_xlnm.Database" localSheetId="3">TEXT([1]Dados!$G$29,"mm-aaaa")</definedName>
    <definedName name="_xlnm.Database" localSheetId="4">TEXT([1]Dados!$G$29,"mm-aaaa")</definedName>
    <definedName name="_xlnm.Database" localSheetId="2">TEXT([2]Dados!$G$29,"mm-aaaa")</definedName>
    <definedName name="_xlnm.Database">TEXT([2]Dados!$G$29,"mm-aaaa")</definedName>
    <definedName name="Fonte" localSheetId="3">#REF!</definedName>
    <definedName name="Fonte" localSheetId="4">#REF!</definedName>
    <definedName name="Fonte" localSheetId="2">#REF!</definedName>
    <definedName name="Fonte">#REF!</definedName>
    <definedName name="INSUMOS" localSheetId="3">#REF!</definedName>
    <definedName name="INSUMOS" localSheetId="4">#REF!</definedName>
    <definedName name="INSUMOS">#REF!</definedName>
    <definedName name="SSSSSSSSSSSSSSSSSSSSSSSSSSSSSSSSSSSSSSSSSSSSSSSSSSSSSSSSSSSSSSSSSSSSSSSSSSSSSSSSSSSSSSSSS" localSheetId="4">#REF!</definedName>
    <definedName name="SSSSSSSSSSSSSSSSSSSSSSSSSSSSSSSSSSSSSSSSSSSSSSSSSSSSSSSSSSSSSSSSSSSSSSSSSSSSSSSSSSSSSSSSS">#REF!</definedName>
    <definedName name="SWEEEEEE" localSheetId="4">#REF!</definedName>
    <definedName name="SWEEEEEE">#REF!</definedName>
    <definedName name="WWWW" localSheetId="3">#REF!</definedName>
    <definedName name="WWWW" localSheetId="4">#REF!</definedName>
    <definedName name="WWW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5" i="23" l="1"/>
  <c r="F130" i="23"/>
  <c r="F124" i="23"/>
  <c r="F104" i="23"/>
  <c r="F105" i="6" s="1"/>
  <c r="E104" i="23"/>
  <c r="C104" i="23" a="1"/>
  <c r="C104" i="23" s="1"/>
  <c r="H105" i="6"/>
  <c r="F153" i="32"/>
  <c r="F151" i="32"/>
  <c r="F152" i="32"/>
  <c r="F150" i="32"/>
  <c r="F147" i="32"/>
  <c r="F148" i="32"/>
  <c r="F149" i="32"/>
  <c r="F146" i="32"/>
  <c r="F84" i="23"/>
  <c r="C86" i="6"/>
  <c r="F27" i="23"/>
  <c r="F29" i="6" s="1"/>
  <c r="F26" i="23"/>
  <c r="F28" i="6" s="1"/>
  <c r="C27" i="23"/>
  <c r="H29" i="6"/>
  <c r="F82" i="23"/>
  <c r="F81" i="23"/>
  <c r="F80" i="23"/>
  <c r="F82" i="6" s="1"/>
  <c r="B80" i="23"/>
  <c r="G82" i="6"/>
  <c r="H82" i="6" s="1"/>
  <c r="E82" i="6"/>
  <c r="E80" i="23" s="1"/>
  <c r="C82" i="6"/>
  <c r="C80" i="23" s="1"/>
  <c r="C26" i="23"/>
  <c r="H28" i="6"/>
  <c r="F127" i="23"/>
  <c r="I105" i="6" l="1"/>
  <c r="I29" i="6"/>
  <c r="I28" i="6"/>
  <c r="I82" i="6"/>
  <c r="B40" i="8"/>
  <c r="B38" i="8"/>
  <c r="B36" i="8"/>
  <c r="B34" i="8"/>
  <c r="F15" i="35"/>
  <c r="F23" i="35"/>
  <c r="F31" i="35"/>
  <c r="F81" i="34" s="1"/>
  <c r="G81" i="34" s="1"/>
  <c r="F39" i="35"/>
  <c r="F98" i="34" s="1"/>
  <c r="G98" i="34" s="1"/>
  <c r="F125" i="6"/>
  <c r="F126" i="6"/>
  <c r="F123" i="23"/>
  <c r="F124" i="6" s="1"/>
  <c r="F122" i="23"/>
  <c r="F123" i="6" s="1"/>
  <c r="E125" i="23"/>
  <c r="C125" i="23"/>
  <c r="E124" i="23"/>
  <c r="C124" i="23"/>
  <c r="H126" i="6"/>
  <c r="H125" i="6"/>
  <c r="F129" i="6"/>
  <c r="F130" i="6"/>
  <c r="F132" i="6"/>
  <c r="F133" i="6"/>
  <c r="F134" i="6"/>
  <c r="F135" i="6"/>
  <c r="F128" i="6"/>
  <c r="F131" i="6"/>
  <c r="E93" i="34"/>
  <c r="F140" i="6"/>
  <c r="F141" i="6"/>
  <c r="F137" i="6"/>
  <c r="F138" i="23"/>
  <c r="F139" i="6" s="1"/>
  <c r="F137" i="23"/>
  <c r="F138" i="6" s="1"/>
  <c r="E140" i="23"/>
  <c r="C140" i="23"/>
  <c r="E138" i="23"/>
  <c r="C138" i="23"/>
  <c r="E137" i="23"/>
  <c r="C137" i="23"/>
  <c r="E128" i="23"/>
  <c r="E129" i="23"/>
  <c r="E130" i="23"/>
  <c r="E131" i="23"/>
  <c r="E133" i="23"/>
  <c r="C128" i="23"/>
  <c r="C129" i="23"/>
  <c r="C130" i="23"/>
  <c r="C133" i="23"/>
  <c r="E127" i="23"/>
  <c r="C127" i="23"/>
  <c r="E123" i="23"/>
  <c r="C123" i="23"/>
  <c r="E99" i="34"/>
  <c r="G99" i="34"/>
  <c r="G101" i="34"/>
  <c r="G100" i="34"/>
  <c r="E140" i="6"/>
  <c r="C140" i="6"/>
  <c r="B98" i="34"/>
  <c r="D98" i="34"/>
  <c r="C98" i="34"/>
  <c r="H141" i="6"/>
  <c r="H139" i="6"/>
  <c r="H138" i="6"/>
  <c r="E135" i="6"/>
  <c r="E134" i="23" s="1"/>
  <c r="C135" i="6"/>
  <c r="C134" i="23" s="1"/>
  <c r="B81" i="34"/>
  <c r="C81" i="34"/>
  <c r="G84" i="34"/>
  <c r="G83" i="34"/>
  <c r="G82" i="34"/>
  <c r="I141" i="6" l="1"/>
  <c r="I125" i="6"/>
  <c r="G96" i="34"/>
  <c r="G140" i="6" s="1"/>
  <c r="G79" i="34"/>
  <c r="I126" i="6"/>
  <c r="G135" i="6"/>
  <c r="H135" i="6" s="1"/>
  <c r="I135" i="6" s="1"/>
  <c r="I138" i="6"/>
  <c r="I139" i="6"/>
  <c r="E139" i="23"/>
  <c r="C139" i="23"/>
  <c r="C135" i="23"/>
  <c r="C126" i="23"/>
  <c r="E122" i="23"/>
  <c r="C122" i="23"/>
  <c r="C121" i="23"/>
  <c r="C120" i="23"/>
  <c r="C10" i="23"/>
  <c r="H134" i="6"/>
  <c r="I134" i="6" s="1"/>
  <c r="E91" i="34"/>
  <c r="E92" i="34"/>
  <c r="E89" i="34"/>
  <c r="E90" i="34" s="1"/>
  <c r="E137" i="6"/>
  <c r="E136" i="23" s="1"/>
  <c r="C137" i="6"/>
  <c r="C136" i="23" s="1"/>
  <c r="E133" i="6"/>
  <c r="E132" i="23" s="1"/>
  <c r="C133" i="6"/>
  <c r="C132" i="23" s="1"/>
  <c r="G71" i="34"/>
  <c r="C69" i="34" l="1"/>
  <c r="F69" i="34"/>
  <c r="G69" i="34" s="1"/>
  <c r="E72" i="34"/>
  <c r="G72" i="34" s="1"/>
  <c r="G93" i="34"/>
  <c r="G92" i="34"/>
  <c r="G91" i="34"/>
  <c r="G90" i="34"/>
  <c r="G89" i="34"/>
  <c r="E75" i="34"/>
  <c r="E76" i="34" s="1"/>
  <c r="G76" i="34" s="1"/>
  <c r="G74" i="34"/>
  <c r="G73" i="34"/>
  <c r="G70" i="34"/>
  <c r="H131" i="6"/>
  <c r="I131" i="6" s="1"/>
  <c r="H130" i="6"/>
  <c r="I130" i="6" s="1"/>
  <c r="H129" i="6"/>
  <c r="H140" i="6"/>
  <c r="H128" i="6"/>
  <c r="H124" i="6"/>
  <c r="H123" i="6"/>
  <c r="I123" i="6" s="1"/>
  <c r="G55" i="34"/>
  <c r="H71" i="6"/>
  <c r="F63" i="6"/>
  <c r="G87" i="34" l="1"/>
  <c r="G137" i="6" s="1"/>
  <c r="H137" i="6" s="1"/>
  <c r="I137" i="6" s="1"/>
  <c r="I140" i="6"/>
  <c r="G75" i="34"/>
  <c r="I129" i="6"/>
  <c r="I124" i="6"/>
  <c r="I122" i="6" s="1"/>
  <c r="I128" i="6"/>
  <c r="F56" i="23"/>
  <c r="F58" i="6" s="1"/>
  <c r="E56" i="23"/>
  <c r="C56" i="23"/>
  <c r="H58" i="6"/>
  <c r="I118" i="32"/>
  <c r="F57" i="6"/>
  <c r="F59" i="6"/>
  <c r="E57" i="23"/>
  <c r="C57" i="23"/>
  <c r="H59" i="6"/>
  <c r="I136" i="6" l="1"/>
  <c r="D39" i="8" s="1"/>
  <c r="G39" i="8" s="1"/>
  <c r="D35" i="8"/>
  <c r="E35" i="8" s="1"/>
  <c r="G67" i="34"/>
  <c r="G133" i="6" s="1"/>
  <c r="H133" i="6" s="1"/>
  <c r="I133" i="6" s="1"/>
  <c r="I59" i="6"/>
  <c r="I58" i="6"/>
  <c r="E56" i="34"/>
  <c r="G56" i="34" s="1"/>
  <c r="B115" i="6"/>
  <c r="F13" i="23"/>
  <c r="F12" i="23"/>
  <c r="F143" i="23"/>
  <c r="F144" i="6" s="1"/>
  <c r="E143" i="23"/>
  <c r="C143" i="23"/>
  <c r="H144" i="6"/>
  <c r="F93" i="6"/>
  <c r="F118" i="23"/>
  <c r="F117" i="23"/>
  <c r="F113" i="23"/>
  <c r="F111" i="23"/>
  <c r="H65" i="32"/>
  <c r="H59" i="32"/>
  <c r="H62" i="32"/>
  <c r="G91" i="32"/>
  <c r="G90" i="32"/>
  <c r="E91" i="32"/>
  <c r="E90" i="32"/>
  <c r="B89" i="32"/>
  <c r="E89" i="32" s="1"/>
  <c r="G89" i="32" s="1"/>
  <c r="G145" i="32"/>
  <c r="D98" i="32"/>
  <c r="E98" i="32" s="1"/>
  <c r="D97" i="32"/>
  <c r="E97" i="32" s="1"/>
  <c r="D96" i="32"/>
  <c r="E96" i="32" s="1"/>
  <c r="D94" i="32"/>
  <c r="E94" i="32" s="1"/>
  <c r="D92" i="32"/>
  <c r="E93" i="32" s="1"/>
  <c r="H82" i="32"/>
  <c r="H80" i="32"/>
  <c r="H78" i="32"/>
  <c r="H74" i="32"/>
  <c r="K136" i="32"/>
  <c r="K134" i="32"/>
  <c r="K135" i="32"/>
  <c r="K131" i="32"/>
  <c r="K130" i="32"/>
  <c r="K129" i="32"/>
  <c r="L133" i="32"/>
  <c r="L132" i="32"/>
  <c r="K126" i="32"/>
  <c r="K125" i="32"/>
  <c r="K124" i="32"/>
  <c r="L127" i="32"/>
  <c r="L128" i="32"/>
  <c r="H136" i="32"/>
  <c r="H134" i="32"/>
  <c r="H124" i="32"/>
  <c r="G105" i="23"/>
  <c r="G106" i="23" s="1"/>
  <c r="G67" i="23"/>
  <c r="E103" i="23"/>
  <c r="C103" i="23" a="1"/>
  <c r="C103" i="23" s="1"/>
  <c r="H104" i="6"/>
  <c r="F104" i="6"/>
  <c r="D152" i="32"/>
  <c r="G152" i="32" s="1"/>
  <c r="D151" i="32"/>
  <c r="G151" i="32" s="1"/>
  <c r="D150" i="32"/>
  <c r="G150" i="32" s="1"/>
  <c r="D148" i="32"/>
  <c r="G149" i="32" s="1"/>
  <c r="D146" i="32"/>
  <c r="G147" i="32" s="1"/>
  <c r="B139" i="32"/>
  <c r="E139" i="32" s="1"/>
  <c r="B140" i="32"/>
  <c r="E140" i="32" s="1"/>
  <c r="B141" i="32"/>
  <c r="E141" i="32" s="1"/>
  <c r="B144" i="32"/>
  <c r="B88" i="32" s="1"/>
  <c r="E88" i="32" s="1"/>
  <c r="B138" i="32"/>
  <c r="E138" i="32" s="1"/>
  <c r="E137" i="32"/>
  <c r="E136" i="32"/>
  <c r="E135" i="32"/>
  <c r="E134" i="32"/>
  <c r="E131" i="32"/>
  <c r="E126" i="32"/>
  <c r="E127" i="32"/>
  <c r="E125" i="32"/>
  <c r="E124" i="32"/>
  <c r="B129" i="32"/>
  <c r="E129" i="32" s="1"/>
  <c r="L139" i="32"/>
  <c r="L138" i="32"/>
  <c r="F98" i="23"/>
  <c r="F99" i="6" s="1"/>
  <c r="F95" i="6"/>
  <c r="F94" i="6"/>
  <c r="E94" i="23"/>
  <c r="C94" i="23"/>
  <c r="H95" i="6"/>
  <c r="E93" i="23"/>
  <c r="C93" i="23"/>
  <c r="H94" i="6"/>
  <c r="C84" i="23"/>
  <c r="B86" i="6"/>
  <c r="G52" i="34"/>
  <c r="G53" i="34"/>
  <c r="G51" i="34"/>
  <c r="G49" i="34"/>
  <c r="G50" i="34"/>
  <c r="D48" i="34"/>
  <c r="C48" i="34"/>
  <c r="G54" i="34"/>
  <c r="G42" i="34"/>
  <c r="D38" i="34"/>
  <c r="C38" i="34"/>
  <c r="G25" i="34"/>
  <c r="G24" i="34"/>
  <c r="G23" i="34"/>
  <c r="G22" i="34"/>
  <c r="G21" i="34"/>
  <c r="G20" i="34"/>
  <c r="G19" i="34"/>
  <c r="E83" i="6"/>
  <c r="C83" i="6"/>
  <c r="B83" i="6"/>
  <c r="J114" i="32"/>
  <c r="J113" i="32"/>
  <c r="J119" i="32" s="1"/>
  <c r="H77" i="6"/>
  <c r="E74" i="23"/>
  <c r="E75" i="23"/>
  <c r="C74" i="23"/>
  <c r="C75" i="23"/>
  <c r="H76" i="6"/>
  <c r="H109" i="32"/>
  <c r="H107" i="32"/>
  <c r="H103" i="32"/>
  <c r="I117" i="32"/>
  <c r="I116" i="32"/>
  <c r="I113" i="32"/>
  <c r="I114" i="32"/>
  <c r="I115" i="32"/>
  <c r="I112" i="32"/>
  <c r="I111" i="32"/>
  <c r="E109" i="32"/>
  <c r="G109" i="32" s="1"/>
  <c r="E111" i="32"/>
  <c r="G111" i="32" s="1"/>
  <c r="E107" i="32"/>
  <c r="G107" i="32" s="1"/>
  <c r="B105" i="32"/>
  <c r="H105" i="32" s="1"/>
  <c r="E103" i="32"/>
  <c r="G103" i="32" s="1"/>
  <c r="E81" i="23"/>
  <c r="F83" i="6"/>
  <c r="C81" i="23"/>
  <c r="G31" i="34"/>
  <c r="G32" i="34"/>
  <c r="G33" i="34"/>
  <c r="G30" i="34"/>
  <c r="D29" i="34"/>
  <c r="C29" i="34"/>
  <c r="F29" i="34"/>
  <c r="G29" i="34" s="1"/>
  <c r="C70" i="23"/>
  <c r="E70" i="23"/>
  <c r="H72" i="6"/>
  <c r="H99" i="32" l="1"/>
  <c r="G88" i="32"/>
  <c r="F39" i="8"/>
  <c r="E39" i="8"/>
  <c r="I39" i="8"/>
  <c r="H39" i="8"/>
  <c r="I119" i="32"/>
  <c r="F38" i="34"/>
  <c r="G38" i="34" s="1"/>
  <c r="F48" i="34"/>
  <c r="G48" i="34" s="1"/>
  <c r="G46" i="34" s="1"/>
  <c r="I144" i="6"/>
  <c r="I104" i="6"/>
  <c r="E92" i="32"/>
  <c r="E99" i="32" s="1"/>
  <c r="E95" i="32"/>
  <c r="G144" i="32"/>
  <c r="B84" i="32"/>
  <c r="B85" i="32"/>
  <c r="B87" i="32"/>
  <c r="B86" i="32"/>
  <c r="L153" i="32"/>
  <c r="F109" i="23" s="1"/>
  <c r="K153" i="32"/>
  <c r="F108" i="23" s="1"/>
  <c r="H129" i="32"/>
  <c r="I95" i="6"/>
  <c r="G146" i="32"/>
  <c r="G148" i="32"/>
  <c r="F75" i="23"/>
  <c r="F77" i="6" s="1"/>
  <c r="I77" i="6" s="1"/>
  <c r="F74" i="23"/>
  <c r="F76" i="6" s="1"/>
  <c r="I76" i="6" s="1"/>
  <c r="I94" i="6"/>
  <c r="G17" i="34"/>
  <c r="G27" i="34"/>
  <c r="G83" i="6" s="1"/>
  <c r="H83" i="6" s="1"/>
  <c r="I83" i="6" s="1"/>
  <c r="E105" i="32"/>
  <c r="G105" i="32" s="1"/>
  <c r="G119" i="32" s="1"/>
  <c r="F73" i="23" l="1"/>
  <c r="G86" i="6"/>
  <c r="E119" i="32"/>
  <c r="F72" i="23" s="1"/>
  <c r="D46" i="32"/>
  <c r="D11" i="34"/>
  <c r="C11" i="34"/>
  <c r="A4" i="35"/>
  <c r="A3" i="35"/>
  <c r="A2" i="35"/>
  <c r="F7" i="35"/>
  <c r="F11" i="34" s="1"/>
  <c r="G11" i="34" s="1"/>
  <c r="F3" i="35"/>
  <c r="G13" i="34"/>
  <c r="G14" i="34"/>
  <c r="C67" i="6"/>
  <c r="B67" i="6"/>
  <c r="E61" i="23"/>
  <c r="C61" i="23"/>
  <c r="H63" i="6"/>
  <c r="I63" i="6" s="1"/>
  <c r="G12" i="34"/>
  <c r="E55" i="23"/>
  <c r="C55" i="23"/>
  <c r="C63" i="23"/>
  <c r="F67" i="6"/>
  <c r="E65" i="23"/>
  <c r="H57" i="6"/>
  <c r="I57" i="6" s="1"/>
  <c r="E54" i="23"/>
  <c r="C54" i="23"/>
  <c r="H56" i="6"/>
  <c r="I56" i="6" s="1"/>
  <c r="J30" i="32"/>
  <c r="J31" i="32"/>
  <c r="J32" i="32"/>
  <c r="J33" i="32"/>
  <c r="J34" i="32"/>
  <c r="J35" i="32"/>
  <c r="J36" i="32"/>
  <c r="J37" i="32"/>
  <c r="J38" i="32"/>
  <c r="J39" i="32"/>
  <c r="J40" i="32"/>
  <c r="J29" i="32"/>
  <c r="L14" i="32"/>
  <c r="L15" i="32"/>
  <c r="L16" i="32"/>
  <c r="L17" i="32"/>
  <c r="L18" i="32"/>
  <c r="L19" i="32"/>
  <c r="L20" i="32"/>
  <c r="L21" i="32"/>
  <c r="L22" i="32"/>
  <c r="L23" i="32"/>
  <c r="L24" i="32"/>
  <c r="L13" i="32"/>
  <c r="J14" i="32"/>
  <c r="J15" i="32"/>
  <c r="J16" i="32"/>
  <c r="J17" i="32"/>
  <c r="J18" i="32"/>
  <c r="J19" i="32"/>
  <c r="J20" i="32"/>
  <c r="J21" i="32"/>
  <c r="J22" i="32"/>
  <c r="J23" i="32"/>
  <c r="J24" i="32"/>
  <c r="J13" i="32"/>
  <c r="I14" i="32"/>
  <c r="I15" i="32"/>
  <c r="I16" i="32"/>
  <c r="I17" i="32"/>
  <c r="I18" i="32"/>
  <c r="I19" i="32"/>
  <c r="I20" i="32"/>
  <c r="I21" i="32"/>
  <c r="I22" i="32"/>
  <c r="I23" i="32"/>
  <c r="I24" i="32"/>
  <c r="I13" i="32"/>
  <c r="L8" i="32"/>
  <c r="K8" i="32"/>
  <c r="H11" i="6"/>
  <c r="F11" i="6"/>
  <c r="E9" i="23"/>
  <c r="C9" i="23" a="1"/>
  <c r="C9" i="23" s="1"/>
  <c r="C65" i="23" l="1"/>
  <c r="C132" i="6"/>
  <c r="C131" i="23" s="1"/>
  <c r="F72" i="6"/>
  <c r="I72" i="6" s="1"/>
  <c r="F70" i="23"/>
  <c r="G9" i="34"/>
  <c r="G67" i="6" s="1"/>
  <c r="G132" i="6" s="1"/>
  <c r="I11" i="6"/>
  <c r="H67" i="6" l="1"/>
  <c r="I67" i="6" s="1"/>
  <c r="H132" i="6"/>
  <c r="I132" i="6" s="1"/>
  <c r="I127" i="6" s="1"/>
  <c r="E84" i="6"/>
  <c r="C84" i="6"/>
  <c r="G43" i="34"/>
  <c r="G41" i="34"/>
  <c r="G40" i="34"/>
  <c r="G39" i="34"/>
  <c r="D37" i="8" l="1"/>
  <c r="G36" i="34"/>
  <c r="A5" i="34"/>
  <c r="A4" i="34"/>
  <c r="A3" i="34"/>
  <c r="A2" i="34"/>
  <c r="A1" i="34"/>
  <c r="F109" i="6"/>
  <c r="F110" i="6"/>
  <c r="C105" i="23"/>
  <c r="C106" i="23"/>
  <c r="C107" i="23"/>
  <c r="C108" i="23"/>
  <c r="C109" i="23"/>
  <c r="E105" i="23"/>
  <c r="E106" i="23"/>
  <c r="E107" i="23"/>
  <c r="E108" i="23"/>
  <c r="E109" i="23"/>
  <c r="E37" i="8" l="1"/>
  <c r="I37" i="8"/>
  <c r="H37" i="8"/>
  <c r="G37" i="8"/>
  <c r="F37" i="8"/>
  <c r="G84" i="6"/>
  <c r="F67" i="23" l="1"/>
  <c r="F69" i="6" s="1"/>
  <c r="G153" i="32"/>
  <c r="H107" i="6"/>
  <c r="F84" i="6"/>
  <c r="F60" i="6"/>
  <c r="F61" i="6"/>
  <c r="F62" i="6"/>
  <c r="F64" i="6"/>
  <c r="F65" i="6"/>
  <c r="F66" i="6"/>
  <c r="E58" i="23"/>
  <c r="E59" i="23"/>
  <c r="E60" i="23"/>
  <c r="E62" i="23"/>
  <c r="E63" i="23"/>
  <c r="E64" i="23"/>
  <c r="C58" i="23"/>
  <c r="C59" i="23"/>
  <c r="C60" i="23"/>
  <c r="C62" i="23"/>
  <c r="C64" i="23"/>
  <c r="H66" i="6"/>
  <c r="F80" i="6"/>
  <c r="F81" i="6"/>
  <c r="F79" i="6"/>
  <c r="E78" i="23"/>
  <c r="E79" i="23"/>
  <c r="C78" i="23"/>
  <c r="C79" i="23"/>
  <c r="E77" i="23"/>
  <c r="C77" i="23"/>
  <c r="E82" i="23"/>
  <c r="C82" i="23"/>
  <c r="H81" i="6"/>
  <c r="H80" i="6"/>
  <c r="F105" i="23" l="1"/>
  <c r="F68" i="23"/>
  <c r="F70" i="6" s="1"/>
  <c r="I66" i="6"/>
  <c r="I80" i="6"/>
  <c r="I81" i="6"/>
  <c r="F53" i="6"/>
  <c r="F54" i="6"/>
  <c r="F51" i="6"/>
  <c r="F52" i="6"/>
  <c r="F49" i="6"/>
  <c r="F50" i="6"/>
  <c r="F46" i="6"/>
  <c r="F47" i="6"/>
  <c r="F48" i="6"/>
  <c r="E46" i="23"/>
  <c r="C46" i="23"/>
  <c r="E45" i="23"/>
  <c r="C45" i="23"/>
  <c r="E44" i="23"/>
  <c r="C44" i="23"/>
  <c r="H46" i="6"/>
  <c r="H47" i="6"/>
  <c r="F45" i="6"/>
  <c r="F43" i="6"/>
  <c r="F44" i="6"/>
  <c r="E41" i="23"/>
  <c r="C41" i="23"/>
  <c r="H43" i="6"/>
  <c r="E25" i="23"/>
  <c r="C25" i="23"/>
  <c r="E24" i="23"/>
  <c r="C24" i="23"/>
  <c r="F119" i="6"/>
  <c r="F119" i="23"/>
  <c r="F120" i="6" s="1"/>
  <c r="F116" i="23"/>
  <c r="F117" i="6" s="1"/>
  <c r="F118" i="6"/>
  <c r="G115" i="23"/>
  <c r="F114" i="23"/>
  <c r="F115" i="6" s="1"/>
  <c r="F114" i="6"/>
  <c r="F112" i="6"/>
  <c r="E112" i="23"/>
  <c r="E113" i="23"/>
  <c r="E115" i="23"/>
  <c r="E116" i="23"/>
  <c r="E117" i="23"/>
  <c r="E118" i="23"/>
  <c r="E119" i="23"/>
  <c r="C112" i="23"/>
  <c r="C113" i="23"/>
  <c r="C115" i="23"/>
  <c r="C116" i="23"/>
  <c r="C117" i="23"/>
  <c r="C118" i="23"/>
  <c r="C119" i="23"/>
  <c r="E115" i="6"/>
  <c r="E114" i="23" s="1"/>
  <c r="C115" i="6"/>
  <c r="C114" i="23" s="1"/>
  <c r="E62" i="34"/>
  <c r="E63" i="34" s="1"/>
  <c r="G63" i="34" s="1"/>
  <c r="G64" i="34"/>
  <c r="G61" i="34"/>
  <c r="H69" i="32" l="1"/>
  <c r="F25" i="23" s="1"/>
  <c r="F27" i="6" s="1"/>
  <c r="G62" i="34"/>
  <c r="G59" i="34" s="1"/>
  <c r="G115" i="6" s="1"/>
  <c r="H115" i="6" s="1"/>
  <c r="I115" i="6" s="1"/>
  <c r="I47" i="6"/>
  <c r="I46" i="6"/>
  <c r="I43" i="6"/>
  <c r="F115" i="23"/>
  <c r="F116" i="6" s="1"/>
  <c r="H116" i="6" l="1"/>
  <c r="H114" i="6"/>
  <c r="H113" i="6"/>
  <c r="I116" i="6" l="1"/>
  <c r="I114" i="6"/>
  <c r="H27" i="6"/>
  <c r="I27" i="6" s="1"/>
  <c r="F86" i="6"/>
  <c r="H99" i="6"/>
  <c r="F89" i="6"/>
  <c r="F90" i="6"/>
  <c r="F91" i="6"/>
  <c r="F85" i="6"/>
  <c r="F92" i="6"/>
  <c r="F96" i="6"/>
  <c r="F97" i="6"/>
  <c r="F98" i="6"/>
  <c r="F100" i="6"/>
  <c r="F101" i="6"/>
  <c r="F102" i="6"/>
  <c r="F88" i="6"/>
  <c r="E98" i="23"/>
  <c r="C98" i="23"/>
  <c r="E89" i="23"/>
  <c r="C89" i="23"/>
  <c r="E90" i="23"/>
  <c r="C90" i="23"/>
  <c r="H91" i="6"/>
  <c r="H90" i="6"/>
  <c r="E88" i="23"/>
  <c r="E83" i="23"/>
  <c r="E84" i="23"/>
  <c r="E91" i="23"/>
  <c r="E92" i="23"/>
  <c r="E95" i="23"/>
  <c r="E96" i="23"/>
  <c r="E97" i="23"/>
  <c r="E99" i="23"/>
  <c r="E100" i="23"/>
  <c r="E101" i="23"/>
  <c r="C88" i="23"/>
  <c r="C83" i="23"/>
  <c r="C91" i="23"/>
  <c r="C92" i="23"/>
  <c r="C95" i="23"/>
  <c r="C96" i="23"/>
  <c r="C97" i="23"/>
  <c r="C99" i="23"/>
  <c r="C100" i="23"/>
  <c r="C101" i="23"/>
  <c r="H98" i="6"/>
  <c r="H97" i="6"/>
  <c r="H86" i="6"/>
  <c r="H102" i="6"/>
  <c r="H101" i="6"/>
  <c r="H100" i="6"/>
  <c r="H85" i="6"/>
  <c r="H79" i="6"/>
  <c r="I79" i="6" s="1"/>
  <c r="H153" i="32"/>
  <c r="F75" i="6"/>
  <c r="E73" i="23"/>
  <c r="C73" i="23"/>
  <c r="C55" i="32"/>
  <c r="H55" i="32" l="1"/>
  <c r="H64" i="32" s="1"/>
  <c r="F108" i="6"/>
  <c r="F107" i="6"/>
  <c r="F107" i="23"/>
  <c r="F106" i="23"/>
  <c r="I101" i="6"/>
  <c r="I102" i="6"/>
  <c r="I98" i="6"/>
  <c r="I97" i="6"/>
  <c r="I99" i="6"/>
  <c r="I86" i="6"/>
  <c r="I91" i="6"/>
  <c r="I90" i="6"/>
  <c r="I85" i="6"/>
  <c r="F22" i="23"/>
  <c r="K46" i="32"/>
  <c r="J46" i="32"/>
  <c r="I46" i="32"/>
  <c r="K30" i="32"/>
  <c r="K31" i="32"/>
  <c r="K32" i="32"/>
  <c r="K33" i="32"/>
  <c r="K34" i="32"/>
  <c r="K35" i="32"/>
  <c r="K36" i="32"/>
  <c r="K37" i="32"/>
  <c r="K38" i="32"/>
  <c r="K39" i="32"/>
  <c r="K40" i="32"/>
  <c r="K29" i="32"/>
  <c r="L38" i="32"/>
  <c r="I38" i="32"/>
  <c r="L31" i="32"/>
  <c r="I31" i="32"/>
  <c r="K22" i="32"/>
  <c r="H22" i="32"/>
  <c r="G22" i="32"/>
  <c r="K15" i="32"/>
  <c r="H15" i="32"/>
  <c r="G15" i="32"/>
  <c r="K14" i="32"/>
  <c r="K16" i="32"/>
  <c r="K17" i="32"/>
  <c r="K18" i="32"/>
  <c r="K19" i="32"/>
  <c r="K20" i="32"/>
  <c r="K21" i="32"/>
  <c r="K23" i="32"/>
  <c r="K24" i="32"/>
  <c r="K13" i="32"/>
  <c r="H13" i="32"/>
  <c r="H14" i="32"/>
  <c r="H16" i="32"/>
  <c r="H17" i="32"/>
  <c r="H18" i="32"/>
  <c r="H19" i="32"/>
  <c r="H20" i="32"/>
  <c r="H21" i="32"/>
  <c r="H23" i="32"/>
  <c r="H24" i="32"/>
  <c r="L9" i="32"/>
  <c r="J9" i="32"/>
  <c r="K9" i="32"/>
  <c r="I8" i="32"/>
  <c r="H8" i="32"/>
  <c r="G8" i="32"/>
  <c r="I107" i="6" l="1"/>
  <c r="H25" i="32"/>
  <c r="K25" i="32"/>
  <c r="A4" i="32" l="1"/>
  <c r="A3" i="32"/>
  <c r="A2" i="32"/>
  <c r="F15" i="6"/>
  <c r="F14" i="6"/>
  <c r="E22" i="23"/>
  <c r="C22" i="23"/>
  <c r="H24" i="6"/>
  <c r="G21" i="23"/>
  <c r="G20" i="23"/>
  <c r="G19" i="23"/>
  <c r="G18" i="23"/>
  <c r="G15" i="23" s="1"/>
  <c r="G17" i="23"/>
  <c r="G14" i="23" s="1"/>
  <c r="I30" i="32"/>
  <c r="L46" i="32"/>
  <c r="I25" i="32" l="1"/>
  <c r="F24" i="6"/>
  <c r="I24" i="6" s="1"/>
  <c r="E52" i="23"/>
  <c r="C52" i="23"/>
  <c r="E51" i="23"/>
  <c r="C51" i="23"/>
  <c r="E50" i="23"/>
  <c r="C50" i="23"/>
  <c r="E49" i="23"/>
  <c r="C49" i="23"/>
  <c r="H54" i="6"/>
  <c r="H53" i="6"/>
  <c r="H52" i="6"/>
  <c r="H51" i="6"/>
  <c r="E48" i="23"/>
  <c r="C48" i="23"/>
  <c r="E47" i="23"/>
  <c r="C47" i="23"/>
  <c r="H50" i="6"/>
  <c r="H49" i="6"/>
  <c r="H48" i="6"/>
  <c r="F41" i="6"/>
  <c r="F42" i="6"/>
  <c r="E43" i="23"/>
  <c r="C43" i="23"/>
  <c r="E42" i="23"/>
  <c r="C42" i="23"/>
  <c r="E40" i="23"/>
  <c r="C40" i="23"/>
  <c r="E39" i="23"/>
  <c r="C39" i="23"/>
  <c r="H45" i="6"/>
  <c r="H44" i="6"/>
  <c r="H42" i="6"/>
  <c r="H41" i="6"/>
  <c r="I52" i="6" l="1"/>
  <c r="I51" i="6"/>
  <c r="I49" i="6"/>
  <c r="I48" i="6"/>
  <c r="I41" i="6"/>
  <c r="I54" i="6"/>
  <c r="I53" i="6"/>
  <c r="I42" i="6"/>
  <c r="I50" i="6"/>
  <c r="I45" i="6"/>
  <c r="I44" i="6"/>
  <c r="F37" i="6" l="1"/>
  <c r="F38" i="6"/>
  <c r="F39" i="6"/>
  <c r="F40" i="6"/>
  <c r="E38" i="23"/>
  <c r="C38" i="23"/>
  <c r="E37" i="23"/>
  <c r="C37" i="23"/>
  <c r="E36" i="23"/>
  <c r="C36" i="23"/>
  <c r="E35" i="23"/>
  <c r="C35" i="23"/>
  <c r="H40" i="6"/>
  <c r="H39" i="6"/>
  <c r="H38" i="6"/>
  <c r="H37" i="6"/>
  <c r="F32" i="6"/>
  <c r="F33" i="6"/>
  <c r="F34" i="6"/>
  <c r="F35" i="6"/>
  <c r="F36" i="6"/>
  <c r="F31" i="6"/>
  <c r="G30" i="23"/>
  <c r="G31" i="23" s="1"/>
  <c r="E34" i="23"/>
  <c r="C34" i="23"/>
  <c r="E33" i="23"/>
  <c r="C33" i="23"/>
  <c r="E32" i="23"/>
  <c r="C32" i="23"/>
  <c r="E31" i="23"/>
  <c r="C31" i="23"/>
  <c r="E30" i="23"/>
  <c r="C30" i="23"/>
  <c r="H36" i="6"/>
  <c r="H35" i="6"/>
  <c r="H34" i="6"/>
  <c r="H33" i="6"/>
  <c r="G32" i="23" l="1"/>
  <c r="G72" i="23"/>
  <c r="I35" i="6"/>
  <c r="I34" i="6"/>
  <c r="I33" i="6"/>
  <c r="I36" i="6"/>
  <c r="I39" i="6"/>
  <c r="I38" i="6"/>
  <c r="I40" i="6"/>
  <c r="I37" i="6"/>
  <c r="G33" i="23" l="1"/>
  <c r="G73" i="23"/>
  <c r="H120" i="6"/>
  <c r="G34" i="23" l="1"/>
  <c r="G74" i="23"/>
  <c r="I120" i="6"/>
  <c r="G35" i="23" l="1"/>
  <c r="G36" i="23" s="1"/>
  <c r="G37" i="23" s="1"/>
  <c r="G38" i="23" s="1"/>
  <c r="G39" i="23" s="1"/>
  <c r="G40" i="23" s="1"/>
  <c r="G75" i="23"/>
  <c r="B31" i="8"/>
  <c r="B29" i="8"/>
  <c r="B27" i="8"/>
  <c r="B25" i="8"/>
  <c r="B23" i="8"/>
  <c r="B21" i="8"/>
  <c r="B19" i="8"/>
  <c r="B17" i="8"/>
  <c r="B15" i="8"/>
  <c r="B13" i="8"/>
  <c r="B11" i="8"/>
  <c r="H60" i="6"/>
  <c r="I60" i="6" s="1"/>
  <c r="G42" i="23" l="1"/>
  <c r="G43" i="23" s="1"/>
  <c r="G44" i="23" s="1"/>
  <c r="G45" i="23" s="1"/>
  <c r="G46" i="23" s="1"/>
  <c r="G47" i="23" s="1"/>
  <c r="G48" i="23" s="1"/>
  <c r="G49" i="23" s="1"/>
  <c r="G50" i="23" s="1"/>
  <c r="G51" i="23" s="1"/>
  <c r="G52" i="23" s="1"/>
  <c r="G41" i="23"/>
  <c r="G112" i="23"/>
  <c r="F112" i="23"/>
  <c r="F113" i="6" s="1"/>
  <c r="I113" i="6" s="1"/>
  <c r="H110" i="6"/>
  <c r="E153" i="32" l="1"/>
  <c r="F103" i="23" s="1"/>
  <c r="F74" i="6"/>
  <c r="I110" i="6"/>
  <c r="E15" i="23" l="1"/>
  <c r="C15" i="23"/>
  <c r="E14" i="23"/>
  <c r="C14" i="23"/>
  <c r="H17" i="6"/>
  <c r="H16" i="6"/>
  <c r="L29" i="32"/>
  <c r="K41" i="32"/>
  <c r="I29" i="32"/>
  <c r="L40" i="32"/>
  <c r="I40" i="32"/>
  <c r="L39" i="32"/>
  <c r="I39" i="32"/>
  <c r="L37" i="32"/>
  <c r="I37" i="32"/>
  <c r="L36" i="32"/>
  <c r="I36" i="32"/>
  <c r="L35" i="32"/>
  <c r="I35" i="32"/>
  <c r="L34" i="32"/>
  <c r="I34" i="32"/>
  <c r="L33" i="32"/>
  <c r="I33" i="32"/>
  <c r="L32" i="32"/>
  <c r="I32" i="32"/>
  <c r="J25" i="32"/>
  <c r="G13" i="32"/>
  <c r="G24" i="32"/>
  <c r="G23" i="32"/>
  <c r="G21" i="32"/>
  <c r="G20" i="32"/>
  <c r="G19" i="32"/>
  <c r="G18" i="32"/>
  <c r="G17" i="32"/>
  <c r="F106" i="6" l="1"/>
  <c r="K45" i="32"/>
  <c r="K47" i="32" s="1"/>
  <c r="G51" i="32" s="1"/>
  <c r="J45" i="32"/>
  <c r="I45" i="32"/>
  <c r="I41" i="32"/>
  <c r="I9" i="32"/>
  <c r="C51" i="32" s="1"/>
  <c r="H106" i="6"/>
  <c r="G68" i="23"/>
  <c r="G107" i="23" l="1"/>
  <c r="G69" i="23"/>
  <c r="G70" i="23" s="1"/>
  <c r="G84" i="32"/>
  <c r="G82" i="32" l="1"/>
  <c r="G99" i="32" l="1"/>
  <c r="E111" i="23"/>
  <c r="C111" i="23"/>
  <c r="C110" i="23"/>
  <c r="C102" i="23"/>
  <c r="E87" i="23"/>
  <c r="C87" i="23"/>
  <c r="C86" i="23"/>
  <c r="C76" i="23"/>
  <c r="E72" i="23"/>
  <c r="C72" i="23"/>
  <c r="C71" i="23"/>
  <c r="E69" i="23"/>
  <c r="C69" i="23"/>
  <c r="E68" i="23"/>
  <c r="C68" i="23"/>
  <c r="E67" i="23"/>
  <c r="C67" i="23"/>
  <c r="C66" i="23"/>
  <c r="C53" i="23"/>
  <c r="E29" i="23"/>
  <c r="C29" i="23"/>
  <c r="C28" i="23"/>
  <c r="C23" i="23"/>
  <c r="E21" i="23"/>
  <c r="C21" i="23"/>
  <c r="E20" i="23"/>
  <c r="C20" i="23"/>
  <c r="E19" i="23"/>
  <c r="C19" i="23"/>
  <c r="E18" i="23"/>
  <c r="C18" i="23"/>
  <c r="E17" i="23"/>
  <c r="C17" i="23"/>
  <c r="C16" i="23"/>
  <c r="E12" i="23"/>
  <c r="C12" i="23"/>
  <c r="E13" i="23"/>
  <c r="C13" i="23"/>
  <c r="C11" i="23"/>
  <c r="F69" i="23" l="1"/>
  <c r="F71" i="6" s="1"/>
  <c r="I106" i="6"/>
  <c r="H47" i="32"/>
  <c r="I47" i="32"/>
  <c r="D51" i="32" s="1"/>
  <c r="F18" i="23" s="1"/>
  <c r="F20" i="6" s="1"/>
  <c r="L45" i="32"/>
  <c r="H41" i="32"/>
  <c r="G41" i="32"/>
  <c r="L30" i="32"/>
  <c r="L41" i="32" s="1"/>
  <c r="J41" i="32"/>
  <c r="L25" i="32"/>
  <c r="G16" i="32"/>
  <c r="G14" i="32"/>
  <c r="F19" i="23"/>
  <c r="F21" i="6" s="1"/>
  <c r="H9" i="32"/>
  <c r="G9" i="32"/>
  <c r="B51" i="32" l="1"/>
  <c r="F17" i="23" s="1"/>
  <c r="F19" i="6" s="1"/>
  <c r="G25" i="32"/>
  <c r="L47" i="32"/>
  <c r="H51" i="32" s="1"/>
  <c r="F24" i="23" s="1"/>
  <c r="F26" i="6" s="1"/>
  <c r="J47" i="32"/>
  <c r="E51" i="32" s="1"/>
  <c r="A51" i="32" l="1"/>
  <c r="F21" i="23"/>
  <c r="F23" i="6" s="1"/>
  <c r="F20" i="23"/>
  <c r="F22" i="6" s="1"/>
  <c r="H14" i="6"/>
  <c r="I14" i="6" s="1"/>
  <c r="H20" i="6"/>
  <c r="I20" i="6" s="1"/>
  <c r="H21" i="6"/>
  <c r="H22" i="6"/>
  <c r="H23" i="6"/>
  <c r="H32" i="6"/>
  <c r="I32" i="6" s="1"/>
  <c r="H61" i="6"/>
  <c r="I61" i="6" s="1"/>
  <c r="H62" i="6"/>
  <c r="I62" i="6" s="1"/>
  <c r="H64" i="6"/>
  <c r="I64" i="6" s="1"/>
  <c r="H65" i="6"/>
  <c r="I65" i="6" s="1"/>
  <c r="H70" i="6"/>
  <c r="I70" i="6" s="1"/>
  <c r="H69" i="6"/>
  <c r="H75" i="6"/>
  <c r="I75" i="6" s="1"/>
  <c r="H84" i="6"/>
  <c r="I84" i="6" s="1"/>
  <c r="I78" i="6" s="1"/>
  <c r="H89" i="6"/>
  <c r="H92" i="6"/>
  <c r="I92" i="6" s="1"/>
  <c r="H93" i="6"/>
  <c r="I93" i="6" s="1"/>
  <c r="H96" i="6"/>
  <c r="I96" i="6" s="1"/>
  <c r="I100" i="6"/>
  <c r="H108" i="6"/>
  <c r="I108" i="6" s="1"/>
  <c r="H109" i="6"/>
  <c r="I109" i="6" s="1"/>
  <c r="H112" i="6"/>
  <c r="I112" i="6" s="1"/>
  <c r="H117" i="6"/>
  <c r="H118" i="6"/>
  <c r="I118" i="6" s="1"/>
  <c r="H119" i="6"/>
  <c r="I119" i="6" s="1"/>
  <c r="H143" i="6"/>
  <c r="H88" i="6"/>
  <c r="I88" i="6" s="1"/>
  <c r="H74" i="6"/>
  <c r="I74" i="6" s="1"/>
  <c r="H31" i="6"/>
  <c r="I31" i="6" s="1"/>
  <c r="I30" i="6" s="1"/>
  <c r="H26" i="6"/>
  <c r="I26" i="6" s="1"/>
  <c r="I25" i="6" s="1"/>
  <c r="H19" i="6"/>
  <c r="I19" i="6" s="1"/>
  <c r="H15" i="6"/>
  <c r="I15" i="6" s="1"/>
  <c r="N78" i="6"/>
  <c r="I73" i="6" l="1"/>
  <c r="D24" i="8" s="1"/>
  <c r="I103" i="6"/>
  <c r="I55" i="6"/>
  <c r="D20" i="8" s="1"/>
  <c r="F14" i="23"/>
  <c r="F16" i="6" s="1"/>
  <c r="I16" i="6" s="1"/>
  <c r="I51" i="32"/>
  <c r="F15" i="23" s="1"/>
  <c r="F17" i="6" s="1"/>
  <c r="I17" i="6" s="1"/>
  <c r="D26" i="8"/>
  <c r="I23" i="6"/>
  <c r="I22" i="6"/>
  <c r="D16" i="8"/>
  <c r="I69" i="6"/>
  <c r="I117" i="6"/>
  <c r="I111" i="6" s="1"/>
  <c r="D32" i="8" s="1"/>
  <c r="I21" i="6"/>
  <c r="I71" i="6"/>
  <c r="I89" i="6"/>
  <c r="I87" i="6" s="1"/>
  <c r="H10" i="6"/>
  <c r="I18" i="6" l="1"/>
  <c r="D14" i="8" s="1"/>
  <c r="I13" i="6"/>
  <c r="D12" i="8" s="1"/>
  <c r="I68" i="6"/>
  <c r="I20" i="8"/>
  <c r="H20" i="8"/>
  <c r="G20" i="8"/>
  <c r="F20" i="8"/>
  <c r="G24" i="8"/>
  <c r="F24" i="8"/>
  <c r="H24" i="8"/>
  <c r="G16" i="8"/>
  <c r="F16" i="8"/>
  <c r="G26" i="8"/>
  <c r="H26" i="8"/>
  <c r="I26" i="8"/>
  <c r="F26" i="8"/>
  <c r="D28" i="8"/>
  <c r="G28" i="8" s="1"/>
  <c r="D30" i="8"/>
  <c r="D18" i="8"/>
  <c r="I12" i="6" l="1"/>
  <c r="G14" i="8"/>
  <c r="F14" i="8"/>
  <c r="H18" i="8"/>
  <c r="G18" i="8"/>
  <c r="F18" i="8"/>
  <c r="G30" i="8"/>
  <c r="I30" i="8"/>
  <c r="H30" i="8"/>
  <c r="H28" i="8"/>
  <c r="I28" i="8"/>
  <c r="D22" i="8"/>
  <c r="F10" i="6"/>
  <c r="C7" i="23"/>
  <c r="E8" i="23"/>
  <c r="C8" i="23"/>
  <c r="H22" i="8" l="1"/>
  <c r="H43" i="8" s="1"/>
  <c r="G22" i="8"/>
  <c r="G43" i="8" s="1"/>
  <c r="F22" i="8"/>
  <c r="F43" i="8" s="1"/>
  <c r="F143" i="6"/>
  <c r="I143" i="6" s="1"/>
  <c r="I142" i="6" s="1"/>
  <c r="I121" i="6" s="1"/>
  <c r="E142" i="23"/>
  <c r="C142" i="23"/>
  <c r="C141" i="23"/>
  <c r="D41" i="8" l="1"/>
  <c r="E12" i="8"/>
  <c r="I41" i="8" l="1"/>
  <c r="I43" i="8" s="1"/>
  <c r="H5" i="8"/>
  <c r="A4" i="23" l="1"/>
  <c r="A3" i="23"/>
  <c r="A2" i="23"/>
  <c r="E14" i="8" l="1"/>
  <c r="C6" i="8" l="1"/>
  <c r="A6" i="8"/>
  <c r="A5" i="8"/>
  <c r="I10" i="6"/>
  <c r="I9" i="6" s="1"/>
  <c r="I145" i="6" s="1"/>
  <c r="D9" i="8" l="1"/>
  <c r="D5" i="8"/>
  <c r="E9" i="8" l="1"/>
  <c r="E43" i="8" s="1"/>
  <c r="D43" i="8"/>
  <c r="D13" i="8" s="1"/>
  <c r="D8" i="8" l="1"/>
  <c r="D19" i="8"/>
  <c r="D40" i="8"/>
  <c r="D15" i="8"/>
  <c r="E42" i="8"/>
  <c r="D27" i="8"/>
  <c r="D17" i="8"/>
  <c r="D29" i="8"/>
  <c r="D31" i="8"/>
  <c r="F42" i="8"/>
  <c r="G42" i="8"/>
  <c r="D23" i="8"/>
  <c r="D34" i="8"/>
  <c r="D36" i="8"/>
  <c r="D21" i="8"/>
  <c r="D38" i="8"/>
  <c r="H42" i="8"/>
  <c r="D25" i="8"/>
  <c r="D11" i="8"/>
  <c r="I42" i="8"/>
  <c r="D42"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<sst xmlns="http://schemas.openxmlformats.org/spreadsheetml/2006/main" count="1550" uniqueCount="744">
  <si>
    <t>ITEM</t>
  </si>
  <si>
    <t>DESCRIÇÃO</t>
  </si>
  <si>
    <t>QUANTIDADE</t>
  </si>
  <si>
    <t>UNIDADE</t>
  </si>
  <si>
    <t>CÓDIGO</t>
  </si>
  <si>
    <t>PREÇO TOTAL</t>
  </si>
  <si>
    <t>CREA</t>
  </si>
  <si>
    <t xml:space="preserve">FORMA DE EXECUÇÃO: </t>
  </si>
  <si>
    <t>Carimbo e assinatura do engenheiro responsável técnico pela elaboração da planilha</t>
  </si>
  <si>
    <t>M2</t>
  </si>
  <si>
    <t>1.1</t>
  </si>
  <si>
    <t>Carimbo e assinatura do prefeito ou presidente da instituição</t>
  </si>
  <si>
    <t>M</t>
  </si>
  <si>
    <t>UNID.</t>
  </si>
  <si>
    <t>FOLHA Nº:  01/01</t>
  </si>
  <si>
    <t xml:space="preserve">ISS: </t>
  </si>
  <si>
    <t>(     )</t>
  </si>
  <si>
    <t>DIRETA</t>
  </si>
  <si>
    <t>(  x  )</t>
  </si>
  <si>
    <t>INDIRETA</t>
  </si>
  <si>
    <t>BDI:</t>
  </si>
  <si>
    <t>CRONOGRAMA FÍSICO-FINANCEIRO</t>
  </si>
  <si>
    <t>ETAPAS/DESCRIÇÃO</t>
  </si>
  <si>
    <t>FÍSICO/ FINANCEIRO</t>
  </si>
  <si>
    <t>TOTAL  ETAPAS</t>
  </si>
  <si>
    <t>MÊS 1</t>
  </si>
  <si>
    <t>MÊS 2</t>
  </si>
  <si>
    <t>Físico %</t>
  </si>
  <si>
    <t>Financeiro</t>
  </si>
  <si>
    <t>TOTAL</t>
  </si>
  <si>
    <t>Carimbo e assinatura do prefeito</t>
  </si>
  <si>
    <t>ANEXO I - PLANILHA ORÇAMENTÁRIA DE CUSTOS</t>
  </si>
  <si>
    <t xml:space="preserve">A N E X O   I I </t>
  </si>
  <si>
    <t>M3</t>
  </si>
  <si>
    <t>DESCRIÇÃO DO SERVIÇO OU FORNECIMENTO</t>
  </si>
  <si>
    <t>DATA BASE</t>
  </si>
  <si>
    <t>PREÇO REFERENCIAL</t>
  </si>
  <si>
    <t>COMP. 01</t>
  </si>
  <si>
    <t>2.1</t>
  </si>
  <si>
    <t xml:space="preserve"> INSTALAÇÕES INICIAIS DA OBRA</t>
  </si>
  <si>
    <t>VALOR DA OBRA:</t>
  </si>
  <si>
    <t>2.2</t>
  </si>
  <si>
    <t>CJ</t>
  </si>
  <si>
    <t>ED-50635</t>
  </si>
  <si>
    <t>Priscila Cristina De Paula Neto</t>
  </si>
  <si>
    <r>
      <t>Engenheira Civil - CREA/MG n</t>
    </r>
    <r>
      <rPr>
        <sz val="10"/>
        <rFont val="Calibri"/>
        <family val="2"/>
      </rPr>
      <t>º</t>
    </r>
    <r>
      <rPr>
        <sz val="10"/>
        <rFont val="Arial"/>
        <family val="2"/>
      </rPr>
      <t xml:space="preserve"> 142702/D</t>
    </r>
  </si>
  <si>
    <t>FÓRMULA/MEMÓRIA</t>
  </si>
  <si>
    <t>PREÇO UNIT.                C/ LDI</t>
  </si>
  <si>
    <t>___________________________________________________</t>
  </si>
  <si>
    <t>2.3</t>
  </si>
  <si>
    <t>MÊS 3</t>
  </si>
  <si>
    <t>2.4</t>
  </si>
  <si>
    <t>QUANT.</t>
  </si>
  <si>
    <t>PREÇO UNIT. S/ LDI</t>
  </si>
  <si>
    <t>ED-51121</t>
  </si>
  <si>
    <t>REATERRO MANUAL DE VALA, INCLUSIVE ESPALHAMENTO E COMPACTAÇÃO MECANIZADA COM PLACA VIBRATÓRIA</t>
  </si>
  <si>
    <t>ED-49638</t>
  </si>
  <si>
    <t>ED-48295</t>
  </si>
  <si>
    <t>KG</t>
  </si>
  <si>
    <t>ED-48297</t>
  </si>
  <si>
    <t>ED-8471</t>
  </si>
  <si>
    <t>FORMA E DESFORMA DE TÁBUA E SARRAFO, REAPROVEITAMENTO (5X), EXCLUSIVE ESCORAMENTO</t>
  </si>
  <si>
    <t>LASTRO DE CONCRETO MAGRO, INCLUSIVE TRANSPORTE, LANÇAMENTO E ADENSAMENTO</t>
  </si>
  <si>
    <t>ED-49812</t>
  </si>
  <si>
    <t>COMPOSIÇÕES DE CUSTO - COM  DESONERADO</t>
  </si>
  <si>
    <t>FONTE</t>
  </si>
  <si>
    <t>DESCRIÇÃO DO INSUMO</t>
  </si>
  <si>
    <t>COEFICIENTE</t>
  </si>
  <si>
    <t>CUSTO UNITÁRIO</t>
  </si>
  <si>
    <t>CUSTO TOTAL</t>
  </si>
  <si>
    <t>SEINFRA</t>
  </si>
  <si>
    <t>SERVIÇOS FINAIS</t>
  </si>
  <si>
    <t>1,00 UNDADE</t>
  </si>
  <si>
    <t>ED-51123</t>
  </si>
  <si>
    <t>REGULARIZAÇÃO MANUAL E COMPACTAÇÃO MECANIZADA DE TERRENO COM PLACA VIBRATÓRIA, EXCLUSIVE DESMATAMENTO, DESTOCAMENTO, LIMPEZA/ROÇADA DO TERRENO</t>
  </si>
  <si>
    <t>PLACA DE ALUMÍNIO FUNDIDO, DIMENSÃO (85X50)CM, PARA INAUGURAÇÃO, INCLUSIVE FIXAÇÃO</t>
  </si>
  <si>
    <t>ESCAVAÇÃO MANUAL DE VALA EM MATERIAL DE 1ª CATEGORIA NA PROFUNDIDADE DE 0 A 1,50 M</t>
  </si>
  <si>
    <t>ED-28427</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</si>
  <si>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</si>
  <si>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1,00 &gt; PLACA DE OBRA</t>
  </si>
  <si>
    <t>ED-50497</t>
  </si>
  <si>
    <t>PINTURA ESMALTE EM ESTRUTURA METÁLICA, DUAS (2) DEMÃOS, INCLUSIVE UMA (1) DEMÃO FUNDO ANTICORROSIVO</t>
  </si>
  <si>
    <t>MOVIMENTAÇÃO DE TERRA</t>
  </si>
  <si>
    <t>ED-50702</t>
  </si>
  <si>
    <t>DESMATAMENTO, DESTOCAMENTO E LIMPEZA, INCLUSIVE TRANSPORTE ATÉ CINQUENTA (50) METROS</t>
  </si>
  <si>
    <t>SUPERESTRUTURA E ESTRUTURA</t>
  </si>
  <si>
    <t>FORNECIMENTO DE CONCRETO ESTRUTURAL, USINADO BOMBEADO, COM FCK 25 MPA, INCLUSIVE LANÇAMENTO, ADENSAMENTO E ACABAMENTO</t>
  </si>
  <si>
    <t>ALVENARIA</t>
  </si>
  <si>
    <t>PONTOS DE INSTALAÇÕES HIDROSSANITÁRIAS</t>
  </si>
  <si>
    <t>PONTOS DE INSTALAÇÕES ELÉTRICAS</t>
  </si>
  <si>
    <t>ED-50228</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</si>
  <si>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</si>
  <si>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 xml:space="preserve">REVESTIMENTOS DE PAREDE INT./EXT. E TETO </t>
  </si>
  <si>
    <t>ED-50727</t>
  </si>
  <si>
    <t>CHAPISCO COM ARGAMASSA, TRAÇO 1:3 (CIMENTO E AREIA), ESP . 5MM, APLICADO EM ALVENARIA/ESTRUTURA DE CONCRETO COM COLHER, INCLUSIVE ARGAMASSA COM PREPARO MECANIZADO</t>
  </si>
  <si>
    <t>ED-50732</t>
  </si>
  <si>
    <t>EMBOÇO COM ARGAMASSA, TRAÇO 1:6 (CIMENTO E AREIA), ESP. 20MM, APLICAÇÃO MANUAL, INCLUSIVE ARGAMASSA COM PREPARO MECANIZADO, EXCLUSIVE CHAPISCO</t>
  </si>
  <si>
    <t>REVESTIMENTO DE PISO INT. E EXT.</t>
  </si>
  <si>
    <t>ED-50566</t>
  </si>
  <si>
    <t>LOUÇAS, METAIS E ACESSÓRIOS</t>
  </si>
  <si>
    <t>ED-50283</t>
  </si>
  <si>
    <t>ED-50297</t>
  </si>
  <si>
    <t>BACIA SANITÁRIA (VASO) DE LOUÇA COM CAIXA ACOPLADA, COR BRANCA, INCLUSIVE ACESSÓRIOS DE FIXAÇÃO/VEDAÇÃO, ENGATE FLEXÍVEL METÁLICO, FORNECIMENTO, INSTALAÇÃO E REJUNTAMENTO</t>
  </si>
  <si>
    <t>ED-48156</t>
  </si>
  <si>
    <t>ASSENTO BRANCO PARA VASO</t>
  </si>
  <si>
    <t>ED-51152</t>
  </si>
  <si>
    <t>ESPELHO CRISTAL, DIMENSÃO (40X60)CM, COM ESP. 4MM, EM ACABAMENTO LAPIDADO, INCLUSIVE FIXAÇÃO COM PARAFUSO TIPO FINESSON, FORNECIMENTO E INSTALAÇÃO</t>
  </si>
  <si>
    <t>PINTURA</t>
  </si>
  <si>
    <t>ED-50527</t>
  </si>
  <si>
    <t>PINTURA COM VERNIZ SINTÉTICO MARÍTIMO EM ESQUADRIAS DE MADEIRA, DUAS (2) DEMÃOS, ACABAMENTO TIPO ACETINADO ( BRILHO SÚTIL)</t>
  </si>
  <si>
    <t>3.1</t>
  </si>
  <si>
    <t>3.2</t>
  </si>
  <si>
    <t>3.3</t>
  </si>
  <si>
    <t>3.4</t>
  </si>
  <si>
    <t>3.5</t>
  </si>
  <si>
    <t>ANEXO V - ANEXO À MEMORIAL DE CÁLCULO</t>
  </si>
  <si>
    <t>LARG (M)</t>
  </si>
  <si>
    <t>COMP (M)</t>
  </si>
  <si>
    <t>ALT (M)</t>
  </si>
  <si>
    <t>ESCAVAÇÃO MANUAL(m3)</t>
  </si>
  <si>
    <t>LASTRO
(m3)</t>
  </si>
  <si>
    <t>CONCRETO FCK 25Mpa(m3)</t>
  </si>
  <si>
    <t>AÇO - 60KG/M³ (KG)</t>
  </si>
  <si>
    <t>AÇO - 50KG/M³ (KG)</t>
  </si>
  <si>
    <t>FORMA
(m2)</t>
  </si>
  <si>
    <t>-</t>
  </si>
  <si>
    <t>VALOR TOTAL</t>
  </si>
  <si>
    <t>ESCAVAÇÃO MANUAL (m3)</t>
  </si>
  <si>
    <t>Vb01</t>
  </si>
  <si>
    <t>Vb02</t>
  </si>
  <si>
    <t>Vb03</t>
  </si>
  <si>
    <t>Vb04</t>
  </si>
  <si>
    <t>Vb05</t>
  </si>
  <si>
    <t>Vb06</t>
  </si>
  <si>
    <t>Vb07</t>
  </si>
  <si>
    <t>V01</t>
  </si>
  <si>
    <t>V02</t>
  </si>
  <si>
    <t>V03</t>
  </si>
  <si>
    <t>V04</t>
  </si>
  <si>
    <t>V06</t>
  </si>
  <si>
    <t>V07</t>
  </si>
  <si>
    <t>V08</t>
  </si>
  <si>
    <t>PILAR</t>
  </si>
  <si>
    <t>ESCAVAÇÃO MECÂNICA
(m3)</t>
  </si>
  <si>
    <t>CONCRETO FCK 25Mpa
(m3)</t>
  </si>
  <si>
    <t>TOTAL DE FUNDAÇÃO E SUPERESTRUTURA</t>
  </si>
  <si>
    <t>ESCAVAÇÃO MANUAL
(m3)</t>
  </si>
  <si>
    <t>ALVENARIAS</t>
  </si>
  <si>
    <t xml:space="preserve">COMP (M) </t>
  </si>
  <si>
    <t>ALTURA / LARGURA (M)</t>
  </si>
  <si>
    <t>PORTAS E JANELAS (SUBTRAIR) DIMENSÕES E QUANTIDADE</t>
  </si>
  <si>
    <t>ALVENARIA (M2)</t>
  </si>
  <si>
    <t>REVESTIMENTOS DE PAREDES E TETO</t>
  </si>
  <si>
    <t>TOTAL DE REVESTIMENTOS DE PAREDE E TETO</t>
  </si>
  <si>
    <t>CAIXA D´ÁGUA DE POLIETILENO, CAPACIDADE DE 1.000L, INCLUSIVE TAMPA, TORNEIRA DE BOIA, EXTRAVASOR, TUBO DE LIMPEZA E ACESSÓRIOS, EXCLUSIVE TUBULAÇÃO DE ENTRADA/ SAÍDA DE ÁGUA</t>
  </si>
  <si>
    <t xml:space="preserve">1,00 &gt; CIRCUITO GERAL </t>
  </si>
  <si>
    <t xml:space="preserve">1,00 &gt; QUADRO GERAL </t>
  </si>
  <si>
    <t>DADOS RETIRADOS DE ANEXO V - ANEXO À MEMORIAL DE CÁLCULO</t>
  </si>
  <si>
    <t>ED-50455</t>
  </si>
  <si>
    <t>PINTURA ACRÍLICA EM PAREDE, DUAS (2) DEMÃOS, INCLUSIVE UMA (1) DEMÃO DE MASSA CORRIDA (PVA), EXCLUSIVE SELADOR ACRÍLICO</t>
  </si>
  <si>
    <t>ED-50499</t>
  </si>
  <si>
    <t>Vb08</t>
  </si>
  <si>
    <t>Vb09</t>
  </si>
  <si>
    <t>Vb10</t>
  </si>
  <si>
    <t>Vb11</t>
  </si>
  <si>
    <t>Vb12</t>
  </si>
  <si>
    <t>V10</t>
  </si>
  <si>
    <t>V11</t>
  </si>
  <si>
    <t>V12</t>
  </si>
  <si>
    <t>ED-50754</t>
  </si>
  <si>
    <t>REVESTIMENTO COM PORCELANATO APLICADO EM PISO, ACABAMENTO POLÍDO, AMBIENTE INTERNO, PADRÃO EXTRA, BORDA RETIFICADA, DIMENSÃO DA PEÇA (60X60CM), ASSENTAMENTO COM ARGAMASSA INDUSTRIALIZADA, INCLUSIVE REJUNTAMENTO</t>
  </si>
  <si>
    <t xml:space="preserve">COBERTURA </t>
  </si>
  <si>
    <t>ED-50848</t>
  </si>
  <si>
    <t>LAJE 10 CM MACIÇA DE CONCRETO 20 MPa, COM ARMAÇÃO, FÔRMA RESINADA, ESCORAMENTO E DESFORMA</t>
  </si>
  <si>
    <t>13.1</t>
  </si>
  <si>
    <t>4.1</t>
  </si>
  <si>
    <t>5.1</t>
  </si>
  <si>
    <t>6.1</t>
  </si>
  <si>
    <t>7.1</t>
  </si>
  <si>
    <t>8.1</t>
  </si>
  <si>
    <t>9.1</t>
  </si>
  <si>
    <t>10.1</t>
  </si>
  <si>
    <t>11.1</t>
  </si>
  <si>
    <t>12.1</t>
  </si>
  <si>
    <t>12.2</t>
  </si>
  <si>
    <t>12.3</t>
  </si>
  <si>
    <t>12.4</t>
  </si>
  <si>
    <t>11.2</t>
  </si>
  <si>
    <t>11.3</t>
  </si>
  <si>
    <t>11.4</t>
  </si>
  <si>
    <t>11.5</t>
  </si>
  <si>
    <t>11.6</t>
  </si>
  <si>
    <t>10.2</t>
  </si>
  <si>
    <t>10.3</t>
  </si>
  <si>
    <t>10.4</t>
  </si>
  <si>
    <t>10.5</t>
  </si>
  <si>
    <t>10.6</t>
  </si>
  <si>
    <t>10.7</t>
  </si>
  <si>
    <t>10.8</t>
  </si>
  <si>
    <t>10.9</t>
  </si>
  <si>
    <t>10.10</t>
  </si>
  <si>
    <t>10.11</t>
  </si>
  <si>
    <t>10.12</t>
  </si>
  <si>
    <t>10.13</t>
  </si>
  <si>
    <t>9.2</t>
  </si>
  <si>
    <t>9.3</t>
  </si>
  <si>
    <t>9.4</t>
  </si>
  <si>
    <t>8.2</t>
  </si>
  <si>
    <t>8.3</t>
  </si>
  <si>
    <t>7.2</t>
  </si>
  <si>
    <t>7.4</t>
  </si>
  <si>
    <t>6.2</t>
  </si>
  <si>
    <t>6.3</t>
  </si>
  <si>
    <t>6.4</t>
  </si>
  <si>
    <t>6.5</t>
  </si>
  <si>
    <t>6.6</t>
  </si>
  <si>
    <t>6.7</t>
  </si>
  <si>
    <t>5.2</t>
  </si>
  <si>
    <t>5.3</t>
  </si>
  <si>
    <t>5.4</t>
  </si>
  <si>
    <t>5.5</t>
  </si>
  <si>
    <t>5.6</t>
  </si>
  <si>
    <t>5.7</t>
  </si>
  <si>
    <t>5.8</t>
  </si>
  <si>
    <t>5.9</t>
  </si>
  <si>
    <t>ED-48332</t>
  </si>
  <si>
    <t>PINGADEIRA COM DIMENSÃO (20X5)CM, MOLDADO "IN-LOCO", EM CONCRETO NÃO ESTRUTURAL, PREPARADO EM OBRA COM BETONEIRA, COM FCK 15MPA, INCLUSIVE LANÇAMENTO, ADENSAMENTO, ACABAMENTO E ARMAÇÃO</t>
  </si>
  <si>
    <t>12.5</t>
  </si>
  <si>
    <t>SINAPI-89401</t>
  </si>
  <si>
    <t>TUBO, PVC, SOLDÁVEL, DN 20MM, INSTALADO EM RAMAL DE DISTRIBUIÇÃO DE ÁGUA - FORNECIMENTO E INSTALAÇÃO. AF_12/2014</t>
  </si>
  <si>
    <t>SINAPI-89402</t>
  </si>
  <si>
    <t>TUBO, PVC, SOLDÁVEL, DN 25MM, INSTALADO EM RAMAL DE DISTRIBUIÇÃO DE ÁGUA - FORNECIMENTO E INSTALAÇÃO. AF_06/2022</t>
  </si>
  <si>
    <t>SINAPI-89711</t>
  </si>
  <si>
    <t>TUBO PVC, SERIE NORMAL, ESGOTO PREDIAL, DN 40 MM, FORNECIDO E INSTALADO EM RAMAL DE DESCARGA OU RAMAL DE ESGOTO SANITÁRIO. AF_12/2014</t>
  </si>
  <si>
    <t>SINAPI-89714</t>
  </si>
  <si>
    <t>TUBO PVC, SERIE NORMAL, ESGOTO PREDIAL, DN 100 MM, FORNECIDO E INSTALADO EM RAMAL DE DESCARGA OU RAMAL DE ESGOTO SANITÁRIO. AF_12/2014</t>
  </si>
  <si>
    <t>TUBO, PVC, SOLDÁVEL, DN 32MM, INSTALADO EM RAMAL DE DISTRIBUIÇÃO DE ÁGUA - FORNECIMENTO E INSTALAÇÃO. AF_06/2022</t>
  </si>
  <si>
    <t>TUBO PVC, SERIE NORMAL, ESGOTO PREDIAL, DN 50 MM, FORNECIDO E INSTALADO EM RAMAL DE DESCARGA OU RAMAL DE ESGOTO SANITÁRIO. AF_08/2022</t>
  </si>
  <si>
    <t>SINAPI-89403</t>
  </si>
  <si>
    <t>SINAPI-89712</t>
  </si>
  <si>
    <t>DADOS RETIRADOS DE PROJETO HIDROSSANITÁRIO</t>
  </si>
  <si>
    <t>SINAPI-89358</t>
  </si>
  <si>
    <t>JOELHO 90 GRAUS, PVC, SOLDÁVEL, DN 20MM, INSTALADO EM RAMAL OU SUB-RAM UN CR JOELHO 90 GRAUS, PVC, SOLDÁVEL, DN 20MM, INSTALADO EM RAMAL OU SUB-RAMAL DE ÁGUA - FORNECIMENTO E INSTALAÇÃO. AF_12/2014</t>
  </si>
  <si>
    <t>SINAPI-89362</t>
  </si>
  <si>
    <t>JOELHO 90 GRAUS, PVC, SOLDÁVEL, DN 25MM, INSTALADO EM RAMAL OU SUB-RAMAL DE ÁGUA - FORNECIMENTO E INSTALAÇÃO. AF_12/2014</t>
  </si>
  <si>
    <t>SINAPI-89400</t>
  </si>
  <si>
    <t>TÊ DE REDUÇÃO, PVC, SOLDÁVEL, DN 32MM X 25MM, INSTALADO EM RAMAL OU SUB-RAMAL DE ÁGUA - FORNECIMENTO E INSTALAÇÃO. AF_06/2022</t>
  </si>
  <si>
    <t>SINAPI-89438</t>
  </si>
  <si>
    <t>TE, PVC, SOLDÁVEL, DN 20MM, INSTALADO EM RAMAL DE DISTRIBUIÇÃO DE ÁGUA - FORNECIMENTO E INSTALAÇÃO. AF_06/2022</t>
  </si>
  <si>
    <t>5.10</t>
  </si>
  <si>
    <t>SINAPI-89726</t>
  </si>
  <si>
    <t>JOELHO 45 GRAUS, PVC, SERIE NORMAL, ESGOTO PREDIAL, DN 40 MM, JUNTA SOLDÁVEL, FORNECIDO E INSTALADO EM RAMAL DE DESCARGA OU RAMAL DE ESGOTO SANITÁRIO. AF_08/2022</t>
  </si>
  <si>
    <t>SINAPI-89724</t>
  </si>
  <si>
    <t>JOELHO 90 GRAUS, PVC, SERIE NORMAL, ESGOTO PREDIAL, DN 40 MM, JUNTA SOLDÁVEL, FORNECIDO E INSTALADO EM RAMAL DE DESCARGA OU RAMAL DE ESGOTO SANITÁRIO. AF_12/2014</t>
  </si>
  <si>
    <t>SINAPI-89744</t>
  </si>
  <si>
    <t>JOELHO 90 GRAUS, PVC, SERIE NORMAL, ESGOTO PREDIAL, DN 100 MM, JUNTA ELÁSTICA, FORNECIDO E INSTALADO EM RAMAL DE DESCARGA OU RAMAL DE ESGOTO SANITÁRIO. AF_12/2014</t>
  </si>
  <si>
    <t>5.11</t>
  </si>
  <si>
    <t>5.12</t>
  </si>
  <si>
    <t>5.13</t>
  </si>
  <si>
    <t>5.14</t>
  </si>
  <si>
    <t>5.15</t>
  </si>
  <si>
    <t>JOELHO 45 GRAUS, PVC, SERIE NORMAL, ESGOTO PREDIAL, DN 50 MM, JUNTA ELÁSTICA, FORNECIDO E INSTALADO EM RAMAL DE DESCARGA OU RAMAL DE ESGOTO SANITÁRIO. AF_08/2022</t>
  </si>
  <si>
    <t>SINAPI-89732</t>
  </si>
  <si>
    <t>SINAPI-89753</t>
  </si>
  <si>
    <t>LUVA SIMPLES, PVC, SERIE NORMAL, ESGOTO PREDIAL, DN 50 MM, JUNTA ELÁSTICA, FORNECIDO E INSTALADO EM RAMAL DE DESCARGA OU RAMAL DE ESGOTO SANITÁRIO. AF_08/2022</t>
  </si>
  <si>
    <t>SINAPI-89778</t>
  </si>
  <si>
    <t xml:space="preserve"> LUVA SIMPLES, PVC, SERIE NORMAL, ESGOTO PREDIAL, DN 100 MM, JUNTA ELÁSTICA, FORNECIDO E INSTALADO EM RAMAL DE DESCARGA OU RAMAL DE ESGOTO SANITÁRIO. AF_08/2022</t>
  </si>
  <si>
    <t>5.16</t>
  </si>
  <si>
    <t>5.17</t>
  </si>
  <si>
    <t>5.18</t>
  </si>
  <si>
    <t>5.19</t>
  </si>
  <si>
    <t>5.20</t>
  </si>
  <si>
    <t>SINAPI-104328</t>
  </si>
  <si>
    <t>CAIXA SIFONADA, COM GRELHA QUADRADA, PVC, DN 150 X 150 X 50 MM, JUNTA SOLDÁVEL, FORNECIDA E INSTALADA EM RAMAL DE DESCARGA OU EM RAMAL DE ESGOTO SANITÁRIO. AF_08/2022</t>
  </si>
  <si>
    <t>SINAPI-97903</t>
  </si>
  <si>
    <t>CAIXA ENTERRADA HIDRÁULICA RETANGULAR EM ALVENARIA COM TIJOLOS CERÂMICOS MACIÇOS, DIMENSÕES INTERNAS: 0,8X0,8X0,6 M PARA REDE DE ESGOTO. AF_ 12/2020</t>
  </si>
  <si>
    <t>ED-49999</t>
  </si>
  <si>
    <t>REGISTRO DE ESFERA, TIPO PVC SOLDÁVEL DN 20MM (1/2"),  INCLUSIVE VOLANTE PARA ACIONAMENTO</t>
  </si>
  <si>
    <t>ED-49936</t>
  </si>
  <si>
    <t>5.21</t>
  </si>
  <si>
    <t>5.22</t>
  </si>
  <si>
    <t>5.23</t>
  </si>
  <si>
    <t>5.24</t>
  </si>
  <si>
    <t xml:space="preserve">VIGA BALDRAME </t>
  </si>
  <si>
    <t xml:space="preserve">VIGA TRAVAMENTO </t>
  </si>
  <si>
    <t>3.6</t>
  </si>
  <si>
    <t>RO-00218</t>
  </si>
  <si>
    <t>V09</t>
  </si>
  <si>
    <t>V05</t>
  </si>
  <si>
    <t xml:space="preserve">SAPATAS </t>
  </si>
  <si>
    <t>SP1 - SP14</t>
  </si>
  <si>
    <t xml:space="preserve">38,06 &gt; ÁREA RETIRADA DO AUTOCAD </t>
  </si>
  <si>
    <t>ED-48229</t>
  </si>
  <si>
    <t>ALVENARIA DE VEDAÇÃO COM TIJOLO MACIÇO REQUEIMADO, ESP. 10CM, COM ACABAMENTO APARENTE, INCLUSIVE ARGAMASSA PARA ASSENTAMENTO</t>
  </si>
  <si>
    <t>W.C. MASCULINO</t>
  </si>
  <si>
    <t>DEPÓSITO</t>
  </si>
  <si>
    <t>ALTURA - VIGAS (M)</t>
  </si>
  <si>
    <t>ED-50279</t>
  </si>
  <si>
    <t>CUBA DE LOUÇA BRANCA DE EMBUTIR, FORMATO OVAL, INCLUSIVE VÁLVULA DE ESCOAMENTO DE METAL COM ACABAMENTO CROMADO, SIFÃO DE METAL TIPO COPO COM ACABAMENTO CROMADO, FORNECIMENTO E INSTALAÇÃO</t>
  </si>
  <si>
    <t>ED-48342</t>
  </si>
  <si>
    <t xml:space="preserve">FURO DE BOJO EM BANCADA DE GRANITO/MÁRMORE, INCLUSIVE COLAGEM COM MASSA PLÁSTICA </t>
  </si>
  <si>
    <t>ED-48162</t>
  </si>
  <si>
    <t>BARRA DE APOIO EM AÇO INOX POLIDO RETA, DN 1.1/4" (31,75MM) , PARA ACESSIBILIDADE (PMR/PCR), COMPRIMENTO 40CM, INSTALADO EM PORTA/PAREDE, INCLUSIVE FORNECIMENTO, INSTALAÇÃO E ACESSÓRIOS PARA FIXAÇÃO</t>
  </si>
  <si>
    <t>ED-48163</t>
  </si>
  <si>
    <t>BARRA DE APOIO EM AÇO INOX POLIDO RETA, DN 1.1/4" (31,75MM), PARA ACESSIBILIDADE (PMR/PCR), COMPRIMENTO 90CM, INSTALADO EM PAREDE, INCLUSIVE FORNECIMENTO, INSTALAÇÃO E ACESSÓRIOS PARA FIXAÇÃO</t>
  </si>
  <si>
    <t>SABONETEIRA PLASTICA TIPO DISPENSER PARA SABONETE LIQUIDO COM RESERVATORIO 800 ML</t>
  </si>
  <si>
    <t>ED-48188</t>
  </si>
  <si>
    <t>DISPENSER PARA GEL/ÁLCOOL COM RESERVATORIO 800 ML</t>
  </si>
  <si>
    <t>ED-48155</t>
  </si>
  <si>
    <t>10.14</t>
  </si>
  <si>
    <t>ED-50286</t>
  </si>
  <si>
    <t>VÁLVULA DE DESCARGA METÁLICA PARA MICTÓRIO COM FECHAMENTO AUTOMÁTICO, EXCLUSIVE MICTÓRIO</t>
  </si>
  <si>
    <t>ED-50348</t>
  </si>
  <si>
    <t>MICTÓRIO SIFONADO DE LOUÇA BRANCA, INCLUSIVE ENGATE FLEXÍVEL, EXCLUSIVE VÁLVULA DE DESCARGA</t>
  </si>
  <si>
    <t>10.15</t>
  </si>
  <si>
    <t xml:space="preserve">3,00 W.C. MASCULINO + 3,00 W.C. FEMININO </t>
  </si>
  <si>
    <t>3,00 W.C. MASCULINO</t>
  </si>
  <si>
    <t xml:space="preserve">1,00 W.C. MASCULINO + 1,00 W.C. FEMININO </t>
  </si>
  <si>
    <t>PAPELEIRA PLASTICA TIPO DISPENSER PARA PAPEL HIGIENICO ROLAO</t>
  </si>
  <si>
    <t>ED-48183</t>
  </si>
  <si>
    <t xml:space="preserve">2,00 W.C. MASCULINO + 2,00 W.C. FEMININO </t>
  </si>
  <si>
    <t>ED-48191</t>
  </si>
  <si>
    <t>ALVENARIA DE VEDAÇÃO COM BLOCO DE CONCRETO, ESP. 9CM, PARA REVESTIMENTO, INCLUSIVE ARGAMASSA PARA ASSENTAMENTO</t>
  </si>
  <si>
    <t>12.6</t>
  </si>
  <si>
    <t>12.7</t>
  </si>
  <si>
    <t>12.8</t>
  </si>
  <si>
    <t>ED-50649</t>
  </si>
  <si>
    <t>CALHA EM CHAPA GALVANIZADA, ESP. 0,8MM (GSG-22), COM DESENVOLVIMENTO DE 40CM, INCLUSIVE IÇAMENTO MANUAL VERTICAL</t>
  </si>
  <si>
    <t>ED-50682</t>
  </si>
  <si>
    <t>RUFO E CONTRARRUFO EM CHAPA GALVANIZADA, ESP. 0,5MM (GSG-26), COM DESENVOLVIMENTO DE 15CM, INCLUSIVE IÇAMENTO MANUAL VERTICAL</t>
  </si>
  <si>
    <t>ED-48407</t>
  </si>
  <si>
    <t>ENGRADAMENTO EM MADEIRA PARAJU OU EQUIVALENTE, PARA TELHAS CERÂMICAS OU DE CONCRETO, EXCLUSIVE TELHAS</t>
  </si>
  <si>
    <t>ED-48421</t>
  </si>
  <si>
    <t>COBERTURA EM TELHA CERÂMICA, TIPO COLONIAL, INCLUSIVE FIXAÇÃO, EXCLUSIVE ENGRADAMENTO E MANTA ISOLANTE/ TÉRMICA</t>
  </si>
  <si>
    <t>ED-48400</t>
  </si>
  <si>
    <t>CUMEEIRA PARA TELHA CERÂMICA, INCLUSIVE EMBOÇAMENTO COM ARGAMASSA, TRAÇO 1:2:9 (CIMENTO, CAL E AREIA), COM PREPARO MECANIZADO</t>
  </si>
  <si>
    <t>ED-48428</t>
  </si>
  <si>
    <t>COBERTURA EM TELHA METÁLICA GALVANIZADA TRAPEZOIDAL, TIPO SIMPLES, ESP. 0,50MM, ACABAMENTO NATURAL, INCLUSIVE ACESSÓRIOS PARA FIXAÇÃO, FORNECIMENTO E INSTALAÇÃO</t>
  </si>
  <si>
    <t>ED-20558</t>
  </si>
  <si>
    <t>ESTRUTURA METÁLICA E ENGRADAMENTO METÁLICO PARA TELHADO, EXCLUSIVE PINTURA (FABRICAÇÃO)</t>
  </si>
  <si>
    <t>ED-20559</t>
  </si>
  <si>
    <t>ESTRUTURA METÁLICA E ENGRADAMENTO METÁLICO PARA TELHADO, EXCLUSIVE PINTURA (TRANSPORTE E MONTAGEM)</t>
  </si>
  <si>
    <t>ED-20561</t>
  </si>
  <si>
    <t>FORNECIMENTO DE ESTRUTURA METÁLICA E ENGRADAMENTO METÁLICO PARA TELHADO DE QUADRA POLIESPORTIVA EM AÇO, COBERTURA PADRÃO DO GINÁSIO POLIESPORTIVO, INCLUSIVE PILAR METÁLICO, EXCLUSIVE FABRICAÇÃO, TRANSPORTE, MONTAGEM E PINTURA</t>
  </si>
  <si>
    <t>FORNECIMENTO DE ESTRUTURA METÁLICA E ENGRADAMENTO METÁLICO, EM AÇO, PARA TELHA METÁLICA, EXCLUSIVE TELHA, INCLUSIVE FABRICAÇÃO, TRANSPORTE, MONTAGEM E E APLICAÇÃO DE FUNDO PREPARADOR ANTICORROSIVO, UMA (1) DEMÃO E PINTURA ESMALTE, DUAS (2) DEMÃOS</t>
  </si>
  <si>
    <t>12.9</t>
  </si>
  <si>
    <t xml:space="preserve">1,80 x 1,50 x 10,00% &gt; COMP. X LARG. X INCLINAÇÃO - TELHADO INDICADO EM PROJETO </t>
  </si>
  <si>
    <t xml:space="preserve">1,80 + 1,80 + 1,50 + 1,50 &gt; PERIMETRO DEMONSTRADO EM PROJETO </t>
  </si>
  <si>
    <t xml:space="preserve">1,80 + 1,80 + 1,50 + 1,50 + 1,70 + 1,70 &gt; PERIMETRO DEMONSTRADO EM PROJETO </t>
  </si>
  <si>
    <t>4.2</t>
  </si>
  <si>
    <t>TOTAL DE ALVENARIA - TIJOLO MACIÇO REQUEIMADO ESP. 10CM</t>
  </si>
  <si>
    <t>TOTAL DE ALVENARIA - BLOCO DE CONCRETO 9CM</t>
  </si>
  <si>
    <t>0,90 x 2,10</t>
  </si>
  <si>
    <t>JOELHO 45 GRAUS, PVC, SERIE NORMAL, ESGOTO PREDIAL, DN 100 MM, JUNTA ELÁSTICA, FORNECIDO E INSTALADO EM RAMAL DE DESCARGA OU RAMAL DE ESGOTO SANITÁRIO. AF_08/2022</t>
  </si>
  <si>
    <t>SINAPI-89746</t>
  </si>
  <si>
    <t>SINAPI-89797</t>
  </si>
  <si>
    <t>JUNÇÃO SIMPLES, PVC, SERIE NORMAL, ESGOTO PREDIAL, DN 100 X 100 MM, JUNTA ELÁSTICA, FORNECIDO E INSTALADO EM RAMAL DE DESCARGA OU RAMAL DE ESGOTO SANITÁRIO. AF_08/2022</t>
  </si>
  <si>
    <t>JUNÇÃO SIMPLES, PVC, SERIE NORMAL, ESGOTO PREDIAL, DN 40 MM, JUNTA SOLDÁVEL, FORNECIDO E INSTALADO EM RAMAL DE DESCARGA OU RAMAL DE ESGOTO SANITÁRIO. AF_08/2022</t>
  </si>
  <si>
    <t>SINAPI-89783</t>
  </si>
  <si>
    <t>JUNÇÃO SIMPLES, PVC, SERIE NORMAL, ESGOTO PREDIAL, DN 100 X 50 MM, JUNTA ELÁSTICA, FORNECIDO E INSTALADO EM PRUMADA DE ESGOTO SANITÁRIO OU VENTILAÇÃO. AF_08/2022</t>
  </si>
  <si>
    <t xml:space="preserve">SINAPI-89830 </t>
  </si>
  <si>
    <t>ED-50976</t>
  </si>
  <si>
    <t>ED-50977</t>
  </si>
  <si>
    <t>PORTA METÁLICA PARA SANITÁRIO EM CHAPA GALVANIZADA, ESP. 1,25MM (GSG-18), DIMENSÃO (60X150)CM, TIPO DE ABRIR, UMA (1) FOLHA, INCLUSIVE BATENTE, ESTRUTURA EM METALON (20X30)MM, DOBRADIÇA E TRANQUETA, EXCLUSIVE PINTURA</t>
  </si>
  <si>
    <t>PORTA METÁLICA PARA SANITÁRIO EM CHAPA GALVANIZADA, ESP. 1,25MM (GSG-18), DIMENSÃO (80X150)CM, TIPO DE ABRIR, UMA (1) FOLHA, INCLUSIVE BATENTE, ESTRUTURA EM METALON (20X30)MM, DOBRADIÇA E TRANQUETA, EXCLUSIVE PINTURA</t>
  </si>
  <si>
    <t>COMP. 02</t>
  </si>
  <si>
    <t>JANELA EM MADEIRA CEDRINHO/ ANGELIM COMERCIAL/ CURUPIXA/ CUMARU OU EQUIVALENTE DA REGIAO, CAIXA DO BATENTE/MARCO *10* CM, 2 FOLHAS DE ABRIR TIPO VENEZIANA E 2 FOLHAS GUILHOTINA PARA VIDRO, COM GUARNICAO/ALIZAR, COM FERRAGENS (SEM VIDRO E SEM ACABAMENTO)</t>
  </si>
  <si>
    <t xml:space="preserve">SINAPI-I </t>
  </si>
  <si>
    <t>PREGO DE ACO POLIDO COM CABECA 16 X 24 (2 1/4 X 12)</t>
  </si>
  <si>
    <t>310ML</t>
  </si>
  <si>
    <t xml:space="preserve"> SELANTE ELASTICO MONOCOMPONENTE A BASE DE POLIURETANO (PU) PARA JUNTAS DIVERSAS </t>
  </si>
  <si>
    <t>CARPINTEIRO DE ESQUADRIA COM ENCARGOS COMPLEMENTARES</t>
  </si>
  <si>
    <t>SERVENTE COM ENCARGOS COMPLEMENTARES</t>
  </si>
  <si>
    <t>H</t>
  </si>
  <si>
    <t>VIDRO COMUM TRANSPARENTE INCOLOR, ESP. 4MM, INCLUSIVE FIXAÇÃO E VEDAÇÃO COM GUARNIÇÃO/GAXETA DE BORRACHA NEOPRENE, FORNECIMENTO E INSTALAÇÃO, EXCLUSIVE CAIXILHO/PERFIL</t>
  </si>
  <si>
    <t>ED-51156</t>
  </si>
  <si>
    <t xml:space="preserve">JANELA DE MADEIRA - CEDRINHO/ANGELIM OU EQUIVALENTE DA REGIÃO - DE ABRIR COM 2 FOLHAS EM GUILHOTINAS PARA VIDRO, COM BATENTE, ALIZAR E FERRAGENS. INCLUSIVE VIDROS COMUM ESP. 4 MM, ACABAMENTO E CONTRAMARCO. FORNECIMENTO E INSTALAÇÃO. </t>
  </si>
  <si>
    <t>SINAPI/ SEINFRA</t>
  </si>
  <si>
    <t>ED-13357</t>
  </si>
  <si>
    <t>LUMINÁRIA PLAFON REDONDO DE VIDRO JATEADO REDONDO COMPLETA, DIÂMETRO 25 CM, PARA UMA (1) LÂMPADA LED, POTÊNCIA 15W, BULBO A65, FORNECIMENTO E INSTALAÇÃO, INCLUSIVE BASE E LÂMPADA</t>
  </si>
  <si>
    <t>1,00 x 0,50</t>
  </si>
  <si>
    <t>1,50 x 0,50</t>
  </si>
  <si>
    <t>ED-50756</t>
  </si>
  <si>
    <t>REVESTIMENTO COM PEDRA SÃO TOMÉ APLICADO EM PAREDE (40X40CM), ESP. 2CM, ACABAMENTO NATURAL, ASSENTAMENTO COM ARGAMASSA INDUSTRIALIZADA, AMBIENTE INTERNO/EXTERNO, ALTURA MÁXIMA DE 3M PARA APLICAÇÃO DA PEDRA, INCLUSIVE REJUNTAMENTO</t>
  </si>
  <si>
    <t>ED-50525</t>
  </si>
  <si>
    <t>PINTURA COM VERNIZ ACRÍLICO EM ALVENARIA OU CONCRETO, DUAS (2) DEMÃOS, INCLUSIVE PREPARAÇÃO DA SUPERFÍCIE COM LIXAMENTO</t>
  </si>
  <si>
    <t>ED-50475</t>
  </si>
  <si>
    <t>EMASSAMENTO EM TETO COM MASSA ACRÍLICA, UMA (1) DEMÃO, INCLUSIVE LIXAMENTO PARA PINTURA</t>
  </si>
  <si>
    <t>PINTURA LÁTEX (PVA) EM TETO, DUAS (2) DEMÃOS, EXCLUSIVE SELADOR ACRÍLICO E MASSA ACRÍLICA/CORRIDA (PVA)</t>
  </si>
  <si>
    <t>PINTURA ACRÍLICA EM ALVENARIA (M2)</t>
  </si>
  <si>
    <t>REVESTIMENTO EM PEDRA (M2)</t>
  </si>
  <si>
    <t xml:space="preserve">VIGAS </t>
  </si>
  <si>
    <t>7.3</t>
  </si>
  <si>
    <t>((0,60 x 1,50 x 4,00) + (0,80 x 1,50 x 2,00)) x 2,00 &gt; COMP. X ALT. X QUANT. X  LADOS  - TODAS AS PORTAS METÁLICAS</t>
  </si>
  <si>
    <t>((1,00 x 0,50 x 4,00) + (1,50 x 0,50 x 2,00) + (0,90 x 2,10 x 4,00)) x 2,00 &gt; COMP. X ALT. X QUANT. X  LADOS  - TODAS AS PORTAS E JANELAS DE MADEIRA</t>
  </si>
  <si>
    <t>ANEXO I I I -MEMORIA DE CALCULO</t>
  </si>
  <si>
    <t>1.2</t>
  </si>
  <si>
    <t>ED-50135</t>
  </si>
  <si>
    <t>BARRACÃO DE OBRA, EM CHAPA DE COMPENSADO RESINADO, INCLUSIVE INSTALAÇÕES SANITÁRIAS E MOBILIÁRIO - PADRÃO DER-MG</t>
  </si>
  <si>
    <t>4,00 x 3,00 = 12,00m²</t>
  </si>
  <si>
    <t>1,00 &gt; UNID.</t>
  </si>
  <si>
    <t>ALT ESCAVAÇÃO (M)</t>
  </si>
  <si>
    <t>ALT ESCAVAÇÃO(M)</t>
  </si>
  <si>
    <t>LASTRO (5CM)
(m3)</t>
  </si>
  <si>
    <t>CONCRETO FUNDAÇÃO FCK 25Mpa (m3)</t>
  </si>
  <si>
    <t>CONCRETO SUPERESTRUTURA FCK 25Mpa (m3)</t>
  </si>
  <si>
    <t xml:space="preserve">REATERRO (m3) =              ESC. - CONC. FUND.
</t>
  </si>
  <si>
    <t>P01,P02,P03,P04,P07,P08,P11,P12,P13,P14</t>
  </si>
  <si>
    <t>P05,P06,P09,P10</t>
  </si>
  <si>
    <t>3,00 W.C. FEMININO + 4,00 W.C. MASCULINO + 1,00 DEPÓSITO + 1,00 FRALDÁRIO</t>
  </si>
  <si>
    <t>6.8</t>
  </si>
  <si>
    <t xml:space="preserve">ED-20580 </t>
  </si>
  <si>
    <t>ENTRADA DE ENERGIA AÉREA, TIPO B2, PADRÃO CEMIG, CARGA INSTALADA DE 10,1KW ATÉ 15KW, BIFÁSICO, COM SAÍDA SUBTERRÂNEA, INCLUSIVE POSTE, CAIXA PARA MEDIDOR, DISJUNTOR, BARRAMENTO, ATERRAMENTO E ACESSÓRIOS</t>
  </si>
  <si>
    <t xml:space="preserve">ED-34480 </t>
  </si>
  <si>
    <t>DISJUNTOR BIPOLAR TIPO DIN, CORRENTE NOMINAL DE 63A, FORNECIMENTO E INSTALAÇÃO, INCLUSIVE TERMINAL ILHÓS</t>
  </si>
  <si>
    <t>LUMINÁRIA ARANDELA RÚSTICA COLONIAL FORNECIMENTO E INSTALAÇÃO INCLUINDO LÂMPADA</t>
  </si>
  <si>
    <t xml:space="preserve">ED-50232 </t>
  </si>
  <si>
    <t>PONTO DE EMBUTIR PARA UMA (1) TOMADA PADRÃO, TRÊS (3) POLOS (2P+T/10A-250V), COM PLACA 4"X2" DE UM (1) POSTO, COM ELETRODUTO FLEXÍVEL CORRUGADO, ANTI-CHAMA, DN 25MM (3/ 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</si>
  <si>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TOMADA 
2,00 W.C. FEMININO + 2,00 W.C. MASCULINO + 1,00 DEPÓSITO + 1,00 FRALDÁRIO
INTERRUPTOR
2,00 W.C. FEMININO + 2,00 W.C. MASCULINO + 1,00 DEPÓSITO + 1,00 FRALDÁRIO</t>
  </si>
  <si>
    <t>6.9</t>
  </si>
  <si>
    <t>COTAÇÃO E SEINFRA</t>
  </si>
  <si>
    <t xml:space="preserve">ED-13344 </t>
  </si>
  <si>
    <t>UNID</t>
  </si>
  <si>
    <t>ED-34461</t>
  </si>
  <si>
    <t>DISJUNTOR MONOPOLAR TIPO DIN, CORRENTE NOMINAL DE 16A, FORNECIMENTO E INSTALAÇÃO, INCLUSIVE TERMINAL ILHÓS</t>
  </si>
  <si>
    <t xml:space="preserve">ED-34462 </t>
  </si>
  <si>
    <t>DISJUNTOR MONOPOLAR TIPO DIN, CORRENTE NOMINAL DE 20A, FORNECIMENTO E INSTALAÇÃO, INCLUSIVE TERMINAL ILHÓS</t>
  </si>
  <si>
    <t xml:space="preserve">1,00 CIRCUITO TOMADAS </t>
  </si>
  <si>
    <t>1,00 CIRCUITO INTERRUPTORES/ ILUMINAÇÃO INTERNA E 1,00 CIRCUITO ILUMINAÇÃO EXTERNA</t>
  </si>
  <si>
    <t>6.10</t>
  </si>
  <si>
    <t xml:space="preserve">ED-50362 </t>
  </si>
  <si>
    <t xml:space="preserve">AJUDANTE DE ELETRICISTA COM ENCARGOS COMPLEMENTARES </t>
  </si>
  <si>
    <t>ORÇAMENTO</t>
  </si>
  <si>
    <t>001</t>
  </si>
  <si>
    <t xml:space="preserve">ED-50373 </t>
  </si>
  <si>
    <t>ELETRICISTA COM ENCARGOS COMPLEMENTARES</t>
  </si>
  <si>
    <t>COTAÇÕES</t>
  </si>
  <si>
    <t>FOLHA Nº: 04/05</t>
  </si>
  <si>
    <t>DATA:</t>
  </si>
  <si>
    <t>COTAÇÃO 001</t>
  </si>
  <si>
    <t>CNPJ</t>
  </si>
  <si>
    <t>NOME DA EMPRESA FORNECEDORA</t>
  </si>
  <si>
    <t>TELEFONE</t>
  </si>
  <si>
    <t>CONTATO</t>
  </si>
  <si>
    <t>DATA COTAÇÃO</t>
  </si>
  <si>
    <t>PREÇO COTADO</t>
  </si>
  <si>
    <t>LUMINÁRIA ARANDELA COLONIAL EXTERNA SEXTAVADA PRETA INCLUSIVE FRETE</t>
  </si>
  <si>
    <t>ZIMMERMANN MATERIAIS DE CONSTRUCAO LTDA</t>
  </si>
  <si>
    <t>(32)3213 -8201</t>
  </si>
  <si>
    <t>EDUARDO</t>
  </si>
  <si>
    <t>10.365.961/0001-53</t>
  </si>
  <si>
    <t>(31)32883540</t>
  </si>
  <si>
    <t>PAMCORE COMERCIAL LTDA</t>
  </si>
  <si>
    <t xml:space="preserve">HELBERT </t>
  </si>
  <si>
    <t>10.429.225/0001-11</t>
  </si>
  <si>
    <t>MUNDIAL ACABAMENTOS</t>
  </si>
  <si>
    <t>03.411465/0001-23</t>
  </si>
  <si>
    <t>(32)33138808</t>
  </si>
  <si>
    <t>IGOR</t>
  </si>
  <si>
    <t>ED-9066</t>
  </si>
  <si>
    <t xml:space="preserve">16,00 &gt; ILUMINAÇÃO EXTERNA </t>
  </si>
  <si>
    <t>PEITORIL / SOLEIRA DE GRANITO, NA COR AMARELO ORNAMENTAL, COM PINGADEIRA, ESP. 3CM, ACABAMENTO POLIDO, ASSENTAMENTO COM ARGAMASSA INDUSTRIALIZADA, INCLUSIVE REJUNTAMENTO</t>
  </si>
  <si>
    <t>GRANITO AMARELO ORNAMENTAL ESP. 3CM INCLUSIVE POLIMENTO</t>
  </si>
  <si>
    <t>002</t>
  </si>
  <si>
    <t xml:space="preserve">MATED-12352 </t>
  </si>
  <si>
    <t>ARGAMASSA COLANTE (TIPO: AC-III| UTILIZAÇÃO: AMBIENTES INTERNOS E EXTERNOS)</t>
  </si>
  <si>
    <t xml:space="preserve">ED-50367 </t>
  </si>
  <si>
    <t xml:space="preserve">ED-50381 </t>
  </si>
  <si>
    <t>PEDREIRO COM ENCARGOS COMPLEMENTARES</t>
  </si>
  <si>
    <t xml:space="preserve">ED-50718 </t>
  </si>
  <si>
    <t>APLICAÇÃO DE REJUNTE CIMENTÍCIO COLORIDO INDUSTRIALIZADO PARA REVESTIMENTOS DE PAREDE/PISO COM JUNTAS DE ATÉ 3MM DE ESPESSURA</t>
  </si>
  <si>
    <t>ESQUADRIAS E PEDRAS</t>
  </si>
  <si>
    <t>REVESTIMENTOS DE PISO</t>
  </si>
  <si>
    <t>CONTRAPISO (M2)</t>
  </si>
  <si>
    <t>PISO DE CONCRETO (M2)</t>
  </si>
  <si>
    <t>W.C. FEMININO</t>
  </si>
  <si>
    <t>FRALDÁRIO</t>
  </si>
  <si>
    <t>TOTAL DE REVESTIMENTOS DE PISO</t>
  </si>
  <si>
    <t xml:space="preserve">ED-51145 </t>
  </si>
  <si>
    <t>PASSEIOS DE CONCRETO E = 6 CM, FCK = 10 MPA, JUNTA SECA</t>
  </si>
  <si>
    <t>8.4</t>
  </si>
  <si>
    <t xml:space="preserve">ED-50436 </t>
  </si>
  <si>
    <t>PLANTIO DE GRAMA SÃO CARLOS EM PLACAS, INCLUSIVE TERRA VEGETAL E CONSERVAÇÃO POR TRINTA (30) DIAS</t>
  </si>
  <si>
    <t xml:space="preserve">ED-49604 </t>
  </si>
  <si>
    <t>PORTA DE MADEIRA COMPLETA, DIMENSÃO (90X210)CM, TIPO DE ABRIR, UMA (1) FOLHA, ACABAMENTO NATURAL PARA PINTURA/ VERNIZ, TIPO PRANCHETA/SARRAFEADA, COM PROTEÇÃO INFERIOR EM REVESTIMENTO DE LAMINADO MELAMÍNICO NAS DUAS (2) FACES, INCLUSIVE MARCO, ALIZAR E FERRAGENS, EXCLUSIVE PINTURA/VERNIZ</t>
  </si>
  <si>
    <t>9.5</t>
  </si>
  <si>
    <t>COMP. 03</t>
  </si>
  <si>
    <t>1,00 FRALDÁRIO</t>
  </si>
  <si>
    <t>COMP. 04</t>
  </si>
  <si>
    <t>BANCADA EM GRANITO AMARELO ORNAMENTAL E = 3 CM, APOIADA EM CONSOLE DE METALON 20 X 30 MM</t>
  </si>
  <si>
    <t>COTAÇÃO 002</t>
  </si>
  <si>
    <t xml:space="preserve">ED-48302 </t>
  </si>
  <si>
    <t>ARGAMASSA, TRAÇO 1:3 (CIMENTO E AREIA), COM PREPARO MECANIZADO</t>
  </si>
  <si>
    <t>SEINFRA INSUMO</t>
  </si>
  <si>
    <t xml:space="preserve">ED-5042 </t>
  </si>
  <si>
    <t>SERRALHEIRO COM ENCARGOS COMPLEMENTARES</t>
  </si>
  <si>
    <t xml:space="preserve">ED-7830 </t>
  </si>
  <si>
    <t>COMP. 05</t>
  </si>
  <si>
    <t>DIVISÓRIA EM GRANITO AMARELO ORNAMENTAL, ESP. 3CM, INCLUSIVE INSTALAÇÃO, FERRAGENS EM LATÃO CROMADO E ACESSÓRIOS</t>
  </si>
  <si>
    <t xml:space="preserve">MATED-11966 </t>
  </si>
  <si>
    <t xml:space="preserve">MATED-11967 </t>
  </si>
  <si>
    <t xml:space="preserve">MATED-11968 </t>
  </si>
  <si>
    <t xml:space="preserve">MATED-11969 </t>
  </si>
  <si>
    <t xml:space="preserve">MATED-11970 </t>
  </si>
  <si>
    <t xml:space="preserve">MATED-15101 </t>
  </si>
  <si>
    <t xml:space="preserve">ED-50301 </t>
  </si>
  <si>
    <t>BACIA SANITÁRIA (VASO) DE LOUÇA CONVENCIONAL, ACESSÍVEL (PCR/PMR), COR BRANCA, COM INSTALAÇÃO DE SÓCULO NA BASE DA BACIA ACOMPANHANDO A PROJEÇÃO DA BASE, NÃO ULTRAPASSANDO ALTURA DE 5CM, ALTURA MÁXIMA DE 46CM (BACIA+ASSENTO), INCLUSIVE ACESSÓRIOS DE FIXAÇÃO/ VEDAÇÃO, VÁLVULA DE DESCARGA METÁLICA COM ACIONAMENTO DUPLO, TUBO DE LIGAÇÃO DE LATÃO COM CANOPLA, FORNECIMENTO, INSTALAÇÃO E REJUNTAMENTO, EXCLUSIVE ASSENTO</t>
  </si>
  <si>
    <t>2,00 W.C. MASCULINO + 2,00 W.C. FEMININO + 1,00 FRALDÁRIO</t>
  </si>
  <si>
    <t xml:space="preserve">ED-48157 </t>
  </si>
  <si>
    <t>ASSENTO PARA VASO PNE (NBR 9050)</t>
  </si>
  <si>
    <t xml:space="preserve">ED-50329 </t>
  </si>
  <si>
    <t>TORNEIRA METÁLICA PARA LAVATÓRIO, FECHAMENTO AUTOMÁTICO, ACABAMENTO CROMADO, COM AREJADOR, APLICAÇÃO DE MESA, INCLUSIVE ENGATE FLEXÍVEL METÁLICO, FORNECIMENTO E INSTALAÇÃO</t>
  </si>
  <si>
    <t>3,00 W.C. MASCULINO + 3,00 W.C. FEMININO + 1,00 FRALDÁRIO</t>
  </si>
  <si>
    <t>1,00 W.C. MASCULINO + 1,00 W.C. FEMININO + 1,00 FRALDÁRIO</t>
  </si>
  <si>
    <t>PAPEL HIGIENICO = 3,00 W.C. MASCULINO + 3,00 W.C. FEMININO + 1,00 FRALDÁRIO +  
PAPEL TOALHA = 1,00 W.C. MASCULINO + 1,00 W.C. FEMININO + 1,00 FRALDÁRIO</t>
  </si>
  <si>
    <t>PINTURAS</t>
  </si>
  <si>
    <t>PORTAS E JANELAS  
DIMENSÕES E QUANTIDADE</t>
  </si>
  <si>
    <t>FRALDARIO</t>
  </si>
  <si>
    <t>PINTURA VERNIZ EM ALVENARIA (M2)</t>
  </si>
  <si>
    <t>QUANTIDADE (PILARES E VIGAS x 2,00 LADOS)</t>
  </si>
  <si>
    <t>TOTAL DE PINTURAS</t>
  </si>
  <si>
    <t>EMASSAMENTO E PINTURA EM TETO (M2)</t>
  </si>
  <si>
    <t>0,60 x 2,10</t>
  </si>
  <si>
    <t>0,80 x 2,10</t>
  </si>
  <si>
    <t>PINTURA DE PORTAS E JANELAS MADEIRA  (M2)                               (x 2,00 LADOS)</t>
  </si>
  <si>
    <t>PINTURA DE PORTAS METAL (M2)                       (x 2,00 LADOS)</t>
  </si>
  <si>
    <t>PLACAS EXTERNAS</t>
  </si>
  <si>
    <t>ÁREA EXTERNA E TORRE CAIXA D'ÁGUA</t>
  </si>
  <si>
    <t xml:space="preserve">ÁREA EXTERNA E TORRE CAIXA D'ÁGUA </t>
  </si>
  <si>
    <t>ÁREA EXTERNA</t>
  </si>
  <si>
    <t>CARVALHO COMERCIO DE PEDRAS LTDA</t>
  </si>
  <si>
    <t>32.249.045/0001-90</t>
  </si>
  <si>
    <t>GERALDO</t>
  </si>
  <si>
    <t>(32) 99936-1396</t>
  </si>
  <si>
    <t xml:space="preserve">8,20 x 3,70 x 2,00 x 30,00% &gt; COMP. X LARG. X QUANT. X INCLINAÇÃO - TELHADO INDICADO EM PROJETO </t>
  </si>
  <si>
    <t xml:space="preserve">(2,50 +2,50 +2,50 +2,50 + 4,50) x 2,00 &gt; PERIMETRO DEMONSTRADO EM PROJETO </t>
  </si>
  <si>
    <t xml:space="preserve">1,50 + (8,20 x 2,00) + ((8,20-1,5) x 2,00) + (3,70 x 4,00) &gt; PERIMETRO DEMONSTRADO EM PROJETO </t>
  </si>
  <si>
    <t>3,50 x 9,00 &gt; ALT. X QUANT.</t>
  </si>
  <si>
    <t>13.2</t>
  </si>
  <si>
    <t xml:space="preserve">ED-28551 </t>
  </si>
  <si>
    <t>CONDUTOR DE ÁGUAS PLUVIAIS RETANGULAR EM AÇO GALVANIZADO, DIMENSÃO (43X85)MM, , ESP. 0,43MM (GSG-28), INCLUSIVE CONEXÕES E SUPORTES</t>
  </si>
  <si>
    <t xml:space="preserve">ED-50266 </t>
  </si>
  <si>
    <t>LIMPEZA FINAL PARA ENTREGA DA OBRA</t>
  </si>
  <si>
    <t xml:space="preserve">8,20 x 3,70 x 2,00  &gt; COMP. X LARG. X QUANT. </t>
  </si>
  <si>
    <t>60,68 x 0,20 &gt; ÁREA RETIRADA DO AUTOCAD X ESP.</t>
  </si>
  <si>
    <t>COMP. 06</t>
  </si>
  <si>
    <t xml:space="preserve">ED-50371 </t>
  </si>
  <si>
    <r>
      <t>PRAZO DE EXECUÇÃO: 5</t>
    </r>
    <r>
      <rPr>
        <b/>
        <sz val="10"/>
        <rFont val="Calibri"/>
        <family val="2"/>
      </rPr>
      <t xml:space="preserve"> meses </t>
    </r>
  </si>
  <si>
    <t>MÊS 4</t>
  </si>
  <si>
    <t>MÊS 5</t>
  </si>
  <si>
    <r>
      <rPr>
        <b/>
        <sz val="10"/>
        <rFont val="Arial"/>
        <family val="2"/>
      </rPr>
      <t>PRAZO DA OBRA:</t>
    </r>
    <r>
      <rPr>
        <sz val="10"/>
        <rFont val="Arial"/>
        <family val="2"/>
      </rPr>
      <t xml:space="preserve"> 5 meses</t>
    </r>
  </si>
  <si>
    <t>VAL PEDRAS MARMORARIA LTDA</t>
  </si>
  <si>
    <t>(32) 98873-3888</t>
  </si>
  <si>
    <t>34.195.438/0001-94</t>
  </si>
  <si>
    <t>MAURICIO</t>
  </si>
  <si>
    <t>MARMORARIA PAULISTA LTDA</t>
  </si>
  <si>
    <t>04.082.577/0001-40</t>
  </si>
  <si>
    <t>(32) 99838-0585</t>
  </si>
  <si>
    <t>ED-5571</t>
  </si>
  <si>
    <t>CAIXA DE PASSAGEM, DIMENSÃO (30X30)CM, EM CHAPA DE AÇO, TIPO DE EMBUTIR, COM ACABAMENTO EM PINTURA ELETROSTÁTICA E TAMPA CEGA, INCLUSIVE FIXAÇÃO EM ALVENARIA</t>
  </si>
  <si>
    <t>6.11</t>
  </si>
  <si>
    <t xml:space="preserve">ED-48966 </t>
  </si>
  <si>
    <t>CABO DE COBRE FLEXÍVEL, CLASSE 5, ISOLAMENTO TIPO LSHF/ATOX, NÃO HALOGENADO, ANTICHAMA, TERMOPLÁSTICO, UNIPOLAR, SEÇÃO 10 MM2, 70°C, 450/750V</t>
  </si>
  <si>
    <t>30,00M ATÉ O QUADRO</t>
  </si>
  <si>
    <t>6.12</t>
  </si>
  <si>
    <t xml:space="preserve">ED-49309 </t>
  </si>
  <si>
    <t>ELETRODUTO DE PVC RÍGIDO ROSCÁVEL, DN 25 MM (1"), INCLUSIVE CONEXÕES, SUPORTES E FIXAÇÃO</t>
  </si>
  <si>
    <t>CAIBRO NAO APARELHADO *5 X 6* CM, EM MACARANDUBA/ MASSARANDUBA, ANGELIM OU DA REGIAO - BRUTA</t>
  </si>
  <si>
    <r>
      <t>REGIÃO/MÊS DE REFERÊNCIA: SEINFRA REGIÃO LESTE OUTUBRO/2024 E SINAPI DEZEMBRO/2024</t>
    </r>
    <r>
      <rPr>
        <b/>
        <sz val="10"/>
        <color theme="1"/>
        <rFont val="Calibri"/>
        <family val="2"/>
      </rPr>
      <t xml:space="preserve"> PREÇO DE CUSTO COM DESONERAÇÃO FISCAL - LEI 12.546/2011 e 12.844/2013</t>
    </r>
  </si>
  <si>
    <t>CORTE, DOBRA E MONTAGEM DE AÇO CA-50 DIÂMETRO (6,3MM A 12,5MM), INCLUSIVE ESPAÇADOR</t>
  </si>
  <si>
    <t>CORTE, DOBRA E MONTAGEM DE AÇO CA-60 DIÂMETRO (4,2MM A 5,0MM), INCLUSIVE ESPAÇADOR</t>
  </si>
  <si>
    <t>ED-14179</t>
  </si>
  <si>
    <t>QUADRO DE DISTRIBUIÇÃO DE EMBUTIR EM PVC, PARA 8 DISJUNTORES DIN, INCLUSIVE BARRAMENTOS NEUTRO/TERRA, EXCLUSIVE BARRAMENTO DE FASE</t>
  </si>
  <si>
    <t>REVESTIMENTO DE GESSO EM TETO, ESP. 5MM, APLICAÇÃO MANUAL, INCLUSIVE ACABAMENTO SARRAFEADO</t>
  </si>
  <si>
    <t>CONTRAPISO DESEMPENADO COM ARGAMASSA, TRAÇO 1:3 (CIMENTO E AREIA), ESP. 20MM, INCLUSIVE ARGAMASSA COM PREPARO MECANIZADO</t>
  </si>
  <si>
    <t>01/12/2024 e 01/10/2024</t>
  </si>
  <si>
    <t>CHAPA (MATERIAL: LATÃO|ACABAMENTO: CROMADO|COMPRIMENTO*: 111,5MM|ALTURA*: 50MM| ESPESSURA*: 4MM|APLICAÇÃO: FERRAGEM PARA DIVISÓRIAS DE PEDRAS)*VALORES REFERENCIAIS APROXIMADOS</t>
  </si>
  <si>
    <t>SUPORTE (MATERIAL: LATÃO| ACABAMENTO: CROMADO|COMPRIMENTO*: 111,5MM| ALTURA*: 49,5MM|ESPESSURA*: 4MM|APLICAÇÃO: FERRAGEM PARA DIVISÓRIAS DE PEDRAS)*VALORES REFERENCIAIS APROXIMADOS</t>
  </si>
  <si>
    <t>PARAFUSO (ROSCA: UNC|APLICAÇÃO: PEDRAS|MATERIAL: LATÃO|CABEÇA DA PORCA: CALOTA PARA BUCHA|PORCA: INCLUSO|REFERÊCIA: 860CR OU EQUIVALENTE)</t>
  </si>
  <si>
    <t>CANTONEIRA (MATERIAL: LATÃO| ACABAMENTO: CROMADO|COMPRIMENTO*: 40MM| ALTURA*: 50MM|ESPESSURA*: 4MM|APLICAÇÃO: FERRAGEM PARA DIVISÓRIAS DE PEDRAS)*VALORES REFERENCIAIS APROXIMADOS</t>
  </si>
  <si>
    <t>PINTURA ESMALTE BASE SOLVENTE EM ESTRUTURA METÁLICA, DUAS (2) DEMÃOS, INCLUSIVE UMA (1) DEMÃO FUNDO ANTICORROSIVO</t>
  </si>
  <si>
    <t>CARLOS HENRIQUE</t>
  </si>
  <si>
    <t>COMP.01</t>
  </si>
  <si>
    <t>COMP.02</t>
  </si>
  <si>
    <t>COMP.03</t>
  </si>
  <si>
    <t>COMP.05</t>
  </si>
  <si>
    <t>COMP.06</t>
  </si>
  <si>
    <t>BANHEIROS PÚBLICOS</t>
  </si>
  <si>
    <t>URBANIZAÇÃO DA PRAÇA</t>
  </si>
  <si>
    <t>RASGO EM CONCRETO PARA PASSAGEM DE ELETRODUTO/ TUBULAÇÃO, DIÂMETROS DE 15MM A 25MM (1/2" A 1"), EXCLUSIVE ENCHIMENTO</t>
  </si>
  <si>
    <t>ED-50710</t>
  </si>
  <si>
    <t>ED-49334</t>
  </si>
  <si>
    <t>ED-48956</t>
  </si>
  <si>
    <t>CABO DE COBRE FLEXÍVEL, CLASSE 5, ISOLAMENTO TIPO LSHF/ ATOX, NÃO HALOGENADO, ANTICHAMA, TERMOPLÁSTICO, UNIPOLAR, SEÇÃO 4 MM2, 70°C, 450/750V</t>
  </si>
  <si>
    <t>ENVELOPE DE CONCRETO PARA PROTEÇÃO DE TUBOS DE PVC ENTERRADO - CONCRETO TIPO A FCK = 13,5 MPA</t>
  </si>
  <si>
    <t xml:space="preserve">POSTE COLONIAL FIRENZE  PARA JARDIM DE ALUMÍNIO 02 GLOBOS H= 3,05M ASSENTADO EM PISO, INCUSIVE FORNECIMENTO DE LÂMPADA </t>
  </si>
  <si>
    <t>SEINFRA /COTAÇÃO</t>
  </si>
  <si>
    <t>ED-13344</t>
  </si>
  <si>
    <t>LÂMPADA LED, BASE E27, POTÊNCIA 20W, BULBO A70, TEMPERATURA DA COR 6500K, TENSÃO 110-127V, FORNECIMENTO E INSTALAÇÃO, EXCLUSIVE LUMINÁRIA</t>
  </si>
  <si>
    <t>ED-50362</t>
  </si>
  <si>
    <t>AJUDANTE DE ELETRICISTA COM ENCARGOS COMPLEMENTARES</t>
  </si>
  <si>
    <t>ED-50373</t>
  </si>
  <si>
    <t>ED-50367</t>
  </si>
  <si>
    <t>COMP. 07</t>
  </si>
  <si>
    <t>RAMPA PARA ACESSO DE DEFICIENTE, EM CONCRETO SIMPLES FCK = 25 MPA, DESEMPENADA, COM PINTURA INDICATIVA, 02 DEMÃOS</t>
  </si>
  <si>
    <t>ED-49619</t>
  </si>
  <si>
    <t>ED-51147</t>
  </si>
  <si>
    <t>LANÇAMENTO E ESPALHAMENTO DE SOLO OU MATERIAL DE DEMOLIÇÃO EM ÁREA DE PASSEIO EXCLUSIVE APILOAMENTO</t>
  </si>
  <si>
    <t>ED-49810</t>
  </si>
  <si>
    <t>ED-50619</t>
  </si>
  <si>
    <t>POLIMENTO MECÂNICO DE PISO EM CONCRETO COM NIVELAMENTO A LASER (NÍVEL ZERO)</t>
  </si>
  <si>
    <t>POSTE COLONIAL FIRENZE PARA JARDIM DE ALUMÍNIO 02 GLOBOS H= 3,05M PRETO FOSCO</t>
  </si>
  <si>
    <t>38.659.541/0001-07</t>
  </si>
  <si>
    <t>PANELA DE FERRO - SHOPMASTER COMERCIO DE UTILIDADES E SUPRIMENTOS EIRELI</t>
  </si>
  <si>
    <t>(31) 26261384</t>
  </si>
  <si>
    <t>MARIA</t>
  </si>
  <si>
    <t xml:space="preserve"> 47.960.950/1088-36</t>
  </si>
  <si>
    <t>MAGAZINE LUIZA S/A</t>
  </si>
  <si>
    <t xml:space="preserve"> 0800 773 3838</t>
  </si>
  <si>
    <t>TAMARA</t>
  </si>
  <si>
    <t>00.776.574/0006-60</t>
  </si>
  <si>
    <t>AMERICANAS S/A</t>
  </si>
  <si>
    <t>(11) 4003-4848</t>
  </si>
  <si>
    <t>LETÍCIA</t>
  </si>
  <si>
    <t>COTAÇÃO</t>
  </si>
  <si>
    <t>003</t>
  </si>
  <si>
    <t>COMP. 08</t>
  </si>
  <si>
    <t>ED-49187</t>
  </si>
  <si>
    <t>CAIXA DE LIGAÇÃO/PASSAGEM EM PVC RÍGIDO PARA ELETRODUTO, DIMENSÕES 4"X2", EMBUTIDA EM ALVENARIA FORNECIMENTO E INSTALAÇÃO</t>
  </si>
  <si>
    <t>COMP.07</t>
  </si>
  <si>
    <t>URBANIZAÇÃO</t>
  </si>
  <si>
    <t>RELÉ FOTOELÉTRICO PARA COMANDO DE ILUMINAÇÃO EXTERNA 1000 W - FORNECIMENTO E INSTALAÇÃO. AF_08/2020</t>
  </si>
  <si>
    <t>SINAPI-101632</t>
  </si>
  <si>
    <t>ED-50671</t>
  </si>
  <si>
    <t>BUZINOTE DE DRENAGEM, PARA LAJES, EM TUBO DE PVC COM DIÂMETRO DE 50MM (2"), INCLUSIVE DEMOLIÇÃO EM CONCRETO E ALVENARIA</t>
  </si>
  <si>
    <t>SPOT LED 12W BLINDADO REDONDO P/ PISO - RETIRADA NA LOJA</t>
  </si>
  <si>
    <t>21.576.749/0001-51</t>
  </si>
  <si>
    <t>ELETRO GUIMARAES IRMAOS</t>
  </si>
  <si>
    <t>(32) 3257-8700</t>
  </si>
  <si>
    <t>NELINTON</t>
  </si>
  <si>
    <t>23.456.051/0001-28</t>
  </si>
  <si>
    <t>NOVA ELETRICA</t>
  </si>
  <si>
    <t>(32) 3221-7705</t>
  </si>
  <si>
    <t>DANIEL</t>
  </si>
  <si>
    <t>71.084.891/0001-50</t>
  </si>
  <si>
    <t>CASA MORERA EIRELI</t>
  </si>
  <si>
    <t>(32)3281-3850</t>
  </si>
  <si>
    <t>BETO</t>
  </si>
  <si>
    <t>COTAÇÃO 003</t>
  </si>
  <si>
    <t>COTAÇÃO 004</t>
  </si>
  <si>
    <t>BALIZADOR - LUMINÁRIA LED 12W BLINDADO PARA CHÃO / PISO DE JARDIM INCLUSIVE INSTALAÇÃO</t>
  </si>
  <si>
    <t>COMP. 09</t>
  </si>
  <si>
    <t>COMP.08</t>
  </si>
  <si>
    <t>COTAÇÃO 005</t>
  </si>
  <si>
    <t>MadeiraMadeira Comércio Eletrônico S/A</t>
  </si>
  <si>
    <t>10.490.181/0001-35</t>
  </si>
  <si>
    <t>0800 080 0099</t>
  </si>
  <si>
    <t>Luiza</t>
  </si>
  <si>
    <t>Talita</t>
  </si>
  <si>
    <t>(48) 2012-3500</t>
  </si>
  <si>
    <t>VELVE COMERCIO DE MAQUINAS E FERRAMENTAS LTDA</t>
  </si>
  <si>
    <t>51.065.987/0001-63</t>
  </si>
  <si>
    <t>01.438.784/0048-60</t>
  </si>
  <si>
    <t>Leroy Merlin Cia Brasileira de Bricolagem</t>
  </si>
  <si>
    <t>0800-602-1380 </t>
  </si>
  <si>
    <t>GRAMA SINTÉTICA ARTIFICIAL 20MM COM PROTEÇÃO UV E ANTI-FUNGO COM ÁREA TOTAL 165,00 M2 - INCLUSIVE FRETE</t>
  </si>
  <si>
    <t xml:space="preserve">GRAMA SINTÉTICA ARTIFICIAL 20MM COM PROTEÇÃO UV E ANTI-FUNGO PARA PARQUINHO COM AREA DE 163,92M2- FORNECIMENTO E INSTALAÇÃO </t>
  </si>
  <si>
    <t>COMP. 10</t>
  </si>
  <si>
    <t>MATED-11430</t>
  </si>
  <si>
    <t>ADESIVO (TIPO: COLA DE CONTATO| COMPOSIÇÃO: BORRACHA DE POLICLOROPRENO| APLICAÇÃO: MADEIRA, COURO, METAL, BORRACHA OU CONCRETO)</t>
  </si>
  <si>
    <t>14.1</t>
  </si>
  <si>
    <t>15.1</t>
  </si>
  <si>
    <t>15.2</t>
  </si>
  <si>
    <t>15.3</t>
  </si>
  <si>
    <t>15.4</t>
  </si>
  <si>
    <t>15.5</t>
  </si>
  <si>
    <t>14.2</t>
  </si>
  <si>
    <t>14.3</t>
  </si>
  <si>
    <t>14.4</t>
  </si>
  <si>
    <t>14.5</t>
  </si>
  <si>
    <t>14.6</t>
  </si>
  <si>
    <t>14.7</t>
  </si>
  <si>
    <t>14.8</t>
  </si>
  <si>
    <t>16.1</t>
  </si>
  <si>
    <t>16.2</t>
  </si>
  <si>
    <t>4,00 UNIDADES INDICADAS EM PROJETO</t>
  </si>
  <si>
    <t>163,92 x 0,05 &gt; ÁREA RETIRADA DO AUTOCAD X ESPESSURA</t>
  </si>
  <si>
    <t xml:space="preserve">163,92 &gt; ÁREA RETIRADA DO AUTOCAD </t>
  </si>
  <si>
    <t>1,00 CONJUNTO INDICADO EM PROJETO</t>
  </si>
  <si>
    <t>5,00 METROS INDICADO EM PROJETO</t>
  </si>
  <si>
    <t>ED-15226</t>
  </si>
  <si>
    <t>PISO PODOTÁTIL DE CONCRETO, ALERTA OU DIRECIONAL,  APLICADO EM PISO (20X20)CM COM JUNTA SECA, COR VERMELHO/AMARELO, INCLUSIVE ASSENTAMENTO COM ARGAMASSA INDUSTRIALIZADA</t>
  </si>
  <si>
    <t>2,00 UNIDADES INDICADAS EM PORJETO</t>
  </si>
  <si>
    <t>16,00 UNIDADES INDICADAS EM PORJETO</t>
  </si>
  <si>
    <t>13.3</t>
  </si>
  <si>
    <t>13.4</t>
  </si>
  <si>
    <t>27,30 &gt; COMPRIMENTO  INDICADO EM PROJETO</t>
  </si>
  <si>
    <t>11,00 UNIDADES INDICADAS EM PORJETO</t>
  </si>
  <si>
    <t>7,00 UNIDADES INDICADAS EM PORJETO</t>
  </si>
  <si>
    <t>248,07 &gt; COMPRIMENTO DO ELETRODUTO INDICADO EM PROJETO</t>
  </si>
  <si>
    <t>248,07 x 3,00 &gt; COMPRIMENTO DO ELETRODUTO X NÚMEROS DE CABOS</t>
  </si>
  <si>
    <r>
      <t>DATA: 11/02</t>
    </r>
    <r>
      <rPr>
        <b/>
        <sz val="10"/>
        <rFont val="Calibri"/>
        <family val="2"/>
      </rPr>
      <t>/2025</t>
    </r>
  </si>
  <si>
    <t>LOCAL:  PRAÇA ANTÔNIO JACINTO FARIA  - BAIRRO CENTRO - BOM JARDIM DE MINAS / MG</t>
  </si>
  <si>
    <r>
      <t xml:space="preserve">PREFEITURA: PREFEITURA MUNICIPAL DE BOM JARDIM DE MINAS </t>
    </r>
    <r>
      <rPr>
        <b/>
        <sz val="10"/>
        <rFont val="Calibri"/>
        <family val="2"/>
      </rPr>
      <t>- MG</t>
    </r>
  </si>
  <si>
    <t xml:space="preserve">   BANHEIROS PÚBLICOS</t>
  </si>
  <si>
    <t xml:space="preserve">   URBANIZAÇÃO DA PRAÇA</t>
  </si>
  <si>
    <t>OBRA: REVITALIZAÇÃO, REFORMA E CONSTRUÇÃO DE BANHEIROS PÚBLICOS NA PRAÇA ANTÔNIO JACINTO FARIA - ETAPA 02</t>
  </si>
  <si>
    <t>FORMA E DESFORMA DE TÁBUA E SARRAFO, REAPROVEITAMENTO (3X) (FUNDAÇÃO)</t>
  </si>
  <si>
    <t>FORNECIMENTO DE CONCRETO ESTRUTURAL, PREPARADO EM  OBRA, COM FCK 25 MPA, INCLUSIVE LANÇAMENTO,  ADENSAMENTO E ACABAMENTO</t>
  </si>
  <si>
    <t>MASSA PLÁSTICA (COR: BRANCA, CINZA OU PRETA|CATALIZADOR: INCLUSO| RENDIMENTO: 0, 59KG/M2)</t>
  </si>
  <si>
    <t>PARAFUSO (TIPO: CASTELO|MATERIAL: LATÃO|NÚMERO: 8|ARRUELA: INCLUSA| BUCHA: INCLUSA) CHAPA DE ARDÓSIA (COR: NATURAL| ESPESSURA: 3CM)</t>
  </si>
  <si>
    <t>TUBO DE AÇO (TIPO: INDUSTRIAL COM COSTURA|MATERIAL: AÇO GALVANIZADO| NORMA: NBR-6591|SEÇÃO: RETANGULAR| DIMENSÃO: ( 30X20)MM|ESPESSURA: 1,2MM|MASSA LINEAR: 0, 904KG/M) - FORNECIMENTO, EXCLUSIVE SERVIÇO DE MONTAGEM/ INSTALAÇÃO</t>
  </si>
  <si>
    <t xml:space="preserve">ED-9903 </t>
  </si>
  <si>
    <t>VERGA OU CONTRAVERGA EM CONCRETO ESTRUTURAL PARA VÃOS DE ATÉ 150CM, PREPARADO EM OBRA COM BETONEIRA, CONTROLE "A", COM FCK 20 MPA, MOLDADA IN LOCO, INCLUSIVE ARMAÇÃO</t>
  </si>
  <si>
    <t>4.3</t>
  </si>
  <si>
    <t>9.6</t>
  </si>
  <si>
    <t>(1,00 x 0,50) FRALDÁRIO + (1,00 x 0,50) + (1,50 X 0,50) WC FEM. +  (1,00 x 0,50) + (1,50 X 0,50) WC MASC.</t>
  </si>
  <si>
    <t>(1,00 x 0,15 x 3,00) +  (1,50 x 0,15 x 2,00) &gt; COMP. X LARG. X QUANT. &gt; TODAS AS JANELAS +
(0,90 x 0,15 x 1,00)  W.C. MASCULINO + (0,90 x 0,15 x 1,00) DEPÓSITO + (0,90 x 0,15 x 1,00)  W.C. FEMININO + (0,90 x 0,15 x 1,00)  FRALDÁRIO &gt; COMP. X LARG. X QUANT. &gt; TODAS AS PORTAS</t>
  </si>
  <si>
    <t>1,00 W.C. MASCULINO + 1,00 W.C. FEMININO + 1,00 FRALDÁRIO + 1,00 DEPÓSITO</t>
  </si>
  <si>
    <t xml:space="preserve">3,00 W.C. FEMININO + 4,00 W.C. MASCULINO + 1,00 DEPÓSITO + 1,00 FRALDÁRIO </t>
  </si>
  <si>
    <t>CHAPISCO / EMBOÇO PAREDES (M2) + 10%</t>
  </si>
  <si>
    <t>GESSO TETO (M2) + 10%</t>
  </si>
  <si>
    <t>PISO CERÂMICO(M2) + 10%</t>
  </si>
  <si>
    <t>RODAPÉ 10CM (M2) + 10%</t>
  </si>
  <si>
    <t>RECOMPOSIÇÃO DE GRAMA (M2) + 10%</t>
  </si>
  <si>
    <t>[</t>
  </si>
  <si>
    <t xml:space="preserve">ED-9906 </t>
  </si>
  <si>
    <t>VERGA OU CONTRAVERGA EM CONCRETO ESTRUTURAL PARA VÃOS ACIMA DE 150CM, PREPARADO EM OBRA COM BETONEIRA, CONTROLE "A", COM FCK 20 MPA, MOLDADA IN LOCO, INCLUSIVE ARMAÇÃO</t>
  </si>
  <si>
    <t>4.4</t>
  </si>
  <si>
    <t>((1,00 + 0,60) x 4,00 x 2,00) + ((1,50 +0,60) x 2,00 x 2,00)) x 0,10 x 0,10 &gt; JANELAS</t>
  </si>
  <si>
    <t>(((0,90 + 0,60) x 4,00) x 0,10 x 0,10 &gt; PORTAS</t>
  </si>
  <si>
    <t>COMP. X LARG. X QUANT.
(0,30) x 2,00 &gt; MICTÓRIOS + 
(2,35 x 2,00) + (0,40 x 3,00) + 0,20 + 2,80 &gt; WC FEM. +
(2,35 x 2,00) + (0,40 x 3,00) + 0,20 + 2,80 &gt; WC MARC.</t>
  </si>
  <si>
    <t xml:space="preserve">
COMP. X LARG. X QUANT.
((2,20 x 0,60 x 1,00) + (2,20 x 0,10 x 1,00) + (0,60 x 0,10 x 1) + (2,20 x 0,07 x 1,00) + (0,60 x 0,07 x 1,00) WC FEMININO + 
((2,20 x 0,60 x 1,00) + (2,20 x 0,10 x 1,00) + (0,60 x 0,10 x 1) + (2,20 x 0,07 x 1,00) + (0,60 x 0,07 x 1,00) WC MASCULINO + 
(1,2 x 0,6) + (1,2 x 0,1) + (0,6 x 0,1 x 2)+(1,2 x 0,07) FRALDÁRIO 
</t>
  </si>
  <si>
    <t>9.7</t>
  </si>
  <si>
    <t xml:space="preserve">ED-50282 </t>
  </si>
  <si>
    <t>LAVATÓRIO DE LOUÇA BRANCA COM COLUNA SUSPENSA, TAMANHO MÉDIO, INCLUSIVE ACESSÓRIOS DE FIXAÇÃO, VÁLVULA DE ESCOAMENTO DE METAL COM ACABAMENTO CROMADO, SIFÃO DE METAL TIPO COPO COM ACABAMENTO CROMADO, FORNECIMENTO, INSTALAÇÃO E REJUNTAMENTO, EXCLUSIVE TORNEIRA E ENGATE FLEXÍVEL</t>
  </si>
  <si>
    <t>TEXTURA (M2)</t>
  </si>
  <si>
    <t xml:space="preserve">ED-9013 </t>
  </si>
  <si>
    <t>PINTURA COM TEXTURA ACRÍLICA COM DESEMPENADEIRA DE AÇO, EXCLUSIVE SELADOR ACRÍLICO/FUNDO PREPARADOR</t>
  </si>
  <si>
    <t>11.7</t>
  </si>
  <si>
    <t>9.8</t>
  </si>
  <si>
    <t>220,77 x 0,50 x 0,10 &gt; COMPRIMENTO  INDICADO EM PROJETO X PROFUNDIDADE X LARGURA</t>
  </si>
  <si>
    <t>27,30 x 0,10 x 0,10 &gt; COMPRIMENTO  INDICADO EM PROJETO X PROFUNDIDADE X LARGURA</t>
  </si>
  <si>
    <t>VOL. ESCAVAÇÃO - VOL. ELETRODUTO NA ÁREA DE JARDIM E ÁREA DE PISO CIMENTADO (3,14 x (0,025/2)² x 220,77) + (3,14 x (0,025/2)² x 27,30)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</si>
</sst>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3" formatCode="_-* #,##0.00_-;\-* #,##0.00_-;_-* &quot;-&quot;??_-;_-@_-"/>
    <numFmt numFmtId="164" formatCode="_(* #,##0.00_);_(* \(#,##0.00\);_(* &quot;-&quot;??_);_(@_)"/>
    <numFmt numFmtId="165" formatCode="&quot;R$&quot;\ #,##0.00"/>
    <numFmt numFmtId="166" formatCode="&quot;R$ &quot;#,##0.00"/>
    <numFmt numFmtId="167" formatCode="0.000000"/>
    <numFmt numFmtId="168" formatCode="_-* #,##0.000_-;\-* #,##0.000_-;_-* &quot;-&quot;??_-;_-@_-"/>
    <numFmt numFmtId="169" formatCode="_(&quot;R$ &quot;* #,##0.00_);_(&quot;R$ &quot;* \(#,##0.00\);_(&quot;R$ &quot;* &quot;-&quot;??_);_(@_)"/>
    <numFmt numFmtId="170" formatCode="&quot;R$&quot;\ #,##0.00;&quot;R$&quot;\ #,##0.00;"/>
  </numFmts>
  <fonts count="5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8"/>
      <name val="Arial"/>
      <family val="2"/>
    </font>
    <font>
      <sz val="8"/>
      <color indexed="12"/>
      <name val="Arial"/>
      <family val="2"/>
    </font>
    <font>
      <sz val="10"/>
      <color indexed="8"/>
      <name val="Arial"/>
      <family val="2"/>
    </font>
    <font>
      <b/>
      <sz val="10"/>
      <name val="Calibri"/>
      <family val="2"/>
    </font>
    <font>
      <b/>
      <sz val="12"/>
      <name val="Arial"/>
      <family val="2"/>
    </font>
    <font>
      <sz val="9"/>
      <color indexed="8"/>
      <name val="Arial"/>
      <family val="2"/>
    </font>
    <font>
      <b/>
      <sz val="9"/>
      <color indexed="12"/>
      <name val="Arial"/>
      <family val="2"/>
    </font>
    <font>
      <sz val="9"/>
      <name val="Arial"/>
      <family val="2"/>
    </font>
    <font>
      <b/>
      <sz val="9"/>
      <color indexed="8"/>
      <name val="Arial"/>
      <family val="2"/>
    </font>
    <font>
      <b/>
      <sz val="8"/>
      <color indexed="8"/>
      <name val="Calibri"/>
      <family val="2"/>
    </font>
    <font>
      <sz val="8"/>
      <color indexed="8"/>
      <name val="Calibri"/>
      <family val="2"/>
    </font>
    <font>
      <sz val="11"/>
      <color theme="1"/>
      <name val="Calibri"/>
      <family val="2"/>
      <scheme val="minor"/>
    </font>
    <font>
      <b/>
      <sz val="11"/>
      <color theme="1"/>
      <name val="Calibri"/>
      <family val="2"/>
      <scheme val="minor"/>
    </font>
    <font>
      <sz val="10"/>
      <color theme="1"/>
      <name val="Arial"/>
      <family val="2"/>
    </font>
    <font>
      <sz val="8"/>
      <color theme="1"/>
      <name val="Arial"/>
      <family val="2"/>
    </font>
    <font>
      <b/>
      <sz val="10"/>
      <color rgb="FFC00000"/>
      <name val="Arial"/>
      <family val="2"/>
    </font>
    <font>
      <b/>
      <sz val="10"/>
      <name val="Calibri"/>
      <family val="2"/>
      <scheme val="minor"/>
    </font>
    <font>
      <b/>
      <sz val="10"/>
      <color theme="1"/>
      <name val="Calibri"/>
      <family val="2"/>
      <scheme val="minor"/>
    </font>
    <font>
      <b/>
      <sz val="12"/>
      <color indexed="8"/>
      <name val="Calibri"/>
      <family val="2"/>
      <scheme val="minor"/>
    </font>
    <font>
      <b/>
      <sz val="12"/>
      <color theme="1"/>
      <name val="Arial"/>
      <family val="2"/>
    </font>
    <font>
      <sz val="10"/>
      <name val="Calibri"/>
      <family val="2"/>
    </font>
    <font>
      <sz val="10"/>
      <name val="Arial"/>
      <family val="2"/>
    </font>
    <font>
      <b/>
      <sz val="9"/>
      <name val="Arial"/>
      <family val="2"/>
    </font>
    <font>
      <sz val="10"/>
      <name val="Arial"/>
    </font>
    <font>
      <sz val="8"/>
      <color theme="1"/>
      <name val="Calibri"/>
      <family val="2"/>
    </font>
    <font>
      <sz val="8"/>
      <color rgb="FFFF0000"/>
      <name val="Calibri"/>
      <family val="2"/>
    </font>
    <font>
      <b/>
      <sz val="8"/>
      <color theme="1"/>
      <name val="Calibri"/>
      <family val="2"/>
    </font>
    <font>
      <sz val="11"/>
      <color rgb="FFFF0000"/>
      <name val="Calibri"/>
      <family val="2"/>
      <scheme val="minor"/>
    </font>
    <font>
      <b/>
      <sz val="14"/>
      <color theme="1"/>
      <name val="Calibri"/>
      <family val="2"/>
      <scheme val="minor"/>
    </font>
    <font>
      <b/>
      <sz val="10"/>
      <color theme="1"/>
      <name val="Arial"/>
      <family val="2"/>
    </font>
    <font>
      <b/>
      <sz val="12"/>
      <color theme="1"/>
      <name val="Calibri"/>
      <family val="2"/>
      <scheme val="minor"/>
    </font>
    <font>
      <b/>
      <sz val="11"/>
      <name val="Calibri"/>
      <family val="2"/>
      <scheme val="minor"/>
    </font>
    <font>
      <sz val="10"/>
      <color rgb="FFFF0000"/>
      <name val="Arial"/>
      <family val="2"/>
    </font>
    <font>
      <sz val="12"/>
      <color theme="1"/>
      <name val="Calibri"/>
      <family val="2"/>
      <scheme val="minor"/>
    </font>
    <font>
      <b/>
      <i/>
      <sz val="11"/>
      <color theme="1"/>
      <name val="Calibri"/>
      <family val="2"/>
      <scheme val="minor"/>
    </font>
    <font>
      <b/>
      <i/>
      <sz val="11"/>
      <color rgb="FFFF0000"/>
      <name val="Calibri"/>
      <family val="2"/>
      <scheme val="minor"/>
    </font>
    <font>
      <sz val="10"/>
      <name val="Times New Roman"/>
      <family val="1"/>
    </font>
    <font>
      <sz val="10"/>
      <name val="Abadi"/>
      <family val="2"/>
    </font>
    <font>
      <sz val="8"/>
      <name val="Arial"/>
    </font>
    <font>
      <b/>
      <sz val="12"/>
      <color rgb="FF000000"/>
      <name val="Arial"/>
      <family val="2"/>
    </font>
    <font>
      <b/>
      <sz val="10"/>
      <name val="Abadi"/>
      <family val="2"/>
    </font>
    <font>
      <sz val="8"/>
      <name val="Abadi"/>
      <family val="2"/>
    </font>
    <font>
      <sz val="8"/>
      <color theme="1"/>
      <name val="Abadi"/>
      <family val="2"/>
    </font>
    <font>
      <sz val="8"/>
      <name val="Calibri"/>
      <family val="2"/>
    </font>
    <font>
      <b/>
      <sz val="10"/>
      <color theme="1"/>
      <name val="Calibri"/>
      <family val="2"/>
    </font>
    <font>
      <b/>
      <sz val="8"/>
      <name val="Calibri"/>
      <family val="2"/>
    </font>
    <font>
      <b/>
      <sz val="9"/>
      <color indexed="8"/>
      <name val="Calibri"/>
      <family val="2"/>
    </font>
    <font>
      <sz val="9"/>
      <color rgb="FF9B9B9B"/>
      <name val="Arial"/>
      <family val="2"/>
    </font>
  </fonts>
  <fills count="1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3" tint="0.79998168889431442"/>
        <bgColor indexed="64"/>
      </patternFill>
    </fill>
  </fills>
  <borders count="156">
    <border>
      <left/>
      <right/>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style="medium">
        <color indexed="64"/>
      </right>
      <top/>
      <bottom/>
      <diagonal/>
    </border>
    <border>
      <left style="hair">
        <color indexed="64"/>
      </left>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thin">
        <color indexed="64"/>
      </right>
      <top style="hair">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medium">
        <color indexed="64"/>
      </right>
      <top style="medium">
        <color indexed="64"/>
      </top>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hair">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top style="thin">
        <color indexed="64"/>
      </top>
      <bottom/>
      <diagonal/>
    </border>
    <border>
      <left style="thin">
        <color indexed="64"/>
      </left>
      <right style="medium">
        <color indexed="64"/>
      </right>
      <top/>
      <bottom style="thin">
        <color indexed="64"/>
      </bottom>
      <diagonal/>
    </border>
    <border>
      <left/>
      <right style="hair">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style="medium">
        <color indexed="64"/>
      </right>
      <top/>
      <bottom style="thin">
        <color indexed="64"/>
      </bottom>
      <diagonal/>
    </border>
    <border>
      <left/>
      <right style="hair">
        <color indexed="64"/>
      </right>
      <top/>
      <bottom style="medium">
        <color indexed="64"/>
      </bottom>
      <diagonal/>
    </border>
    <border>
      <left style="hair">
        <color indexed="64"/>
      </left>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thin">
        <color indexed="64"/>
      </right>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hair">
        <color indexed="64"/>
      </top>
      <bottom/>
      <diagonal/>
    </border>
    <border>
      <left/>
      <right style="hair">
        <color indexed="64"/>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bottom style="hair">
        <color indexed="64"/>
      </bottom>
      <diagonal/>
    </border>
    <border>
      <left style="hair">
        <color indexed="64"/>
      </left>
      <right/>
      <top/>
      <bottom style="thin">
        <color indexed="64"/>
      </bottom>
      <diagonal/>
    </border>
    <border>
      <left/>
      <right/>
      <top style="thin">
        <color indexed="64"/>
      </top>
      <bottom style="hair">
        <color indexed="64"/>
      </bottom>
      <diagonal/>
    </border>
    <border>
      <left/>
      <right/>
      <top/>
      <bottom style="hair">
        <color indexed="64"/>
      </bottom>
      <diagonal/>
    </border>
  </borders>
  <cellStyleXfs count="22">
    <xf numFmtId="0" fontId="0" fillId="0" borderId="0"/>
    <xf numFmtId="9" fontId="5" fillId="0" borderId="0" applyFont="0" applyFill="0" applyBorder="0" applyAlignment="0" applyProtection="0"/>
    <xf numFmtId="164" fontId="5" fillId="0" borderId="0" applyFont="0" applyFill="0" applyBorder="0" applyAlignment="0" applyProtection="0"/>
    <xf numFmtId="43" fontId="20" fillId="0" borderId="0" applyFont="0" applyFill="0" applyBorder="0" applyAlignment="0" applyProtection="0"/>
    <xf numFmtId="0" fontId="5"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4" fontId="5" fillId="0" borderId="0" applyFont="0" applyFill="0" applyBorder="0" applyAlignment="0" applyProtection="0"/>
    <xf numFmtId="164" fontId="30" fillId="0" borderId="0" applyFont="0" applyFill="0" applyBorder="0" applyAlignment="0" applyProtection="0"/>
    <xf numFmtId="164" fontId="32" fillId="0" borderId="0" applyFont="0" applyFill="0" applyBorder="0" applyAlignment="0" applyProtection="0"/>
    <xf numFmtId="0" fontId="5" fillId="0" borderId="0"/>
    <xf numFmtId="9" fontId="5"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43" fontId="45" fillId="0" borderId="0" applyFont="0" applyFill="0" applyBorder="0" applyAlignment="0" applyProtection="0"/>
    <xf numFmtId="169"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cellStyleXfs>
  <cellXfs count="762">
    <xf numFmtId="0" fontId="0" fillId="0" borderId="0" xfId="0"/>
    <xf numFmtId="0" fontId="0" fillId="0" borderId="0" xfId="0" applyAlignment="1">
      <alignment vertical="center"/>
    </xf>
    <xf numFmtId="0" fontId="6" fillId="0" borderId="0" xfId="0" applyFont="1" applyAlignment="1">
      <alignment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6" fillId="0" borderId="5" xfId="0" applyFont="1" applyBorder="1" applyAlignment="1">
      <alignment horizontal="center" vertical="center"/>
    </xf>
    <xf numFmtId="0" fontId="22" fillId="0" borderId="0" xfId="0" applyFont="1"/>
    <xf numFmtId="4" fontId="23" fillId="0" borderId="2" xfId="0" applyNumberFormat="1" applyFont="1" applyBorder="1" applyAlignment="1">
      <alignment horizontal="center" vertical="center" wrapText="1"/>
    </xf>
    <xf numFmtId="0" fontId="6" fillId="0" borderId="5" xfId="0" applyFont="1" applyBorder="1" applyAlignment="1">
      <alignment vertical="center"/>
    </xf>
    <xf numFmtId="165" fontId="7" fillId="4" borderId="4" xfId="0" applyNumberFormat="1" applyFont="1" applyFill="1" applyBorder="1" applyAlignment="1">
      <alignment horizontal="center" vertical="center" wrapText="1"/>
    </xf>
    <xf numFmtId="165" fontId="23" fillId="0" borderId="2" xfId="0" applyNumberFormat="1" applyFont="1" applyBorder="1" applyAlignment="1">
      <alignment horizontal="center" vertical="center" wrapText="1"/>
    </xf>
    <xf numFmtId="165" fontId="0" fillId="0" borderId="0" xfId="0" applyNumberFormat="1" applyAlignment="1">
      <alignment horizontal="center" vertical="center"/>
    </xf>
    <xf numFmtId="165" fontId="6" fillId="0" borderId="0" xfId="0" applyNumberFormat="1" applyFont="1" applyAlignment="1">
      <alignment horizontal="center" vertical="center"/>
    </xf>
    <xf numFmtId="165" fontId="0" fillId="0" borderId="0" xfId="0" applyNumberFormat="1"/>
    <xf numFmtId="165" fontId="7" fillId="4" borderId="6" xfId="0" applyNumberFormat="1" applyFont="1" applyFill="1" applyBorder="1" applyAlignment="1">
      <alignment horizontal="center" vertical="center" wrapText="1"/>
    </xf>
    <xf numFmtId="165" fontId="23" fillId="0" borderId="7" xfId="0" applyNumberFormat="1" applyFont="1" applyBorder="1" applyAlignment="1">
      <alignment horizontal="center" vertical="center" wrapText="1"/>
    </xf>
    <xf numFmtId="0" fontId="11" fillId="0" borderId="0" xfId="0" applyFont="1" applyAlignment="1">
      <alignment horizontal="justify" vertical="distributed"/>
    </xf>
    <xf numFmtId="0" fontId="24" fillId="0" borderId="0" xfId="0" applyFont="1" applyAlignment="1">
      <alignment vertical="center"/>
    </xf>
    <xf numFmtId="0" fontId="25" fillId="0" borderId="9" xfId="0" applyFont="1" applyBorder="1" applyAlignment="1">
      <alignment vertical="distributed"/>
    </xf>
    <xf numFmtId="165" fontId="25" fillId="0" borderId="9" xfId="0" applyNumberFormat="1" applyFont="1" applyBorder="1" applyAlignment="1">
      <alignment horizontal="center" vertical="distributed"/>
    </xf>
    <xf numFmtId="165" fontId="25" fillId="0" borderId="10" xfId="0" applyNumberFormat="1" applyFont="1" applyBorder="1" applyAlignment="1">
      <alignment horizontal="center" vertical="distributed"/>
    </xf>
    <xf numFmtId="10" fontId="26" fillId="0" borderId="13" xfId="0" applyNumberFormat="1" applyFont="1" applyBorder="1" applyAlignment="1">
      <alignment horizontal="left" vertical="distributed"/>
    </xf>
    <xf numFmtId="0" fontId="0" fillId="2" borderId="0" xfId="0" applyFill="1"/>
    <xf numFmtId="0" fontId="0" fillId="2" borderId="0" xfId="0" applyFill="1" applyAlignment="1">
      <alignment wrapText="1"/>
    </xf>
    <xf numFmtId="0" fontId="7" fillId="2" borderId="16" xfId="0" applyFont="1" applyFill="1" applyBorder="1" applyAlignment="1">
      <alignment horizontal="center" vertical="center"/>
    </xf>
    <xf numFmtId="49" fontId="14" fillId="2" borderId="17" xfId="0" applyNumberFormat="1" applyFont="1" applyFill="1" applyBorder="1" applyAlignment="1">
      <alignment horizontal="center" vertical="top" wrapText="1"/>
    </xf>
    <xf numFmtId="10" fontId="15" fillId="2" borderId="17" xfId="0" applyNumberFormat="1" applyFont="1" applyFill="1" applyBorder="1" applyAlignment="1">
      <alignment vertical="top" wrapText="1"/>
    </xf>
    <xf numFmtId="10" fontId="14" fillId="2" borderId="17" xfId="0" applyNumberFormat="1" applyFont="1" applyFill="1" applyBorder="1" applyAlignment="1">
      <alignment vertical="top" wrapText="1"/>
    </xf>
    <xf numFmtId="49" fontId="14" fillId="2" borderId="18" xfId="0" applyNumberFormat="1" applyFont="1" applyFill="1" applyBorder="1" applyAlignment="1">
      <alignment horizontal="center" vertical="top" wrapText="1"/>
    </xf>
    <xf numFmtId="4" fontId="14" fillId="2" borderId="18" xfId="0" applyNumberFormat="1" applyFont="1" applyFill="1" applyBorder="1" applyAlignment="1">
      <alignment vertical="top" wrapText="1"/>
    </xf>
    <xf numFmtId="49" fontId="17" fillId="2" borderId="19" xfId="0" applyNumberFormat="1" applyFont="1" applyFill="1" applyBorder="1" applyAlignment="1">
      <alignment horizontal="center" vertical="top" wrapText="1"/>
    </xf>
    <xf numFmtId="10" fontId="17" fillId="2" borderId="19" xfId="0" applyNumberFormat="1" applyFont="1" applyFill="1" applyBorder="1" applyAlignment="1">
      <alignment vertical="top" wrapText="1"/>
    </xf>
    <xf numFmtId="49" fontId="17" fillId="2" borderId="20" xfId="0" applyNumberFormat="1" applyFont="1" applyFill="1" applyBorder="1" applyAlignment="1">
      <alignment horizontal="center" vertical="top" wrapText="1"/>
    </xf>
    <xf numFmtId="166" fontId="17" fillId="2" borderId="20" xfId="0" applyNumberFormat="1" applyFont="1" applyFill="1" applyBorder="1" applyAlignment="1">
      <alignment vertical="top" wrapText="1"/>
    </xf>
    <xf numFmtId="0" fontId="7" fillId="2" borderId="30" xfId="0" applyFont="1" applyFill="1" applyBorder="1" applyAlignment="1">
      <alignment horizontal="center" vertical="center" wrapText="1"/>
    </xf>
    <xf numFmtId="0" fontId="7" fillId="2" borderId="30" xfId="0" applyFont="1" applyFill="1" applyBorder="1" applyAlignment="1">
      <alignment horizontal="center" vertical="center"/>
    </xf>
    <xf numFmtId="0" fontId="26" fillId="4" borderId="2" xfId="0" applyFont="1" applyFill="1" applyBorder="1" applyAlignment="1" applyProtection="1">
      <alignment vertical="center" wrapText="1"/>
      <protection locked="0"/>
    </xf>
    <xf numFmtId="0" fontId="26" fillId="4" borderId="37" xfId="0" applyFont="1" applyFill="1" applyBorder="1" applyAlignment="1" applyProtection="1">
      <alignment horizontal="center" vertical="center" wrapText="1"/>
      <protection locked="0"/>
    </xf>
    <xf numFmtId="0" fontId="26" fillId="4" borderId="38" xfId="0" applyFont="1" applyFill="1" applyBorder="1" applyAlignment="1" applyProtection="1">
      <alignment horizontal="center" vertical="center" wrapText="1"/>
      <protection locked="0"/>
    </xf>
    <xf numFmtId="0" fontId="26" fillId="4" borderId="38" xfId="0" applyFont="1" applyFill="1" applyBorder="1" applyAlignment="1" applyProtection="1">
      <alignment vertical="center" wrapText="1"/>
      <protection locked="0"/>
    </xf>
    <xf numFmtId="0" fontId="26" fillId="4" borderId="1" xfId="0" applyFont="1" applyFill="1" applyBorder="1" applyAlignment="1" applyProtection="1">
      <alignment horizontal="center" vertical="center" wrapText="1"/>
      <protection locked="0"/>
    </xf>
    <xf numFmtId="165" fontId="26" fillId="4" borderId="7" xfId="0" applyNumberFormat="1" applyFont="1" applyFill="1" applyBorder="1" applyAlignment="1" applyProtection="1">
      <alignment vertical="center" wrapText="1"/>
      <protection locked="0"/>
    </xf>
    <xf numFmtId="0" fontId="7" fillId="2" borderId="61" xfId="0" applyFont="1" applyFill="1" applyBorder="1" applyAlignment="1">
      <alignment horizontal="center" vertical="center"/>
    </xf>
    <xf numFmtId="0" fontId="26" fillId="4" borderId="35" xfId="0" applyFont="1" applyFill="1" applyBorder="1" applyAlignment="1" applyProtection="1">
      <alignment vertical="center" wrapText="1"/>
      <protection locked="0"/>
    </xf>
    <xf numFmtId="49" fontId="23" fillId="0" borderId="2" xfId="0" applyNumberFormat="1" applyFont="1" applyBorder="1" applyAlignment="1">
      <alignment horizontal="center" vertical="center" wrapText="1"/>
    </xf>
    <xf numFmtId="0" fontId="23" fillId="0" borderId="1" xfId="0" applyFont="1" applyBorder="1" applyAlignment="1">
      <alignment horizontal="center" vertical="center" wrapText="1"/>
    </xf>
    <xf numFmtId="165" fontId="28" fillId="0" borderId="8" xfId="0" applyNumberFormat="1" applyFont="1" applyBorder="1" applyAlignment="1">
      <alignment horizontal="center" vertical="center" wrapText="1"/>
    </xf>
    <xf numFmtId="0" fontId="0" fillId="2" borderId="23" xfId="0" applyFill="1" applyBorder="1"/>
    <xf numFmtId="0" fontId="5" fillId="0" borderId="0" xfId="4"/>
    <xf numFmtId="0" fontId="7" fillId="4" borderId="4" xfId="4" applyFont="1" applyFill="1" applyBorder="1" applyAlignment="1">
      <alignment horizontal="center" vertical="center"/>
    </xf>
    <xf numFmtId="0" fontId="7" fillId="4" borderId="47" xfId="4" applyFont="1" applyFill="1" applyBorder="1" applyAlignment="1">
      <alignment horizontal="center" vertical="center"/>
    </xf>
    <xf numFmtId="0" fontId="7" fillId="4" borderId="48" xfId="4" applyFont="1" applyFill="1" applyBorder="1" applyAlignment="1">
      <alignment horizontal="center" vertical="center"/>
    </xf>
    <xf numFmtId="0" fontId="7" fillId="0" borderId="22" xfId="4" applyFont="1" applyBorder="1" applyAlignment="1">
      <alignment horizontal="center" vertical="center"/>
    </xf>
    <xf numFmtId="0" fontId="26" fillId="4" borderId="2" xfId="4" applyFont="1" applyFill="1" applyBorder="1" applyAlignment="1" applyProtection="1">
      <alignment vertical="center" wrapText="1"/>
      <protection locked="0"/>
    </xf>
    <xf numFmtId="2" fontId="23" fillId="0" borderId="2" xfId="5" applyNumberFormat="1" applyFont="1" applyFill="1" applyBorder="1" applyAlignment="1">
      <alignment horizontal="center" vertical="center" wrapText="1"/>
    </xf>
    <xf numFmtId="4" fontId="23" fillId="0" borderId="2" xfId="4" applyNumberFormat="1" applyFont="1" applyBorder="1" applyAlignment="1">
      <alignment horizontal="center" vertical="center" wrapText="1"/>
    </xf>
    <xf numFmtId="0" fontId="26" fillId="4" borderId="31" xfId="4" applyFont="1" applyFill="1" applyBorder="1" applyAlignment="1" applyProtection="1">
      <alignment vertical="center"/>
      <protection locked="0"/>
    </xf>
    <xf numFmtId="0" fontId="26" fillId="4" borderId="32" xfId="4" applyFont="1" applyFill="1" applyBorder="1" applyAlignment="1" applyProtection="1">
      <alignment vertical="center" wrapText="1"/>
      <protection locked="0"/>
    </xf>
    <xf numFmtId="49" fontId="6" fillId="0" borderId="2" xfId="0" applyNumberFormat="1" applyFont="1" applyBorder="1" applyAlignment="1">
      <alignment horizontal="center" vertical="center" wrapText="1"/>
    </xf>
    <xf numFmtId="2" fontId="6" fillId="0" borderId="2" xfId="2" applyNumberFormat="1" applyFont="1" applyFill="1" applyBorder="1" applyAlignment="1">
      <alignment horizontal="center" vertical="center" wrapText="1"/>
    </xf>
    <xf numFmtId="4" fontId="6" fillId="0" borderId="2" xfId="0" applyNumberFormat="1" applyFont="1" applyBorder="1" applyAlignment="1">
      <alignment horizontal="center" vertical="center" wrapText="1"/>
    </xf>
    <xf numFmtId="165" fontId="6" fillId="0" borderId="2" xfId="0" applyNumberFormat="1" applyFont="1" applyBorder="1" applyAlignment="1">
      <alignment horizontal="center" vertical="center" wrapText="1"/>
    </xf>
    <xf numFmtId="165" fontId="6" fillId="0" borderId="7" xfId="0" applyNumberFormat="1" applyFont="1" applyBorder="1" applyAlignment="1">
      <alignment horizontal="center" vertical="center" wrapText="1"/>
    </xf>
    <xf numFmtId="0" fontId="5" fillId="0" borderId="0" xfId="0" applyFont="1"/>
    <xf numFmtId="49" fontId="14" fillId="2" borderId="62" xfId="0" applyNumberFormat="1" applyFont="1" applyFill="1" applyBorder="1" applyAlignment="1">
      <alignment horizontal="center" vertical="top" wrapText="1"/>
    </xf>
    <xf numFmtId="0" fontId="7" fillId="5" borderId="23" xfId="0" applyFont="1" applyFill="1" applyBorder="1" applyAlignment="1">
      <alignment wrapText="1"/>
    </xf>
    <xf numFmtId="0" fontId="0" fillId="5" borderId="24" xfId="0" applyFill="1" applyBorder="1" applyAlignment="1">
      <alignment vertical="center"/>
    </xf>
    <xf numFmtId="0" fontId="7" fillId="5" borderId="23" xfId="0" applyFont="1" applyFill="1" applyBorder="1"/>
    <xf numFmtId="0" fontId="6" fillId="5" borderId="0" xfId="0" applyFont="1" applyFill="1" applyAlignment="1">
      <alignment horizontal="center" vertical="center"/>
    </xf>
    <xf numFmtId="0" fontId="8" fillId="5" borderId="23" xfId="0" applyFont="1" applyFill="1" applyBorder="1"/>
    <xf numFmtId="0" fontId="0" fillId="5" borderId="0" xfId="0" applyFill="1"/>
    <xf numFmtId="0" fontId="16" fillId="5" borderId="26" xfId="0" applyFont="1" applyFill="1" applyBorder="1"/>
    <xf numFmtId="0" fontId="0" fillId="5" borderId="27" xfId="0" applyFill="1" applyBorder="1"/>
    <xf numFmtId="0" fontId="16" fillId="5" borderId="27" xfId="0" applyFont="1" applyFill="1" applyBorder="1" applyAlignment="1">
      <alignment wrapText="1"/>
    </xf>
    <xf numFmtId="0" fontId="7" fillId="4" borderId="3" xfId="4" applyFont="1" applyFill="1" applyBorder="1" applyAlignment="1">
      <alignment horizontal="center" vertical="center"/>
    </xf>
    <xf numFmtId="165" fontId="7" fillId="4" borderId="6" xfId="4" applyNumberFormat="1" applyFont="1" applyFill="1" applyBorder="1" applyAlignment="1">
      <alignment horizontal="center" vertical="center" wrapText="1"/>
    </xf>
    <xf numFmtId="0" fontId="7" fillId="0" borderId="21" xfId="4" applyFont="1" applyBorder="1" applyAlignment="1">
      <alignment horizontal="center" vertical="center"/>
    </xf>
    <xf numFmtId="165" fontId="7" fillId="0" borderId="29" xfId="4" applyNumberFormat="1" applyFont="1" applyBorder="1" applyAlignment="1">
      <alignment horizontal="left" vertical="center" wrapText="1"/>
    </xf>
    <xf numFmtId="0" fontId="26" fillId="4" borderId="1" xfId="4" applyFont="1" applyFill="1" applyBorder="1" applyAlignment="1" applyProtection="1">
      <alignment horizontal="center" vertical="center" wrapText="1"/>
      <protection locked="0"/>
    </xf>
    <xf numFmtId="0" fontId="26" fillId="4" borderId="7" xfId="4" applyFont="1" applyFill="1" applyBorder="1" applyAlignment="1" applyProtection="1">
      <alignment horizontal="left" vertical="center" wrapText="1"/>
      <protection locked="0"/>
    </xf>
    <xf numFmtId="165" fontId="23" fillId="0" borderId="7" xfId="4" applyNumberFormat="1" applyFont="1" applyBorder="1" applyAlignment="1">
      <alignment horizontal="left" vertical="center" wrapText="1"/>
    </xf>
    <xf numFmtId="0" fontId="7" fillId="5" borderId="0" xfId="0" applyFont="1" applyFill="1" applyAlignment="1">
      <alignment horizontal="center" vertical="center"/>
    </xf>
    <xf numFmtId="0" fontId="5" fillId="5" borderId="0" xfId="0" applyFont="1" applyFill="1" applyAlignment="1">
      <alignment horizontal="center" vertical="center"/>
    </xf>
    <xf numFmtId="0" fontId="31" fillId="5" borderId="0" xfId="0" applyFont="1" applyFill="1"/>
    <xf numFmtId="0" fontId="0" fillId="0" borderId="0" xfId="0" applyAlignment="1">
      <alignment horizontal="center" vertical="center"/>
    </xf>
    <xf numFmtId="0" fontId="7" fillId="2" borderId="23" xfId="0" applyFont="1" applyFill="1" applyBorder="1" applyAlignment="1">
      <alignment wrapText="1"/>
    </xf>
    <xf numFmtId="0" fontId="0" fillId="2" borderId="14" xfId="0" applyFill="1" applyBorder="1" applyAlignment="1">
      <alignment vertical="center"/>
    </xf>
    <xf numFmtId="0" fontId="0" fillId="2" borderId="15" xfId="0" applyFill="1" applyBorder="1" applyAlignment="1">
      <alignment vertical="center"/>
    </xf>
    <xf numFmtId="0" fontId="7" fillId="2" borderId="68" xfId="0" applyFont="1" applyFill="1" applyBorder="1" applyAlignment="1">
      <alignment horizontal="left" vertical="center"/>
    </xf>
    <xf numFmtId="0" fontId="0" fillId="0" borderId="23" xfId="0" applyBorder="1" applyAlignment="1">
      <alignment vertical="center"/>
    </xf>
    <xf numFmtId="165" fontId="0" fillId="0" borderId="25" xfId="0" applyNumberFormat="1" applyBorder="1" applyAlignment="1">
      <alignment vertical="center"/>
    </xf>
    <xf numFmtId="0" fontId="6" fillId="0" borderId="23" xfId="0" applyFont="1" applyBorder="1" applyAlignment="1">
      <alignment vertical="center"/>
    </xf>
    <xf numFmtId="165" fontId="6" fillId="0" borderId="25" xfId="0" applyNumberFormat="1" applyFont="1" applyBorder="1" applyAlignment="1">
      <alignment vertical="center"/>
    </xf>
    <xf numFmtId="0" fontId="0" fillId="0" borderId="23" xfId="0" applyBorder="1"/>
    <xf numFmtId="165" fontId="0" fillId="0" borderId="25" xfId="0" applyNumberFormat="1" applyBorder="1"/>
    <xf numFmtId="0" fontId="0" fillId="0" borderId="26" xfId="0" applyBorder="1"/>
    <xf numFmtId="0" fontId="0" fillId="0" borderId="27" xfId="0" applyBorder="1"/>
    <xf numFmtId="165" fontId="0" fillId="0" borderId="27" xfId="0" applyNumberFormat="1" applyBorder="1"/>
    <xf numFmtId="165" fontId="0" fillId="0" borderId="28" xfId="0" applyNumberFormat="1" applyBorder="1"/>
    <xf numFmtId="165" fontId="22" fillId="0" borderId="0" xfId="0" applyNumberFormat="1" applyFont="1"/>
    <xf numFmtId="0" fontId="33" fillId="3" borderId="18" xfId="0" applyFont="1" applyFill="1" applyBorder="1" applyAlignment="1" applyProtection="1">
      <alignment horizontal="center" vertical="center" wrapText="1"/>
      <protection locked="0"/>
    </xf>
    <xf numFmtId="167" fontId="19" fillId="5" borderId="0" xfId="0" applyNumberFormat="1" applyFont="1" applyFill="1" applyAlignment="1" applyProtection="1">
      <alignment vertical="center" wrapText="1"/>
      <protection locked="0"/>
    </xf>
    <xf numFmtId="165" fontId="19" fillId="5" borderId="0" xfId="0" applyNumberFormat="1" applyFont="1" applyFill="1" applyAlignment="1">
      <alignment vertical="center"/>
    </xf>
    <xf numFmtId="165" fontId="19" fillId="5" borderId="0" xfId="0" quotePrefix="1" applyNumberFormat="1" applyFont="1" applyFill="1" applyAlignment="1">
      <alignment vertical="center"/>
    </xf>
    <xf numFmtId="165" fontId="0" fillId="5" borderId="0" xfId="0" applyNumberFormat="1" applyFill="1"/>
    <xf numFmtId="0" fontId="18" fillId="0" borderId="40" xfId="4" applyFont="1" applyBorder="1" applyAlignment="1">
      <alignment vertical="center"/>
    </xf>
    <xf numFmtId="0" fontId="18" fillId="0" borderId="34" xfId="4" applyFont="1" applyBorder="1" applyAlignment="1">
      <alignment horizontal="left" vertical="center"/>
    </xf>
    <xf numFmtId="0" fontId="18" fillId="0" borderId="34" xfId="4" applyFont="1" applyBorder="1" applyAlignment="1">
      <alignment vertical="center" wrapText="1"/>
    </xf>
    <xf numFmtId="0" fontId="18" fillId="0" borderId="34" xfId="4" applyFont="1" applyBorder="1" applyAlignment="1">
      <alignment horizontal="center" vertical="center"/>
    </xf>
    <xf numFmtId="0" fontId="18" fillId="0" borderId="69" xfId="4" applyFont="1" applyBorder="1" applyAlignment="1">
      <alignment horizontal="right" vertical="center"/>
    </xf>
    <xf numFmtId="0" fontId="33" fillId="3" borderId="49" xfId="4" applyFont="1" applyFill="1" applyBorder="1" applyAlignment="1" applyProtection="1">
      <alignment horizontal="center" vertical="center" wrapText="1"/>
      <protection locked="0"/>
    </xf>
    <xf numFmtId="17" fontId="35" fillId="3" borderId="34" xfId="4" applyNumberFormat="1" applyFont="1" applyFill="1" applyBorder="1" applyAlignment="1" applyProtection="1">
      <alignment horizontal="center" vertical="center"/>
      <protection locked="0"/>
    </xf>
    <xf numFmtId="165" fontId="33" fillId="3" borderId="18" xfId="4" applyNumberFormat="1" applyFont="1" applyFill="1" applyBorder="1" applyAlignment="1" applyProtection="1">
      <alignment vertical="center" wrapText="1"/>
      <protection locked="0"/>
    </xf>
    <xf numFmtId="4" fontId="14" fillId="2" borderId="62" xfId="0" applyNumberFormat="1" applyFont="1" applyFill="1" applyBorder="1" applyAlignment="1">
      <alignment vertical="top" wrapText="1"/>
    </xf>
    <xf numFmtId="10" fontId="14" fillId="2" borderId="70" xfId="0" applyNumberFormat="1" applyFont="1" applyFill="1" applyBorder="1" applyAlignment="1">
      <alignment vertical="top" wrapText="1"/>
    </xf>
    <xf numFmtId="0" fontId="19" fillId="0" borderId="34" xfId="0" applyFont="1" applyBorder="1" applyAlignment="1">
      <alignment horizontal="left" vertical="center" wrapText="1"/>
    </xf>
    <xf numFmtId="0" fontId="18" fillId="3" borderId="30" xfId="0" applyFont="1" applyFill="1" applyBorder="1" applyAlignment="1" applyProtection="1">
      <alignment horizontal="center" vertical="center"/>
      <protection locked="0"/>
    </xf>
    <xf numFmtId="17" fontId="18" fillId="3" borderId="34" xfId="0" applyNumberFormat="1" applyFont="1" applyFill="1" applyBorder="1" applyAlignment="1" applyProtection="1">
      <alignment horizontal="center" vertical="center" wrapText="1"/>
      <protection locked="0"/>
    </xf>
    <xf numFmtId="165" fontId="18" fillId="0" borderId="13" xfId="0" applyNumberFormat="1" applyFont="1" applyBorder="1" applyAlignment="1">
      <alignment vertical="center"/>
    </xf>
    <xf numFmtId="0" fontId="33" fillId="3" borderId="18" xfId="0" applyFont="1" applyFill="1" applyBorder="1" applyAlignment="1" applyProtection="1">
      <alignment horizontal="left" vertical="center" wrapText="1"/>
      <protection locked="0"/>
    </xf>
    <xf numFmtId="0" fontId="33" fillId="3" borderId="18" xfId="0" applyFont="1" applyFill="1" applyBorder="1" applyAlignment="1" applyProtection="1">
      <alignment vertical="center" wrapText="1"/>
      <protection locked="0"/>
    </xf>
    <xf numFmtId="167" fontId="33" fillId="3" borderId="18" xfId="0" applyNumberFormat="1" applyFont="1" applyFill="1" applyBorder="1" applyAlignment="1" applyProtection="1">
      <alignment vertical="center" wrapText="1"/>
      <protection locked="0"/>
    </xf>
    <xf numFmtId="165" fontId="19" fillId="0" borderId="19" xfId="0" quotePrefix="1" applyNumberFormat="1" applyFont="1" applyBorder="1" applyAlignment="1">
      <alignment vertical="center"/>
    </xf>
    <xf numFmtId="0" fontId="25" fillId="4" borderId="36" xfId="0" applyFont="1" applyFill="1" applyBorder="1" applyAlignment="1" applyProtection="1">
      <alignment horizontal="center" vertical="center" wrapText="1"/>
      <protection locked="0"/>
    </xf>
    <xf numFmtId="0" fontId="26" fillId="4" borderId="57" xfId="0" applyFont="1" applyFill="1" applyBorder="1" applyAlignment="1" applyProtection="1">
      <alignment vertical="center"/>
      <protection locked="0"/>
    </xf>
    <xf numFmtId="0" fontId="26" fillId="4" borderId="58" xfId="0" applyFont="1" applyFill="1" applyBorder="1" applyAlignment="1" applyProtection="1">
      <alignment vertical="center" wrapText="1"/>
      <protection locked="0"/>
    </xf>
    <xf numFmtId="0" fontId="25" fillId="4" borderId="35" xfId="0" applyFont="1" applyFill="1" applyBorder="1" applyAlignment="1" applyProtection="1">
      <alignment vertical="center" wrapText="1"/>
      <protection locked="0"/>
    </xf>
    <xf numFmtId="165" fontId="26" fillId="4" borderId="72" xfId="0" applyNumberFormat="1" applyFont="1" applyFill="1" applyBorder="1" applyAlignment="1" applyProtection="1">
      <alignment vertical="center" wrapText="1"/>
      <protection locked="0"/>
    </xf>
    <xf numFmtId="165" fontId="23" fillId="0" borderId="0" xfId="0" applyNumberFormat="1" applyFont="1" applyAlignment="1">
      <alignment horizontal="center" vertical="center" wrapText="1"/>
    </xf>
    <xf numFmtId="0" fontId="6" fillId="0" borderId="2" xfId="0" applyFont="1" applyBorder="1" applyAlignment="1">
      <alignment horizontal="center" vertical="center" wrapText="1"/>
    </xf>
    <xf numFmtId="2" fontId="23" fillId="5" borderId="2" xfId="10" applyNumberFormat="1" applyFont="1" applyFill="1" applyBorder="1" applyAlignment="1">
      <alignment horizontal="center" vertical="center" wrapText="1"/>
    </xf>
    <xf numFmtId="2" fontId="23" fillId="0" borderId="2" xfId="10" applyNumberFormat="1" applyFont="1" applyFill="1" applyBorder="1" applyAlignment="1">
      <alignment horizontal="center" vertical="center" wrapText="1"/>
    </xf>
    <xf numFmtId="0" fontId="6" fillId="0" borderId="1" xfId="0" applyFont="1" applyBorder="1" applyAlignment="1">
      <alignment horizontal="center" vertical="center" wrapText="1"/>
    </xf>
    <xf numFmtId="2" fontId="6" fillId="0" borderId="2" xfId="10" applyNumberFormat="1" applyFont="1" applyFill="1" applyBorder="1" applyAlignment="1">
      <alignment horizontal="center" vertical="center" wrapText="1"/>
    </xf>
    <xf numFmtId="165" fontId="6" fillId="0" borderId="0" xfId="0" applyNumberFormat="1" applyFont="1" applyAlignment="1">
      <alignment horizontal="center" vertical="center" wrapText="1"/>
    </xf>
    <xf numFmtId="165" fontId="5" fillId="0" borderId="0" xfId="0" applyNumberFormat="1" applyFont="1"/>
    <xf numFmtId="0" fontId="26" fillId="4" borderId="73" xfId="0" applyFont="1" applyFill="1" applyBorder="1" applyAlignment="1" applyProtection="1">
      <alignment horizontal="center" vertical="center" wrapText="1"/>
      <protection locked="0"/>
    </xf>
    <xf numFmtId="0" fontId="26" fillId="4" borderId="74" xfId="0" applyFont="1" applyFill="1" applyBorder="1" applyAlignment="1" applyProtection="1">
      <alignment vertical="center"/>
      <protection locked="0"/>
    </xf>
    <xf numFmtId="0" fontId="26" fillId="4" borderId="32" xfId="0" applyFont="1" applyFill="1" applyBorder="1" applyAlignment="1" applyProtection="1">
      <alignment vertical="center" wrapText="1"/>
      <protection locked="0"/>
    </xf>
    <xf numFmtId="0" fontId="1" fillId="0" borderId="0" xfId="15"/>
    <xf numFmtId="0" fontId="1" fillId="5" borderId="23" xfId="15" applyFill="1" applyBorder="1" applyAlignment="1">
      <alignment horizontal="left"/>
    </xf>
    <xf numFmtId="0" fontId="1" fillId="5" borderId="0" xfId="15" applyFill="1" applyAlignment="1">
      <alignment horizontal="left"/>
    </xf>
    <xf numFmtId="0" fontId="7" fillId="0" borderId="61" xfId="15" applyFont="1" applyBorder="1" applyAlignment="1" applyProtection="1">
      <alignment horizontal="center" vertical="center"/>
      <protection locked="0"/>
    </xf>
    <xf numFmtId="0" fontId="7" fillId="0" borderId="16" xfId="15" applyFont="1" applyBorder="1" applyAlignment="1" applyProtection="1">
      <alignment horizontal="center" vertical="center"/>
      <protection locked="0"/>
    </xf>
    <xf numFmtId="0" fontId="7" fillId="0" borderId="16" xfId="15" applyFont="1" applyBorder="1" applyAlignment="1" applyProtection="1">
      <alignment horizontal="center" vertical="center" wrapText="1"/>
      <protection locked="0"/>
    </xf>
    <xf numFmtId="0" fontId="7" fillId="0" borderId="0" xfId="15" applyFont="1" applyAlignment="1" applyProtection="1">
      <alignment horizontal="center" vertical="center" wrapText="1"/>
      <protection locked="0"/>
    </xf>
    <xf numFmtId="43" fontId="38" fillId="0" borderId="34" xfId="16" applyFont="1" applyFill="1" applyBorder="1" applyAlignment="1" applyProtection="1">
      <alignment horizontal="right" vertical="center"/>
      <protection locked="0"/>
    </xf>
    <xf numFmtId="2" fontId="1" fillId="0" borderId="34" xfId="15" applyNumberFormat="1" applyBorder="1"/>
    <xf numFmtId="43" fontId="22" fillId="0" borderId="34" xfId="16" applyFont="1" applyFill="1" applyBorder="1" applyAlignment="1" applyProtection="1">
      <alignment horizontal="right" vertical="center"/>
      <protection locked="0"/>
    </xf>
    <xf numFmtId="43" fontId="39" fillId="0" borderId="0" xfId="15" applyNumberFormat="1" applyFont="1"/>
    <xf numFmtId="0" fontId="5" fillId="5" borderId="0" xfId="15" applyFont="1" applyFill="1" applyAlignment="1" applyProtection="1">
      <alignment horizontal="center" vertical="center"/>
      <protection locked="0"/>
    </xf>
    <xf numFmtId="43" fontId="22" fillId="5" borderId="0" xfId="16" applyFont="1" applyFill="1" applyBorder="1" applyAlignment="1" applyProtection="1">
      <alignment vertical="center"/>
      <protection locked="0"/>
    </xf>
    <xf numFmtId="43" fontId="38" fillId="0" borderId="8" xfId="16" applyFont="1" applyFill="1" applyBorder="1" applyAlignment="1" applyProtection="1">
      <alignment horizontal="right" vertical="center"/>
      <protection locked="0"/>
    </xf>
    <xf numFmtId="2" fontId="39" fillId="0" borderId="0" xfId="15" applyNumberFormat="1" applyFont="1"/>
    <xf numFmtId="43" fontId="5" fillId="5" borderId="0" xfId="16" applyFont="1" applyFill="1" applyBorder="1" applyAlignment="1" applyProtection="1">
      <alignment vertical="center"/>
      <protection locked="0"/>
    </xf>
    <xf numFmtId="43" fontId="5" fillId="5" borderId="0" xfId="16" applyFont="1" applyFill="1" applyBorder="1" applyAlignment="1" applyProtection="1">
      <alignment horizontal="right" vertical="center"/>
      <protection locked="0"/>
    </xf>
    <xf numFmtId="0" fontId="1" fillId="5" borderId="0" xfId="15" applyFill="1"/>
    <xf numFmtId="0" fontId="5" fillId="5" borderId="0" xfId="15" applyFont="1" applyFill="1" applyAlignment="1" applyProtection="1">
      <alignment vertical="center"/>
      <protection locked="0"/>
    </xf>
    <xf numFmtId="43" fontId="22" fillId="0" borderId="0" xfId="16" applyFont="1" applyFill="1" applyBorder="1" applyAlignment="1" applyProtection="1">
      <alignment horizontal="right" vertical="center"/>
      <protection locked="0"/>
    </xf>
    <xf numFmtId="0" fontId="5" fillId="0" borderId="40" xfId="15" applyFont="1" applyBorder="1" applyAlignment="1" applyProtection="1">
      <alignment horizontal="center" vertical="center"/>
      <protection locked="0"/>
    </xf>
    <xf numFmtId="168" fontId="22" fillId="0" borderId="34" xfId="16" applyNumberFormat="1" applyFont="1" applyFill="1" applyBorder="1" applyAlignment="1" applyProtection="1">
      <alignment horizontal="right" vertical="center"/>
      <protection locked="0"/>
    </xf>
    <xf numFmtId="2" fontId="1" fillId="0" borderId="0" xfId="15" applyNumberFormat="1"/>
    <xf numFmtId="43" fontId="21" fillId="5" borderId="0" xfId="15" applyNumberFormat="1" applyFont="1" applyFill="1" applyAlignment="1">
      <alignment horizontal="center"/>
    </xf>
    <xf numFmtId="43" fontId="38" fillId="0" borderId="0" xfId="16" applyFont="1" applyFill="1" applyBorder="1" applyAlignment="1" applyProtection="1">
      <alignment horizontal="right" vertical="center"/>
      <protection locked="0"/>
    </xf>
    <xf numFmtId="43" fontId="1" fillId="5" borderId="0" xfId="15" applyNumberFormat="1" applyFill="1"/>
    <xf numFmtId="43" fontId="22" fillId="5" borderId="0" xfId="16" applyFont="1" applyFill="1" applyBorder="1" applyAlignment="1" applyProtection="1">
      <alignment horizontal="right" vertical="center"/>
      <protection locked="0"/>
    </xf>
    <xf numFmtId="168" fontId="22" fillId="5" borderId="0" xfId="16" applyNumberFormat="1" applyFont="1" applyFill="1" applyBorder="1" applyAlignment="1" applyProtection="1">
      <alignment horizontal="right" vertical="center"/>
      <protection locked="0"/>
    </xf>
    <xf numFmtId="43" fontId="22" fillId="0" borderId="34" xfId="16" applyFont="1" applyBorder="1" applyAlignment="1" applyProtection="1">
      <alignment vertical="center"/>
      <protection locked="0"/>
    </xf>
    <xf numFmtId="0" fontId="5" fillId="5" borderId="26" xfId="15" applyFont="1" applyFill="1" applyBorder="1" applyAlignment="1" applyProtection="1">
      <alignment horizontal="center" vertical="center"/>
      <protection locked="0"/>
    </xf>
    <xf numFmtId="0" fontId="36" fillId="0" borderId="0" xfId="15" applyFont="1"/>
    <xf numFmtId="43" fontId="5" fillId="0" borderId="0" xfId="16" applyFont="1" applyFill="1" applyBorder="1" applyAlignment="1" applyProtection="1">
      <alignment vertical="center"/>
      <protection locked="0"/>
    </xf>
    <xf numFmtId="2" fontId="1" fillId="0" borderId="0" xfId="15" applyNumberFormat="1" applyAlignment="1">
      <alignment horizontal="center"/>
    </xf>
    <xf numFmtId="0" fontId="21" fillId="0" borderId="0" xfId="15" applyFont="1"/>
    <xf numFmtId="2" fontId="21" fillId="0" borderId="0" xfId="15" applyNumberFormat="1" applyFont="1"/>
    <xf numFmtId="0" fontId="7" fillId="0" borderId="0" xfId="15" applyFont="1" applyAlignment="1">
      <alignment horizontal="center"/>
    </xf>
    <xf numFmtId="0" fontId="21" fillId="0" borderId="0" xfId="15" applyFont="1" applyAlignment="1">
      <alignment horizontal="center"/>
    </xf>
    <xf numFmtId="0" fontId="1" fillId="0" borderId="0" xfId="15" applyAlignment="1">
      <alignment horizontal="center"/>
    </xf>
    <xf numFmtId="0" fontId="1" fillId="0" borderId="0" xfId="15" applyAlignment="1">
      <alignment wrapText="1"/>
    </xf>
    <xf numFmtId="0" fontId="21" fillId="0" borderId="0" xfId="15" applyFont="1" applyAlignment="1">
      <alignment wrapText="1"/>
    </xf>
    <xf numFmtId="2" fontId="1" fillId="0" borderId="0" xfId="15" applyNumberFormat="1" applyAlignment="1">
      <alignment horizontal="center" vertical="center"/>
    </xf>
    <xf numFmtId="2" fontId="36" fillId="0" borderId="0" xfId="15" applyNumberFormat="1" applyFont="1" applyAlignment="1">
      <alignment horizontal="center"/>
    </xf>
    <xf numFmtId="0" fontId="39" fillId="0" borderId="0" xfId="15" applyFont="1"/>
    <xf numFmtId="0" fontId="7" fillId="0" borderId="0" xfId="15" applyFont="1" applyAlignment="1">
      <alignment horizontal="center" vertical="center"/>
    </xf>
    <xf numFmtId="0" fontId="7" fillId="0" borderId="0" xfId="15" applyFont="1" applyAlignment="1">
      <alignment horizontal="center" vertical="center" wrapText="1"/>
    </xf>
    <xf numFmtId="2" fontId="1" fillId="0" borderId="0" xfId="15" applyNumberFormat="1" applyAlignment="1">
      <alignment horizontal="right" vertical="center"/>
    </xf>
    <xf numFmtId="2" fontId="36" fillId="0" borderId="0" xfId="15" applyNumberFormat="1" applyFont="1" applyAlignment="1">
      <alignment horizontal="center" vertical="center"/>
    </xf>
    <xf numFmtId="0" fontId="1" fillId="0" borderId="0" xfId="15" applyAlignment="1">
      <alignment vertical="center" wrapText="1"/>
    </xf>
    <xf numFmtId="0" fontId="1" fillId="0" borderId="0" xfId="15" applyAlignment="1">
      <alignment vertical="center"/>
    </xf>
    <xf numFmtId="0" fontId="1" fillId="0" borderId="0" xfId="15" applyAlignment="1">
      <alignment horizontal="center" vertical="center"/>
    </xf>
    <xf numFmtId="2" fontId="21" fillId="0" borderId="0" xfId="15" applyNumberFormat="1" applyFont="1" applyAlignment="1">
      <alignment horizontal="right" vertical="center"/>
    </xf>
    <xf numFmtId="0" fontId="42" fillId="0" borderId="0" xfId="15" applyFont="1"/>
    <xf numFmtId="2" fontId="1" fillId="0" borderId="0" xfId="15" applyNumberFormat="1" applyAlignment="1">
      <alignment vertical="center"/>
    </xf>
    <xf numFmtId="0" fontId="43" fillId="0" borderId="0" xfId="15" applyFont="1"/>
    <xf numFmtId="0" fontId="43" fillId="0" borderId="0" xfId="15" applyFont="1" applyAlignment="1">
      <alignment horizontal="left" wrapText="1"/>
    </xf>
    <xf numFmtId="0" fontId="1" fillId="0" borderId="0" xfId="15" applyAlignment="1">
      <alignment horizontal="center" vertical="center" wrapText="1"/>
    </xf>
    <xf numFmtId="0" fontId="43" fillId="0" borderId="0" xfId="15" applyFont="1" applyAlignment="1">
      <alignment wrapText="1"/>
    </xf>
    <xf numFmtId="0" fontId="1" fillId="0" borderId="0" xfId="15" applyAlignment="1">
      <alignment horizontal="center" wrapText="1"/>
    </xf>
    <xf numFmtId="2" fontId="21" fillId="0" borderId="0" xfId="15" applyNumberFormat="1" applyFont="1" applyAlignment="1">
      <alignment horizontal="right" wrapText="1"/>
    </xf>
    <xf numFmtId="0" fontId="21" fillId="0" borderId="0" xfId="15" applyFont="1" applyAlignment="1">
      <alignment horizontal="left" wrapText="1"/>
    </xf>
    <xf numFmtId="0" fontId="21" fillId="8" borderId="0" xfId="15" applyFont="1" applyFill="1"/>
    <xf numFmtId="2" fontId="21" fillId="8" borderId="0" xfId="15" applyNumberFormat="1" applyFont="1" applyFill="1"/>
    <xf numFmtId="0" fontId="43" fillId="0" borderId="0" xfId="15" applyFont="1" applyAlignment="1">
      <alignment horizontal="left"/>
    </xf>
    <xf numFmtId="0" fontId="44" fillId="0" borderId="0" xfId="15" applyFont="1"/>
    <xf numFmtId="0" fontId="44" fillId="0" borderId="0" xfId="15" applyFont="1" applyAlignment="1">
      <alignment horizontal="left" wrapText="1"/>
    </xf>
    <xf numFmtId="0" fontId="46" fillId="0" borderId="0" xfId="19" applyFont="1" applyAlignment="1">
      <alignment vertical="center"/>
    </xf>
    <xf numFmtId="0" fontId="41" fillId="5" borderId="0" xfId="6" applyFont="1" applyFill="1" applyAlignment="1" applyProtection="1">
      <alignment vertical="center"/>
      <protection locked="0"/>
    </xf>
    <xf numFmtId="0" fontId="36" fillId="5" borderId="0" xfId="6" applyFont="1" applyFill="1"/>
    <xf numFmtId="0" fontId="36" fillId="0" borderId="0" xfId="6" applyFont="1"/>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4" xfId="0" applyFont="1" applyBorder="1" applyAlignment="1" applyProtection="1">
      <alignment horizontal="center" vertical="center" wrapText="1"/>
      <protection locked="0"/>
    </xf>
    <xf numFmtId="0" fontId="7" fillId="0" borderId="6" xfId="6" applyFont="1" applyBorder="1" applyAlignment="1" applyProtection="1">
      <alignment horizontal="center" vertical="center" wrapText="1"/>
      <protection locked="0"/>
    </xf>
    <xf numFmtId="43" fontId="5" fillId="0" borderId="81" xfId="3" applyFont="1" applyFill="1" applyBorder="1" applyAlignment="1" applyProtection="1">
      <alignment horizontal="right" vertical="center"/>
      <protection locked="0"/>
    </xf>
    <xf numFmtId="43" fontId="5" fillId="0" borderId="85" xfId="3" applyFont="1" applyFill="1" applyBorder="1" applyAlignment="1" applyProtection="1">
      <alignment horizontal="right" vertical="center"/>
      <protection locked="0"/>
    </xf>
    <xf numFmtId="43" fontId="5" fillId="0" borderId="31" xfId="3" applyFont="1" applyFill="1" applyBorder="1" applyAlignment="1" applyProtection="1">
      <alignment horizontal="right" vertical="center"/>
      <protection locked="0"/>
    </xf>
    <xf numFmtId="43" fontId="7" fillId="7" borderId="8" xfId="3" applyFont="1" applyFill="1" applyBorder="1" applyAlignment="1" applyProtection="1">
      <alignment horizontal="right" vertical="center"/>
      <protection locked="0"/>
    </xf>
    <xf numFmtId="0" fontId="41" fillId="5" borderId="0" xfId="0" applyFont="1" applyFill="1" applyAlignment="1" applyProtection="1">
      <alignment vertical="center"/>
      <protection locked="0"/>
    </xf>
    <xf numFmtId="164" fontId="46" fillId="5" borderId="0" xfId="18" applyNumberFormat="1" applyFont="1" applyFill="1" applyBorder="1" applyAlignment="1" applyProtection="1">
      <alignment horizontal="center" vertical="center"/>
      <protection locked="0"/>
    </xf>
    <xf numFmtId="164" fontId="46" fillId="5" borderId="0" xfId="18" applyNumberFormat="1" applyFont="1" applyFill="1" applyBorder="1" applyAlignment="1" applyProtection="1">
      <alignment horizontal="left" vertical="center"/>
      <protection hidden="1"/>
    </xf>
    <xf numFmtId="0" fontId="46" fillId="5" borderId="77" xfId="19" applyFont="1" applyFill="1" applyBorder="1" applyAlignment="1">
      <alignment vertical="center"/>
    </xf>
    <xf numFmtId="0" fontId="46" fillId="5" borderId="0" xfId="19" applyFont="1" applyFill="1" applyAlignment="1">
      <alignment vertical="center"/>
    </xf>
    <xf numFmtId="49" fontId="46" fillId="5" borderId="65" xfId="17" applyNumberFormat="1" applyFont="1" applyFill="1" applyBorder="1" applyAlignment="1" applyProtection="1">
      <alignment horizontal="center" vertical="center" wrapText="1"/>
      <protection locked="0"/>
    </xf>
    <xf numFmtId="43" fontId="46" fillId="5" borderId="0" xfId="4" applyNumberFormat="1" applyFont="1" applyFill="1" applyAlignment="1" applyProtection="1">
      <alignment horizontal="center" vertical="center"/>
      <protection locked="0"/>
    </xf>
    <xf numFmtId="0" fontId="46" fillId="5" borderId="0" xfId="4" applyFont="1" applyFill="1" applyAlignment="1" applyProtection="1">
      <alignment horizontal="center" vertical="center"/>
      <protection locked="0"/>
    </xf>
    <xf numFmtId="49" fontId="46" fillId="5" borderId="0" xfId="17" applyNumberFormat="1" applyFont="1" applyFill="1" applyBorder="1" applyAlignment="1" applyProtection="1">
      <alignment horizontal="center" vertical="center" wrapText="1"/>
      <protection locked="0"/>
    </xf>
    <xf numFmtId="43" fontId="5" fillId="5" borderId="81" xfId="3" applyFont="1" applyFill="1" applyBorder="1" applyAlignment="1" applyProtection="1">
      <alignment horizontal="right" vertical="center"/>
      <protection locked="0"/>
    </xf>
    <xf numFmtId="43" fontId="5" fillId="5" borderId="85" xfId="3" applyFont="1" applyFill="1" applyBorder="1" applyAlignment="1" applyProtection="1">
      <alignment horizontal="right" vertical="center"/>
      <protection locked="0"/>
    </xf>
    <xf numFmtId="43" fontId="5" fillId="5" borderId="86" xfId="3" applyFont="1" applyFill="1" applyBorder="1" applyAlignment="1" applyProtection="1">
      <alignment horizontal="right" vertical="center"/>
      <protection locked="0"/>
    </xf>
    <xf numFmtId="43" fontId="5" fillId="5" borderId="88" xfId="3" applyFont="1" applyFill="1" applyBorder="1" applyAlignment="1" applyProtection="1">
      <alignment horizontal="right" vertical="center"/>
      <protection locked="0"/>
    </xf>
    <xf numFmtId="43" fontId="5" fillId="5" borderId="91" xfId="3" applyFont="1" applyFill="1" applyBorder="1" applyAlignment="1" applyProtection="1">
      <alignment horizontal="right" vertical="center"/>
      <protection locked="0"/>
    </xf>
    <xf numFmtId="43" fontId="7" fillId="7" borderId="14" xfId="3" applyFont="1" applyFill="1" applyBorder="1" applyAlignment="1" applyProtection="1">
      <alignment horizontal="right" vertical="center"/>
      <protection locked="0"/>
    </xf>
    <xf numFmtId="43" fontId="22" fillId="0" borderId="3" xfId="16" applyFont="1" applyFill="1" applyBorder="1" applyAlignment="1" applyProtection="1">
      <alignment horizontal="right" vertical="center"/>
      <protection locked="0"/>
    </xf>
    <xf numFmtId="43" fontId="38" fillId="0" borderId="3" xfId="16" applyFont="1" applyFill="1" applyBorder="1" applyAlignment="1" applyProtection="1">
      <alignment horizontal="right" vertical="center"/>
      <protection locked="0"/>
    </xf>
    <xf numFmtId="0" fontId="7" fillId="0" borderId="89" xfId="15" applyFont="1" applyBorder="1" applyAlignment="1" applyProtection="1">
      <alignment horizontal="center" vertical="center" wrapText="1"/>
      <protection locked="0"/>
    </xf>
    <xf numFmtId="0" fontId="7" fillId="0" borderId="93" xfId="15" applyFont="1" applyBorder="1" applyAlignment="1" applyProtection="1">
      <alignment horizontal="center" vertical="center" wrapText="1"/>
      <protection locked="0"/>
    </xf>
    <xf numFmtId="0" fontId="7" fillId="0" borderId="90" xfId="15" applyFont="1" applyBorder="1" applyAlignment="1" applyProtection="1">
      <alignment horizontal="center" vertical="center" wrapText="1"/>
      <protection locked="0"/>
    </xf>
    <xf numFmtId="0" fontId="7" fillId="0" borderId="94" xfId="15" applyFont="1" applyBorder="1" applyAlignment="1" applyProtection="1">
      <alignment horizontal="center" vertical="center" wrapText="1"/>
      <protection locked="0"/>
    </xf>
    <xf numFmtId="43" fontId="40" fillId="7" borderId="71" xfId="16" applyFont="1" applyFill="1" applyBorder="1" applyAlignment="1" applyProtection="1">
      <alignment horizontal="right" vertical="center"/>
      <protection locked="0"/>
    </xf>
    <xf numFmtId="43" fontId="40" fillId="7" borderId="95" xfId="16" applyFont="1" applyFill="1" applyBorder="1" applyAlignment="1" applyProtection="1">
      <alignment horizontal="right" vertical="center"/>
      <protection locked="0"/>
    </xf>
    <xf numFmtId="43" fontId="40" fillId="7" borderId="96" xfId="16" applyFont="1" applyFill="1" applyBorder="1" applyAlignment="1" applyProtection="1">
      <alignment horizontal="right" vertical="center"/>
      <protection locked="0"/>
    </xf>
    <xf numFmtId="43" fontId="5" fillId="0" borderId="97" xfId="3" applyFont="1" applyFill="1" applyBorder="1" applyAlignment="1" applyProtection="1">
      <alignment horizontal="center" vertical="center"/>
      <protection locked="0"/>
    </xf>
    <xf numFmtId="43" fontId="5" fillId="0" borderId="32" xfId="3" applyFont="1" applyFill="1" applyBorder="1" applyAlignment="1" applyProtection="1">
      <alignment horizontal="center" vertical="center"/>
      <protection locked="0"/>
    </xf>
    <xf numFmtId="43" fontId="5" fillId="0" borderId="98" xfId="3" applyFont="1" applyFill="1" applyBorder="1" applyAlignment="1" applyProtection="1">
      <alignment horizontal="center" vertical="center"/>
      <protection locked="0"/>
    </xf>
    <xf numFmtId="43" fontId="5" fillId="0" borderId="60" xfId="3" applyFont="1" applyFill="1" applyBorder="1" applyAlignment="1" applyProtection="1">
      <alignment horizontal="center" vertical="center"/>
      <protection locked="0"/>
    </xf>
    <xf numFmtId="43" fontId="5" fillId="0" borderId="58" xfId="3" applyFont="1" applyFill="1" applyBorder="1" applyAlignment="1" applyProtection="1">
      <alignment horizontal="center" vertical="center"/>
      <protection locked="0"/>
    </xf>
    <xf numFmtId="4" fontId="23" fillId="0" borderId="35" xfId="0" applyNumberFormat="1" applyFont="1" applyBorder="1" applyAlignment="1">
      <alignment horizontal="center" vertical="center" wrapText="1"/>
    </xf>
    <xf numFmtId="43" fontId="22" fillId="5" borderId="34" xfId="16" applyFont="1" applyFill="1" applyBorder="1" applyAlignment="1" applyProtection="1">
      <alignment horizontal="right" vertical="center"/>
      <protection locked="0"/>
    </xf>
    <xf numFmtId="168" fontId="22" fillId="5" borderId="34" xfId="16" applyNumberFormat="1" applyFont="1" applyFill="1" applyBorder="1" applyAlignment="1" applyProtection="1">
      <alignment horizontal="right" vertical="center"/>
      <protection locked="0"/>
    </xf>
    <xf numFmtId="2" fontId="1" fillId="5" borderId="0" xfId="15" applyNumberFormat="1" applyFill="1"/>
    <xf numFmtId="0" fontId="18" fillId="3" borderId="34" xfId="4" applyFont="1" applyFill="1" applyBorder="1" applyAlignment="1" applyProtection="1">
      <alignment horizontal="left" vertical="center" wrapText="1"/>
      <protection locked="0"/>
    </xf>
    <xf numFmtId="4" fontId="23" fillId="5" borderId="2" xfId="0" applyNumberFormat="1" applyFont="1" applyFill="1" applyBorder="1" applyAlignment="1">
      <alignment horizontal="center" vertical="center" wrapText="1"/>
    </xf>
    <xf numFmtId="4" fontId="6" fillId="5" borderId="2" xfId="0" applyNumberFormat="1" applyFont="1" applyFill="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25" fillId="4" borderId="2" xfId="0" applyFont="1" applyFill="1" applyBorder="1" applyAlignment="1" applyProtection="1">
      <alignment vertical="center" wrapText="1"/>
      <protection locked="0"/>
    </xf>
    <xf numFmtId="0" fontId="25" fillId="4" borderId="31" xfId="0" applyFont="1" applyFill="1" applyBorder="1" applyAlignment="1" applyProtection="1">
      <alignment vertical="center"/>
      <protection locked="0"/>
    </xf>
    <xf numFmtId="0" fontId="25" fillId="4" borderId="32" xfId="0" applyFont="1" applyFill="1" applyBorder="1" applyAlignment="1" applyProtection="1">
      <alignment vertical="center"/>
      <protection locked="0"/>
    </xf>
    <xf numFmtId="165" fontId="25" fillId="4" borderId="7" xfId="0" applyNumberFormat="1" applyFont="1" applyFill="1" applyBorder="1" applyAlignment="1" applyProtection="1">
      <alignment vertical="center" wrapText="1"/>
      <protection locked="0"/>
    </xf>
    <xf numFmtId="0" fontId="7" fillId="5" borderId="0" xfId="0" applyFont="1" applyFill="1"/>
    <xf numFmtId="0" fontId="0" fillId="0" borderId="14" xfId="0" applyBorder="1"/>
    <xf numFmtId="0" fontId="34" fillId="5" borderId="40" xfId="4" applyFont="1" applyFill="1" applyBorder="1" applyAlignment="1">
      <alignment horizontal="centerContinuous" vertical="center" wrapText="1"/>
    </xf>
    <xf numFmtId="0" fontId="19" fillId="0" borderId="40" xfId="4" applyFont="1" applyBorder="1" applyAlignment="1">
      <alignment vertical="center"/>
    </xf>
    <xf numFmtId="0" fontId="19" fillId="0" borderId="34" xfId="4" applyFont="1" applyBorder="1" applyAlignment="1">
      <alignment horizontal="left" vertical="center"/>
    </xf>
    <xf numFmtId="0" fontId="19" fillId="0" borderId="34" xfId="4" applyFont="1" applyBorder="1" applyAlignment="1">
      <alignment vertical="center"/>
    </xf>
    <xf numFmtId="0" fontId="19" fillId="0" borderId="34" xfId="4" applyFont="1" applyBorder="1" applyAlignment="1">
      <alignment horizontal="center" vertical="center"/>
    </xf>
    <xf numFmtId="0" fontId="19" fillId="0" borderId="69" xfId="4" applyFont="1" applyBorder="1" applyAlignment="1">
      <alignment horizontal="center" vertical="center"/>
    </xf>
    <xf numFmtId="0" fontId="25" fillId="4" borderId="35" xfId="0" applyFont="1" applyFill="1" applyBorder="1" applyAlignment="1" applyProtection="1">
      <alignment horizontal="center" vertical="center" wrapText="1"/>
      <protection locked="0"/>
    </xf>
    <xf numFmtId="0" fontId="25" fillId="4" borderId="57" xfId="0" applyFont="1" applyFill="1" applyBorder="1" applyAlignment="1" applyProtection="1">
      <alignment horizontal="left" vertical="center" wrapText="1"/>
      <protection locked="0"/>
    </xf>
    <xf numFmtId="0" fontId="25" fillId="4" borderId="58" xfId="0" applyFont="1" applyFill="1" applyBorder="1" applyAlignment="1" applyProtection="1">
      <alignment horizontal="left" vertical="center" wrapText="1"/>
      <protection locked="0"/>
    </xf>
    <xf numFmtId="0" fontId="25" fillId="4" borderId="57" xfId="0" applyFont="1" applyFill="1" applyBorder="1" applyAlignment="1" applyProtection="1">
      <alignment vertical="center"/>
      <protection locked="0"/>
    </xf>
    <xf numFmtId="0" fontId="25" fillId="4" borderId="58" xfId="0" applyFont="1" applyFill="1" applyBorder="1" applyAlignment="1" applyProtection="1">
      <alignment vertical="center" wrapText="1"/>
      <protection locked="0"/>
    </xf>
    <xf numFmtId="165" fontId="25" fillId="4" borderId="72" xfId="0" applyNumberFormat="1" applyFont="1" applyFill="1" applyBorder="1" applyAlignment="1" applyProtection="1">
      <alignment vertical="center" wrapText="1"/>
      <protection locked="0"/>
    </xf>
    <xf numFmtId="0" fontId="25" fillId="4" borderId="73" xfId="0" applyFont="1" applyFill="1" applyBorder="1" applyAlignment="1" applyProtection="1">
      <alignment horizontal="center" vertical="center" wrapText="1"/>
      <protection locked="0"/>
    </xf>
    <xf numFmtId="0" fontId="25" fillId="4" borderId="74" xfId="0" applyFont="1" applyFill="1" applyBorder="1" applyAlignment="1" applyProtection="1">
      <alignment vertical="center"/>
      <protection locked="0"/>
    </xf>
    <xf numFmtId="0" fontId="25" fillId="4" borderId="32" xfId="0" applyFont="1" applyFill="1" applyBorder="1" applyAlignment="1" applyProtection="1">
      <alignment vertical="center" wrapText="1"/>
      <protection locked="0"/>
    </xf>
    <xf numFmtId="43" fontId="5" fillId="5" borderId="83" xfId="3" applyFont="1" applyFill="1" applyBorder="1" applyAlignment="1" applyProtection="1">
      <alignment horizontal="right" vertical="center"/>
      <protection locked="0"/>
    </xf>
    <xf numFmtId="43" fontId="5" fillId="0" borderId="101" xfId="3" applyFont="1" applyFill="1" applyBorder="1" applyAlignment="1" applyProtection="1">
      <alignment horizontal="center" vertical="center"/>
      <protection locked="0"/>
    </xf>
    <xf numFmtId="0" fontId="18" fillId="6" borderId="24" xfId="0" applyFont="1" applyFill="1" applyBorder="1" applyAlignment="1">
      <alignment horizontal="center" vertical="center"/>
    </xf>
    <xf numFmtId="0" fontId="7" fillId="0" borderId="47" xfId="0" applyFont="1" applyBorder="1" applyAlignment="1" applyProtection="1">
      <alignment horizontal="center" vertical="center" wrapText="1"/>
      <protection locked="0"/>
    </xf>
    <xf numFmtId="0" fontId="31" fillId="0" borderId="16" xfId="15" applyFont="1" applyBorder="1" applyAlignment="1" applyProtection="1">
      <alignment horizontal="center" vertical="center" wrapText="1"/>
      <protection locked="0"/>
    </xf>
    <xf numFmtId="0" fontId="31" fillId="0" borderId="16" xfId="15" applyFont="1" applyBorder="1" applyAlignment="1" applyProtection="1">
      <alignment horizontal="center" vertical="center"/>
      <protection locked="0"/>
    </xf>
    <xf numFmtId="0" fontId="31" fillId="0" borderId="94" xfId="15" applyFont="1" applyBorder="1" applyAlignment="1" applyProtection="1">
      <alignment horizontal="center" vertical="center" wrapText="1"/>
      <protection locked="0"/>
    </xf>
    <xf numFmtId="43" fontId="38" fillId="0" borderId="102" xfId="16" applyFont="1" applyFill="1" applyBorder="1" applyAlignment="1" applyProtection="1">
      <alignment horizontal="right" vertical="center"/>
      <protection locked="0"/>
    </xf>
    <xf numFmtId="0" fontId="7" fillId="0" borderId="103" xfId="15" applyFont="1" applyBorder="1" applyAlignment="1" applyProtection="1">
      <alignment horizontal="center" vertical="center" wrapText="1"/>
      <protection locked="0"/>
    </xf>
    <xf numFmtId="0" fontId="5" fillId="0" borderId="41" xfId="15" applyFont="1" applyBorder="1" applyAlignment="1" applyProtection="1">
      <alignment horizontal="center" vertical="center" wrapText="1"/>
      <protection locked="0"/>
    </xf>
    <xf numFmtId="43" fontId="5" fillId="0" borderId="42" xfId="16" applyFont="1" applyFill="1" applyBorder="1" applyAlignment="1" applyProtection="1">
      <alignment horizontal="right" vertical="center"/>
      <protection locked="0"/>
    </xf>
    <xf numFmtId="43" fontId="7" fillId="0" borderId="42" xfId="16" applyFont="1" applyFill="1" applyBorder="1" applyAlignment="1" applyProtection="1">
      <alignment horizontal="right" vertical="center"/>
      <protection locked="0"/>
    </xf>
    <xf numFmtId="168" fontId="38" fillId="0" borderId="42" xfId="16" applyNumberFormat="1" applyFont="1" applyFill="1" applyBorder="1" applyAlignment="1" applyProtection="1">
      <alignment horizontal="right" vertical="center"/>
      <protection locked="0"/>
    </xf>
    <xf numFmtId="43" fontId="38" fillId="0" borderId="42" xfId="16" applyFont="1" applyFill="1" applyBorder="1" applyAlignment="1" applyProtection="1">
      <alignment horizontal="right" vertical="center"/>
      <protection locked="0"/>
    </xf>
    <xf numFmtId="43" fontId="38" fillId="0" borderId="42" xfId="15" applyNumberFormat="1" applyFont="1" applyBorder="1"/>
    <xf numFmtId="43" fontId="5" fillId="0" borderId="104" xfId="16" applyFont="1" applyBorder="1" applyAlignment="1" applyProtection="1">
      <alignment vertical="center"/>
      <protection locked="0"/>
    </xf>
    <xf numFmtId="43" fontId="22" fillId="0" borderId="69" xfId="16" applyFont="1" applyBorder="1" applyAlignment="1" applyProtection="1">
      <alignment vertical="center"/>
      <protection locked="0"/>
    </xf>
    <xf numFmtId="0" fontId="5" fillId="0" borderId="41" xfId="15" applyFont="1" applyBorder="1" applyAlignment="1" applyProtection="1">
      <alignment horizontal="center" vertical="center"/>
      <protection locked="0"/>
    </xf>
    <xf numFmtId="43" fontId="22" fillId="0" borderId="42" xfId="16" applyFont="1" applyFill="1" applyBorder="1" applyAlignment="1" applyProtection="1">
      <alignment horizontal="right" vertical="center"/>
      <protection locked="0"/>
    </xf>
    <xf numFmtId="168" fontId="22" fillId="0" borderId="42" xfId="16" applyNumberFormat="1" applyFont="1" applyFill="1" applyBorder="1" applyAlignment="1" applyProtection="1">
      <alignment horizontal="right" vertical="center"/>
      <protection locked="0"/>
    </xf>
    <xf numFmtId="43" fontId="22" fillId="0" borderId="104" xfId="16" applyFont="1" applyBorder="1" applyAlignment="1" applyProtection="1">
      <alignment vertical="center"/>
      <protection locked="0"/>
    </xf>
    <xf numFmtId="2" fontId="38" fillId="0" borderId="34" xfId="15" applyNumberFormat="1" applyFont="1" applyBorder="1" applyAlignment="1">
      <alignment vertical="center"/>
    </xf>
    <xf numFmtId="43" fontId="5" fillId="5" borderId="105" xfId="3" applyFont="1" applyFill="1" applyBorder="1" applyAlignment="1" applyProtection="1">
      <alignment horizontal="right" vertical="center"/>
      <protection locked="0"/>
    </xf>
    <xf numFmtId="0" fontId="22" fillId="0" borderId="0" xfId="0" applyFont="1" applyAlignment="1">
      <alignment vertical="center"/>
    </xf>
    <xf numFmtId="0" fontId="5" fillId="7" borderId="0" xfId="0" applyFont="1" applyFill="1" applyAlignment="1">
      <alignment vertical="center"/>
    </xf>
    <xf numFmtId="4" fontId="6" fillId="0" borderId="35" xfId="0" applyNumberFormat="1" applyFont="1" applyBorder="1" applyAlignment="1">
      <alignment horizontal="center" vertical="center" wrapText="1"/>
    </xf>
    <xf numFmtId="0" fontId="5" fillId="0" borderId="0" xfId="0" applyFont="1" applyAlignment="1">
      <alignment vertical="center"/>
    </xf>
    <xf numFmtId="17" fontId="35" fillId="3" borderId="34" xfId="4" applyNumberFormat="1" applyFont="1" applyFill="1" applyBorder="1" applyAlignment="1" applyProtection="1">
      <alignment horizontal="center" vertical="center" wrapText="1"/>
      <protection locked="0"/>
    </xf>
    <xf numFmtId="0" fontId="5" fillId="0" borderId="0" xfId="21"/>
    <xf numFmtId="0" fontId="51" fillId="0" borderId="9" xfId="0" applyFont="1" applyBorder="1" applyAlignment="1">
      <alignment horizontal="center" vertical="center"/>
    </xf>
    <xf numFmtId="14" fontId="51" fillId="0" borderId="10" xfId="0" applyNumberFormat="1" applyFont="1" applyBorder="1" applyAlignment="1">
      <alignment horizontal="center" vertical="center"/>
    </xf>
    <xf numFmtId="0" fontId="46" fillId="0" borderId="11" xfId="0" applyFont="1" applyBorder="1" applyAlignment="1">
      <alignment vertical="center"/>
    </xf>
    <xf numFmtId="0" fontId="46" fillId="0" borderId="12" xfId="0" applyFont="1" applyBorder="1" applyAlignment="1">
      <alignment vertical="center"/>
    </xf>
    <xf numFmtId="0" fontId="46" fillId="0" borderId="0" xfId="0" applyFont="1" applyAlignment="1">
      <alignment vertical="center"/>
    </xf>
    <xf numFmtId="0" fontId="35" fillId="0" borderId="61" xfId="21" applyFont="1" applyBorder="1" applyAlignment="1">
      <alignment vertical="center"/>
    </xf>
    <xf numFmtId="0" fontId="35" fillId="0" borderId="16" xfId="21" applyFont="1" applyBorder="1" applyAlignment="1">
      <alignment vertical="center" wrapText="1"/>
    </xf>
    <xf numFmtId="0" fontId="35" fillId="0" borderId="16" xfId="21" applyFont="1" applyBorder="1" applyAlignment="1">
      <alignment horizontal="center" vertical="center"/>
    </xf>
    <xf numFmtId="14" fontId="35" fillId="0" borderId="76" xfId="21" applyNumberFormat="1" applyFont="1" applyBorder="1" applyAlignment="1">
      <alignment horizontal="center" vertical="center"/>
    </xf>
    <xf numFmtId="0" fontId="35" fillId="0" borderId="53" xfId="21" applyFont="1" applyBorder="1" applyAlignment="1">
      <alignment horizontal="right" vertical="center"/>
    </xf>
    <xf numFmtId="0" fontId="22" fillId="0" borderId="0" xfId="21" applyFont="1"/>
    <xf numFmtId="0" fontId="35" fillId="0" borderId="40" xfId="21" applyFont="1" applyBorder="1" applyAlignment="1">
      <alignment horizontal="centerContinuous" vertical="center"/>
    </xf>
    <xf numFmtId="4" fontId="35" fillId="3" borderId="9" xfId="21" applyNumberFormat="1" applyFont="1" applyFill="1" applyBorder="1" applyAlignment="1" applyProtection="1">
      <alignment horizontal="left" vertical="center" wrapText="1"/>
      <protection locked="0"/>
    </xf>
    <xf numFmtId="0" fontId="35" fillId="3" borderId="34" xfId="21" applyFont="1" applyFill="1" applyBorder="1" applyAlignment="1" applyProtection="1">
      <alignment horizontal="center" vertical="center"/>
      <protection locked="0"/>
    </xf>
    <xf numFmtId="17" fontId="35" fillId="3" borderId="34" xfId="21" applyNumberFormat="1" applyFont="1" applyFill="1" applyBorder="1" applyAlignment="1" applyProtection="1">
      <alignment horizontal="center" vertical="center"/>
      <protection locked="0"/>
    </xf>
    <xf numFmtId="14" fontId="35" fillId="0" borderId="33" xfId="21" applyNumberFormat="1" applyFont="1" applyBorder="1" applyAlignment="1">
      <alignment horizontal="center" vertical="center"/>
    </xf>
    <xf numFmtId="170" fontId="35" fillId="0" borderId="10" xfId="21" applyNumberFormat="1" applyFont="1" applyBorder="1" applyAlignment="1">
      <alignment vertical="center"/>
    </xf>
    <xf numFmtId="0" fontId="33" fillId="0" borderId="40" xfId="21" applyFont="1" applyBorder="1" applyAlignment="1">
      <alignment vertical="center"/>
    </xf>
    <xf numFmtId="0" fontId="33" fillId="0" borderId="34" xfId="21" applyFont="1" applyBorder="1" applyAlignment="1">
      <alignment vertical="center"/>
    </xf>
    <xf numFmtId="0" fontId="33" fillId="0" borderId="34" xfId="21" applyFont="1" applyBorder="1" applyAlignment="1">
      <alignment horizontal="center" vertical="center"/>
    </xf>
    <xf numFmtId="14" fontId="33" fillId="0" borderId="34" xfId="21" applyNumberFormat="1" applyFont="1" applyBorder="1" applyAlignment="1">
      <alignment horizontal="center" vertical="center"/>
    </xf>
    <xf numFmtId="0" fontId="33" fillId="0" borderId="69" xfId="21" applyFont="1" applyBorder="1" applyAlignment="1">
      <alignment horizontal="center" vertical="center"/>
    </xf>
    <xf numFmtId="0" fontId="33" fillId="3" borderId="49" xfId="21" applyFont="1" applyFill="1" applyBorder="1" applyAlignment="1" applyProtection="1">
      <alignment horizontal="left" vertical="center" wrapText="1"/>
      <protection locked="0"/>
    </xf>
    <xf numFmtId="0" fontId="33" fillId="3" borderId="18" xfId="21" applyFont="1" applyFill="1" applyBorder="1" applyAlignment="1" applyProtection="1">
      <alignment vertical="center" wrapText="1"/>
      <protection locked="0"/>
    </xf>
    <xf numFmtId="0" fontId="33" fillId="3" borderId="18" xfId="21" applyFont="1" applyFill="1" applyBorder="1" applyAlignment="1" applyProtection="1">
      <alignment horizontal="center" vertical="center" wrapText="1"/>
      <protection locked="0"/>
    </xf>
    <xf numFmtId="167" fontId="33" fillId="3" borderId="18" xfId="21" applyNumberFormat="1" applyFont="1" applyFill="1" applyBorder="1" applyAlignment="1" applyProtection="1">
      <alignment vertical="center" wrapText="1"/>
      <protection locked="0"/>
    </xf>
    <xf numFmtId="14" fontId="33" fillId="3" borderId="18" xfId="21" applyNumberFormat="1" applyFont="1" applyFill="1" applyBorder="1" applyAlignment="1" applyProtection="1">
      <alignment vertical="center" wrapText="1"/>
      <protection locked="0"/>
    </xf>
    <xf numFmtId="165" fontId="33" fillId="3" borderId="109" xfId="21" applyNumberFormat="1" applyFont="1" applyFill="1" applyBorder="1" applyAlignment="1" applyProtection="1">
      <alignment vertical="center"/>
      <protection locked="0"/>
    </xf>
    <xf numFmtId="0" fontId="33" fillId="3" borderId="63" xfId="21" applyFont="1" applyFill="1" applyBorder="1" applyAlignment="1" applyProtection="1">
      <alignment horizontal="left" vertical="center" wrapText="1"/>
      <protection locked="0"/>
    </xf>
    <xf numFmtId="0" fontId="33" fillId="3" borderId="62" xfId="21" applyFont="1" applyFill="1" applyBorder="1" applyAlignment="1" applyProtection="1">
      <alignment vertical="center" wrapText="1"/>
      <protection locked="0"/>
    </xf>
    <xf numFmtId="0" fontId="33" fillId="3" borderId="62" xfId="21" applyFont="1" applyFill="1" applyBorder="1" applyAlignment="1" applyProtection="1">
      <alignment horizontal="center" vertical="center" wrapText="1"/>
      <protection locked="0"/>
    </xf>
    <xf numFmtId="167" fontId="33" fillId="3" borderId="62" xfId="21" applyNumberFormat="1" applyFont="1" applyFill="1" applyBorder="1" applyAlignment="1" applyProtection="1">
      <alignment vertical="center" wrapText="1"/>
      <protection locked="0"/>
    </xf>
    <xf numFmtId="0" fontId="34" fillId="3" borderId="49" xfId="21" applyFont="1" applyFill="1" applyBorder="1" applyAlignment="1" applyProtection="1">
      <alignment horizontal="left" vertical="center" wrapText="1"/>
      <protection locked="0"/>
    </xf>
    <xf numFmtId="0" fontId="34" fillId="3" borderId="18" xfId="21" applyFont="1" applyFill="1" applyBorder="1" applyAlignment="1" applyProtection="1">
      <alignment vertical="center" wrapText="1"/>
      <protection locked="0"/>
    </xf>
    <xf numFmtId="0" fontId="34" fillId="3" borderId="18" xfId="21" applyFont="1" applyFill="1" applyBorder="1" applyAlignment="1" applyProtection="1">
      <alignment horizontal="center" vertical="center" wrapText="1"/>
      <protection locked="0"/>
    </xf>
    <xf numFmtId="167" fontId="34" fillId="3" borderId="18" xfId="21" applyNumberFormat="1" applyFont="1" applyFill="1" applyBorder="1" applyAlignment="1" applyProtection="1">
      <alignment vertical="center" wrapText="1"/>
      <protection locked="0"/>
    </xf>
    <xf numFmtId="14" fontId="34" fillId="3" borderId="18" xfId="21" applyNumberFormat="1" applyFont="1" applyFill="1" applyBorder="1" applyAlignment="1" applyProtection="1">
      <alignment vertical="center" wrapText="1"/>
      <protection locked="0"/>
    </xf>
    <xf numFmtId="165" fontId="34" fillId="3" borderId="109" xfId="21" applyNumberFormat="1" applyFont="1" applyFill="1" applyBorder="1" applyAlignment="1" applyProtection="1">
      <alignment vertical="center"/>
      <protection locked="0"/>
    </xf>
    <xf numFmtId="0" fontId="41" fillId="0" borderId="0" xfId="21" applyFont="1"/>
    <xf numFmtId="2" fontId="33" fillId="3" borderId="49" xfId="21" applyNumberFormat="1" applyFont="1" applyFill="1" applyBorder="1" applyAlignment="1" applyProtection="1">
      <alignment horizontal="left" vertical="center" wrapText="1"/>
      <protection locked="0"/>
    </xf>
    <xf numFmtId="0" fontId="7" fillId="0" borderId="6" xfId="0" applyFont="1" applyBorder="1" applyAlignment="1" applyProtection="1">
      <alignment horizontal="center" vertical="center" wrapText="1"/>
      <protection locked="0"/>
    </xf>
    <xf numFmtId="43" fontId="5" fillId="0" borderId="114" xfId="3" applyFont="1" applyFill="1" applyBorder="1" applyAlignment="1" applyProtection="1">
      <alignment horizontal="center" vertical="center"/>
      <protection locked="0"/>
    </xf>
    <xf numFmtId="43" fontId="5" fillId="0" borderId="115" xfId="3" applyFont="1" applyFill="1" applyBorder="1" applyAlignment="1" applyProtection="1">
      <alignment horizontal="center" vertical="center"/>
      <protection locked="0"/>
    </xf>
    <xf numFmtId="43" fontId="5" fillId="0" borderId="117" xfId="3" applyFont="1" applyFill="1" applyBorder="1" applyAlignment="1" applyProtection="1">
      <alignment horizontal="center" vertical="center"/>
      <protection locked="0"/>
    </xf>
    <xf numFmtId="43" fontId="5" fillId="0" borderId="118" xfId="3" applyFont="1" applyFill="1" applyBorder="1" applyAlignment="1" applyProtection="1">
      <alignment horizontal="center" vertical="center"/>
      <protection locked="0"/>
    </xf>
    <xf numFmtId="43" fontId="5" fillId="0" borderId="121" xfId="3" applyFont="1" applyFill="1" applyBorder="1" applyAlignment="1" applyProtection="1">
      <alignment horizontal="center" vertical="center"/>
      <protection locked="0"/>
    </xf>
    <xf numFmtId="43" fontId="5" fillId="0" borderId="122" xfId="3" applyFont="1" applyFill="1" applyBorder="1" applyAlignment="1" applyProtection="1">
      <alignment horizontal="center" vertical="center"/>
      <protection locked="0"/>
    </xf>
    <xf numFmtId="43" fontId="5" fillId="0" borderId="123" xfId="3" applyFont="1" applyFill="1" applyBorder="1" applyAlignment="1" applyProtection="1">
      <alignment horizontal="center" vertical="center"/>
      <protection locked="0"/>
    </xf>
    <xf numFmtId="43" fontId="5" fillId="0" borderId="124" xfId="3" applyFont="1" applyFill="1" applyBorder="1" applyAlignment="1" applyProtection="1">
      <alignment horizontal="center" vertical="center"/>
      <protection locked="0"/>
    </xf>
    <xf numFmtId="0" fontId="19" fillId="0" borderId="34" xfId="0" applyFont="1" applyBorder="1" applyAlignment="1">
      <alignment horizontal="left" vertical="center"/>
    </xf>
    <xf numFmtId="49" fontId="52" fillId="3" borderId="18" xfId="0" applyNumberFormat="1" applyFont="1" applyFill="1" applyBorder="1" applyAlignment="1" applyProtection="1">
      <alignment horizontal="left" vertical="center" wrapText="1"/>
      <protection locked="0"/>
    </xf>
    <xf numFmtId="4" fontId="52" fillId="3" borderId="18" xfId="0" applyNumberFormat="1" applyFont="1" applyFill="1" applyBorder="1" applyAlignment="1" applyProtection="1">
      <alignment vertical="center" wrapText="1"/>
      <protection locked="0"/>
    </xf>
    <xf numFmtId="0" fontId="52" fillId="3" borderId="18" xfId="0" applyFont="1" applyFill="1" applyBorder="1" applyAlignment="1" applyProtection="1">
      <alignment horizontal="center" vertical="center" wrapText="1"/>
      <protection locked="0"/>
    </xf>
    <xf numFmtId="167" fontId="52" fillId="3" borderId="18" xfId="0" applyNumberFormat="1" applyFont="1" applyFill="1" applyBorder="1" applyAlignment="1" applyProtection="1">
      <alignment vertical="center" wrapText="1"/>
      <protection locked="0"/>
    </xf>
    <xf numFmtId="165" fontId="52" fillId="0" borderId="19" xfId="0" quotePrefix="1" applyNumberFormat="1" applyFont="1" applyBorder="1" applyAlignment="1">
      <alignment vertical="center"/>
    </xf>
    <xf numFmtId="43" fontId="5" fillId="5" borderId="19" xfId="3" applyFont="1" applyFill="1" applyBorder="1" applyAlignment="1" applyProtection="1">
      <alignment horizontal="right" vertical="center"/>
      <protection locked="0"/>
    </xf>
    <xf numFmtId="43" fontId="5" fillId="0" borderId="125" xfId="3" applyFont="1" applyFill="1" applyBorder="1" applyAlignment="1" applyProtection="1">
      <alignment horizontal="right" vertical="center"/>
      <protection locked="0"/>
    </xf>
    <xf numFmtId="43" fontId="5" fillId="0" borderId="126" xfId="3" applyFont="1" applyFill="1" applyBorder="1" applyAlignment="1" applyProtection="1">
      <alignment horizontal="center" vertical="center"/>
      <protection locked="0"/>
    </xf>
    <xf numFmtId="43" fontId="5" fillId="0" borderId="129" xfId="3" applyFont="1" applyFill="1" applyBorder="1" applyAlignment="1" applyProtection="1">
      <alignment horizontal="center" vertical="center"/>
      <protection locked="0"/>
    </xf>
    <xf numFmtId="43" fontId="5" fillId="0" borderId="130" xfId="3" applyFont="1" applyFill="1" applyBorder="1" applyAlignment="1" applyProtection="1">
      <alignment horizontal="center" vertical="center"/>
      <protection locked="0"/>
    </xf>
    <xf numFmtId="43" fontId="5" fillId="5" borderId="128" xfId="3" applyFont="1" applyFill="1" applyBorder="1" applyAlignment="1" applyProtection="1">
      <alignment horizontal="right" vertical="center"/>
      <protection locked="0"/>
    </xf>
    <xf numFmtId="43" fontId="5" fillId="0" borderId="105" xfId="3" applyFont="1" applyFill="1" applyBorder="1" applyAlignment="1" applyProtection="1">
      <alignment horizontal="right" vertical="center"/>
      <protection locked="0"/>
    </xf>
    <xf numFmtId="43" fontId="22" fillId="0" borderId="58" xfId="3" applyFont="1" applyFill="1" applyBorder="1" applyAlignment="1" applyProtection="1">
      <alignment horizontal="center" vertical="center"/>
      <protection locked="0"/>
    </xf>
    <xf numFmtId="43" fontId="22" fillId="0" borderId="97" xfId="3" applyFont="1" applyFill="1" applyBorder="1" applyAlignment="1" applyProtection="1">
      <alignment horizontal="center" vertical="center"/>
      <protection locked="0"/>
    </xf>
    <xf numFmtId="43" fontId="1" fillId="0" borderId="0" xfId="15" applyNumberFormat="1"/>
    <xf numFmtId="43" fontId="36" fillId="0" borderId="0" xfId="6" applyNumberFormat="1" applyFont="1"/>
    <xf numFmtId="43" fontId="22" fillId="0" borderId="135" xfId="3" applyFont="1" applyFill="1" applyBorder="1" applyAlignment="1" applyProtection="1">
      <alignment horizontal="right" vertical="center"/>
      <protection locked="0"/>
    </xf>
    <xf numFmtId="43" fontId="22" fillId="0" borderId="32" xfId="3" applyFont="1" applyFill="1" applyBorder="1" applyAlignment="1" applyProtection="1">
      <alignment horizontal="center" vertical="center"/>
      <protection locked="0"/>
    </xf>
    <xf numFmtId="43" fontId="22" fillId="0" borderId="136" xfId="3" applyFont="1" applyFill="1" applyBorder="1" applyAlignment="1" applyProtection="1">
      <alignment horizontal="right" vertical="center"/>
      <protection locked="0"/>
    </xf>
    <xf numFmtId="43" fontId="22" fillId="0" borderId="107" xfId="3" applyFont="1" applyFill="1" applyBorder="1" applyAlignment="1" applyProtection="1">
      <alignment horizontal="center" vertical="center"/>
      <protection locked="0"/>
    </xf>
    <xf numFmtId="43" fontId="22" fillId="0" borderId="137" xfId="3" applyFont="1" applyFill="1" applyBorder="1" applyAlignment="1" applyProtection="1">
      <alignment horizontal="right" vertical="center"/>
      <protection locked="0"/>
    </xf>
    <xf numFmtId="43" fontId="22" fillId="0" borderId="118" xfId="3" applyFont="1" applyFill="1" applyBorder="1" applyAlignment="1" applyProtection="1">
      <alignment horizontal="center" vertical="center"/>
      <protection locked="0"/>
    </xf>
    <xf numFmtId="43" fontId="22" fillId="0" borderId="129" xfId="3" applyFont="1" applyFill="1" applyBorder="1" applyAlignment="1" applyProtection="1">
      <alignment horizontal="center" vertical="center"/>
      <protection locked="0"/>
    </xf>
    <xf numFmtId="43" fontId="22" fillId="0" borderId="114" xfId="3" applyFont="1" applyFill="1" applyBorder="1" applyAlignment="1" applyProtection="1">
      <alignment horizontal="center" vertical="center"/>
      <protection locked="0"/>
    </xf>
    <xf numFmtId="43" fontId="22" fillId="0" borderId="81" xfId="3" applyFont="1" applyFill="1" applyBorder="1" applyAlignment="1" applyProtection="1">
      <alignment horizontal="right" vertical="center"/>
      <protection locked="0"/>
    </xf>
    <xf numFmtId="43" fontId="22" fillId="0" borderId="130" xfId="3" applyFont="1" applyFill="1" applyBorder="1" applyAlignment="1" applyProtection="1">
      <alignment horizontal="center" vertical="center"/>
      <protection locked="0"/>
    </xf>
    <xf numFmtId="43" fontId="22" fillId="0" borderId="127" xfId="3" applyFont="1" applyFill="1" applyBorder="1" applyAlignment="1" applyProtection="1">
      <alignment horizontal="center" vertical="center"/>
      <protection locked="0"/>
    </xf>
    <xf numFmtId="43" fontId="22" fillId="0" borderId="124" xfId="3" applyFont="1" applyFill="1" applyBorder="1" applyAlignment="1" applyProtection="1">
      <alignment horizontal="center" vertical="center"/>
      <protection locked="0"/>
    </xf>
    <xf numFmtId="43" fontId="22" fillId="0" borderId="60" xfId="3" applyFont="1" applyFill="1" applyBorder="1" applyAlignment="1" applyProtection="1">
      <alignment horizontal="center" vertical="center"/>
      <protection locked="0"/>
    </xf>
    <xf numFmtId="43" fontId="22" fillId="0" borderId="128" xfId="3" applyFont="1" applyFill="1" applyBorder="1" applyAlignment="1" applyProtection="1">
      <alignment horizontal="center" vertical="center"/>
      <protection locked="0"/>
    </xf>
    <xf numFmtId="43" fontId="22" fillId="0" borderId="101" xfId="3" applyFont="1" applyFill="1" applyBorder="1" applyAlignment="1" applyProtection="1">
      <alignment horizontal="center" vertical="center"/>
      <protection locked="0"/>
    </xf>
    <xf numFmtId="43" fontId="22" fillId="0" borderId="115" xfId="3" applyFont="1" applyFill="1" applyBorder="1" applyAlignment="1" applyProtection="1">
      <alignment horizontal="center" vertical="center"/>
      <protection locked="0"/>
    </xf>
    <xf numFmtId="43" fontId="22" fillId="0" borderId="117" xfId="3" applyFont="1" applyFill="1" applyBorder="1" applyAlignment="1" applyProtection="1">
      <alignment horizontal="center" vertical="center"/>
      <protection locked="0"/>
    </xf>
    <xf numFmtId="43" fontId="22" fillId="0" borderId="126" xfId="3" applyFont="1" applyFill="1" applyBorder="1" applyAlignment="1" applyProtection="1">
      <alignment horizontal="center" vertical="center"/>
      <protection locked="0"/>
    </xf>
    <xf numFmtId="43" fontId="22" fillId="0" borderId="133" xfId="3" applyFont="1" applyFill="1" applyBorder="1" applyAlignment="1" applyProtection="1">
      <alignment vertical="center"/>
      <protection locked="0"/>
    </xf>
    <xf numFmtId="43" fontId="22" fillId="0" borderId="127" xfId="3" applyFont="1" applyFill="1" applyBorder="1" applyAlignment="1" applyProtection="1">
      <alignment vertical="center"/>
      <protection locked="0"/>
    </xf>
    <xf numFmtId="43" fontId="7" fillId="7" borderId="102" xfId="3" applyFont="1" applyFill="1" applyBorder="1" applyAlignment="1" applyProtection="1">
      <alignment horizontal="right" vertical="center"/>
      <protection locked="0"/>
    </xf>
    <xf numFmtId="43" fontId="5" fillId="0" borderId="60" xfId="3" applyFont="1" applyFill="1" applyBorder="1" applyAlignment="1" applyProtection="1">
      <alignment horizontal="right" vertical="center"/>
      <protection locked="0"/>
    </xf>
    <xf numFmtId="0" fontId="23" fillId="0" borderId="2" xfId="0" applyFont="1" applyBorder="1" applyAlignment="1">
      <alignment horizontal="center" vertical="center" wrapText="1"/>
    </xf>
    <xf numFmtId="0" fontId="54" fillId="0" borderId="40" xfId="21" applyFont="1" applyBorder="1" applyAlignment="1">
      <alignment horizontal="centerContinuous" vertical="center"/>
    </xf>
    <xf numFmtId="4" fontId="54" fillId="3" borderId="9" xfId="21" applyNumberFormat="1" applyFont="1" applyFill="1" applyBorder="1" applyAlignment="1" applyProtection="1">
      <alignment horizontal="left" vertical="center" wrapText="1"/>
      <protection locked="0"/>
    </xf>
    <xf numFmtId="0" fontId="54" fillId="3" borderId="34" xfId="21" applyFont="1" applyFill="1" applyBorder="1" applyAlignment="1" applyProtection="1">
      <alignment horizontal="center" vertical="center"/>
      <protection locked="0"/>
    </xf>
    <xf numFmtId="17" fontId="54" fillId="3" borderId="34" xfId="21" applyNumberFormat="1" applyFont="1" applyFill="1" applyBorder="1" applyAlignment="1" applyProtection="1">
      <alignment horizontal="center" vertical="center"/>
      <protection locked="0"/>
    </xf>
    <xf numFmtId="14" fontId="54" fillId="0" borderId="33" xfId="21" applyNumberFormat="1" applyFont="1" applyBorder="1" applyAlignment="1">
      <alignment horizontal="center" vertical="center"/>
    </xf>
    <xf numFmtId="170" fontId="54" fillId="0" borderId="10" xfId="21" applyNumberFormat="1" applyFont="1" applyBorder="1" applyAlignment="1">
      <alignment vertical="center"/>
    </xf>
    <xf numFmtId="2" fontId="6" fillId="0" borderId="2" xfId="5" applyNumberFormat="1" applyFont="1" applyFill="1" applyBorder="1" applyAlignment="1">
      <alignment horizontal="center" vertical="center" wrapText="1"/>
    </xf>
    <xf numFmtId="0" fontId="22" fillId="0" borderId="0" xfId="4" applyFont="1"/>
    <xf numFmtId="0" fontId="23" fillId="0" borderId="31" xfId="0" applyFont="1" applyBorder="1" applyAlignment="1">
      <alignment vertical="center"/>
    </xf>
    <xf numFmtId="0" fontId="23" fillId="0" borderId="32" xfId="0" applyFont="1" applyBorder="1" applyAlignment="1">
      <alignment vertical="center"/>
    </xf>
    <xf numFmtId="0" fontId="0" fillId="2" borderId="25" xfId="0" applyFill="1" applyBorder="1"/>
    <xf numFmtId="0" fontId="7" fillId="2" borderId="103" xfId="0" applyFont="1" applyFill="1" applyBorder="1" applyAlignment="1">
      <alignment horizontal="center" vertical="center"/>
    </xf>
    <xf numFmtId="10" fontId="14" fillId="2" borderId="141" xfId="0" applyNumberFormat="1" applyFont="1" applyFill="1" applyBorder="1" applyAlignment="1">
      <alignment vertical="top" wrapText="1"/>
    </xf>
    <xf numFmtId="10" fontId="14" fillId="2" borderId="80" xfId="0" applyNumberFormat="1" applyFont="1" applyFill="1" applyBorder="1" applyAlignment="1">
      <alignment vertical="top" wrapText="1"/>
    </xf>
    <xf numFmtId="4" fontId="14" fillId="2" borderId="109" xfId="0" applyNumberFormat="1" applyFont="1" applyFill="1" applyBorder="1" applyAlignment="1">
      <alignment vertical="top" wrapText="1"/>
    </xf>
    <xf numFmtId="10" fontId="17" fillId="2" borderId="142" xfId="0" applyNumberFormat="1" applyFont="1" applyFill="1" applyBorder="1" applyAlignment="1">
      <alignment vertical="top" wrapText="1"/>
    </xf>
    <xf numFmtId="0" fontId="0" fillId="2" borderId="75" xfId="0" applyFill="1" applyBorder="1" applyAlignment="1">
      <alignment vertical="center"/>
    </xf>
    <xf numFmtId="0" fontId="7" fillId="2" borderId="25" xfId="0" applyFont="1" applyFill="1" applyBorder="1" applyAlignment="1">
      <alignment wrapText="1"/>
    </xf>
    <xf numFmtId="0" fontId="7" fillId="5" borderId="25" xfId="0" applyFont="1" applyFill="1" applyBorder="1" applyAlignment="1">
      <alignment horizontal="center" wrapText="1"/>
    </xf>
    <xf numFmtId="0" fontId="6" fillId="5" borderId="25" xfId="0" applyFont="1" applyFill="1" applyBorder="1" applyAlignment="1">
      <alignment horizontal="center" vertical="center"/>
    </xf>
    <xf numFmtId="0" fontId="0" fillId="5" borderId="25" xfId="0" applyFill="1" applyBorder="1"/>
    <xf numFmtId="0" fontId="0" fillId="5" borderId="28" xfId="0" applyFill="1" applyBorder="1"/>
    <xf numFmtId="4" fontId="6" fillId="0" borderId="7" xfId="0" applyNumberFormat="1" applyFont="1" applyBorder="1" applyAlignment="1">
      <alignment horizontal="left" vertical="center" wrapText="1"/>
    </xf>
    <xf numFmtId="4" fontId="23" fillId="0" borderId="7" xfId="0" applyNumberFormat="1" applyFont="1" applyBorder="1" applyAlignment="1">
      <alignment horizontal="left" vertical="center" wrapText="1"/>
    </xf>
    <xf numFmtId="4" fontId="23" fillId="5" borderId="7" xfId="0" applyNumberFormat="1" applyFont="1" applyFill="1" applyBorder="1" applyAlignment="1">
      <alignment horizontal="left" vertical="center" wrapText="1"/>
    </xf>
    <xf numFmtId="4" fontId="6" fillId="5" borderId="7" xfId="0" applyNumberFormat="1" applyFont="1" applyFill="1" applyBorder="1" applyAlignment="1">
      <alignment horizontal="left" vertical="center" wrapText="1"/>
    </xf>
    <xf numFmtId="0" fontId="16" fillId="0" borderId="40" xfId="15" applyFont="1" applyBorder="1" applyAlignment="1" applyProtection="1">
      <alignment horizontal="center" vertical="center" wrapText="1"/>
      <protection locked="0"/>
    </xf>
    <xf numFmtId="43" fontId="38" fillId="0" borderId="69" xfId="15" applyNumberFormat="1" applyFont="1" applyBorder="1" applyAlignment="1">
      <alignment vertical="center"/>
    </xf>
    <xf numFmtId="0" fontId="5" fillId="0" borderId="40" xfId="15" applyFont="1" applyBorder="1" applyAlignment="1" applyProtection="1">
      <alignment horizontal="center" vertical="center" wrapText="1"/>
      <protection locked="0"/>
    </xf>
    <xf numFmtId="2" fontId="1" fillId="0" borderId="42" xfId="15" applyNumberFormat="1" applyBorder="1"/>
    <xf numFmtId="43" fontId="5" fillId="5" borderId="94" xfId="3" applyFont="1" applyFill="1" applyBorder="1" applyAlignment="1" applyProtection="1">
      <alignment horizontal="right" vertical="center"/>
      <protection locked="0"/>
    </xf>
    <xf numFmtId="43" fontId="5" fillId="5" borderId="136" xfId="3" applyFont="1" applyFill="1" applyBorder="1" applyAlignment="1" applyProtection="1">
      <alignment horizontal="right" vertical="center"/>
      <protection locked="0"/>
    </xf>
    <xf numFmtId="43" fontId="5" fillId="5" borderId="135" xfId="3" applyFont="1" applyFill="1" applyBorder="1" applyAlignment="1" applyProtection="1">
      <alignment horizontal="right" vertical="center"/>
      <protection locked="0"/>
    </xf>
    <xf numFmtId="43" fontId="5" fillId="5" borderId="120" xfId="3" applyFont="1" applyFill="1" applyBorder="1" applyAlignment="1" applyProtection="1">
      <alignment horizontal="right" vertical="center"/>
      <protection locked="0"/>
    </xf>
    <xf numFmtId="43" fontId="5" fillId="5" borderId="144" xfId="3" applyFont="1" applyFill="1" applyBorder="1" applyAlignment="1" applyProtection="1">
      <alignment horizontal="right" vertical="center"/>
      <protection locked="0"/>
    </xf>
    <xf numFmtId="43" fontId="5" fillId="5" borderId="142" xfId="3" applyFont="1" applyFill="1" applyBorder="1" applyAlignment="1" applyProtection="1">
      <alignment horizontal="right" vertical="center"/>
      <protection locked="0"/>
    </xf>
    <xf numFmtId="43" fontId="5" fillId="0" borderId="136" xfId="3" applyFont="1" applyFill="1" applyBorder="1" applyAlignment="1" applyProtection="1">
      <alignment horizontal="right" vertical="center"/>
      <protection locked="0"/>
    </xf>
    <xf numFmtId="43" fontId="5" fillId="0" borderId="138" xfId="3" applyFont="1" applyFill="1" applyBorder="1" applyAlignment="1" applyProtection="1">
      <alignment horizontal="right" vertical="center"/>
      <protection locked="0"/>
    </xf>
    <xf numFmtId="43" fontId="5" fillId="0" borderId="135" xfId="3" applyFont="1" applyFill="1" applyBorder="1" applyAlignment="1" applyProtection="1">
      <alignment horizontal="right" vertical="center"/>
      <protection locked="0"/>
    </xf>
    <xf numFmtId="43" fontId="5" fillId="0" borderId="120" xfId="3" applyFont="1" applyFill="1" applyBorder="1" applyAlignment="1" applyProtection="1">
      <alignment horizontal="right" vertical="center"/>
      <protection locked="0"/>
    </xf>
    <xf numFmtId="43" fontId="5" fillId="0" borderId="7" xfId="3" applyFont="1" applyFill="1" applyBorder="1" applyAlignment="1" applyProtection="1">
      <alignment horizontal="right" vertical="center"/>
      <protection locked="0"/>
    </xf>
    <xf numFmtId="0" fontId="23" fillId="0" borderId="145" xfId="0" applyFont="1" applyBorder="1" applyAlignment="1">
      <alignment horizontal="center" vertical="center" wrapText="1"/>
    </xf>
    <xf numFmtId="49" fontId="23" fillId="0" borderId="127" xfId="0" applyNumberFormat="1" applyFont="1" applyBorder="1" applyAlignment="1">
      <alignment horizontal="center" vertical="center" wrapText="1"/>
    </xf>
    <xf numFmtId="0" fontId="23" fillId="0" borderId="81" xfId="0" applyFont="1" applyBorder="1" applyAlignment="1">
      <alignment vertical="center"/>
    </xf>
    <xf numFmtId="0" fontId="23" fillId="0" borderId="146" xfId="0" applyFont="1" applyBorder="1" applyAlignment="1">
      <alignment vertical="center"/>
    </xf>
    <xf numFmtId="2" fontId="23" fillId="0" borderId="127" xfId="10" applyNumberFormat="1" applyFont="1" applyFill="1" applyBorder="1" applyAlignment="1">
      <alignment horizontal="center" vertical="center" wrapText="1"/>
    </xf>
    <xf numFmtId="4" fontId="23" fillId="0" borderId="79" xfId="0" applyNumberFormat="1" applyFont="1" applyBorder="1" applyAlignment="1">
      <alignment horizontal="center" vertical="center" wrapText="1"/>
    </xf>
    <xf numFmtId="165" fontId="23" fillId="0" borderId="127" xfId="0" applyNumberFormat="1" applyFont="1" applyBorder="1" applyAlignment="1">
      <alignment horizontal="center" vertical="center" wrapText="1"/>
    </xf>
    <xf numFmtId="165" fontId="23" fillId="0" borderId="136" xfId="0" applyNumberFormat="1" applyFont="1" applyBorder="1" applyAlignment="1">
      <alignment horizontal="center" vertical="center" wrapText="1"/>
    </xf>
    <xf numFmtId="0" fontId="26" fillId="10" borderId="147" xfId="0" applyFont="1" applyFill="1" applyBorder="1" applyAlignment="1" applyProtection="1">
      <alignment horizontal="center" vertical="center" wrapText="1"/>
      <protection locked="0"/>
    </xf>
    <xf numFmtId="0" fontId="26" fillId="10" borderId="148" xfId="0" applyFont="1" applyFill="1" applyBorder="1" applyAlignment="1" applyProtection="1">
      <alignment horizontal="center" vertical="center" wrapText="1"/>
      <protection locked="0"/>
    </xf>
    <xf numFmtId="0" fontId="26" fillId="10" borderId="148" xfId="0" applyFont="1" applyFill="1" applyBorder="1" applyAlignment="1" applyProtection="1">
      <alignment vertical="center" wrapText="1"/>
      <protection locked="0"/>
    </xf>
    <xf numFmtId="165" fontId="26" fillId="10" borderId="151" xfId="0" applyNumberFormat="1" applyFont="1" applyFill="1" applyBorder="1" applyAlignment="1" applyProtection="1">
      <alignment vertical="center" wrapText="1"/>
      <protection locked="0"/>
    </xf>
    <xf numFmtId="0" fontId="18" fillId="0" borderId="34" xfId="0" applyFont="1" applyBorder="1" applyAlignment="1">
      <alignment vertical="center"/>
    </xf>
    <xf numFmtId="0" fontId="55" fillId="0" borderId="34" xfId="0" applyFont="1" applyBorder="1" applyAlignment="1">
      <alignment horizontal="left" vertical="center"/>
    </xf>
    <xf numFmtId="0" fontId="55" fillId="0" borderId="34" xfId="0" applyFont="1" applyBorder="1" applyAlignment="1">
      <alignment vertical="center" wrapText="1"/>
    </xf>
    <xf numFmtId="0" fontId="55" fillId="0" borderId="34" xfId="0" applyFont="1" applyBorder="1" applyAlignment="1">
      <alignment horizontal="center" vertical="center"/>
    </xf>
    <xf numFmtId="0" fontId="55" fillId="0" borderId="13" xfId="0" applyFont="1" applyBorder="1" applyAlignment="1">
      <alignment horizontal="center" vertical="center"/>
    </xf>
    <xf numFmtId="0" fontId="55" fillId="0" borderId="13" xfId="0" applyFont="1" applyBorder="1" applyAlignment="1">
      <alignment horizontal="right" vertical="center"/>
    </xf>
    <xf numFmtId="0" fontId="16" fillId="0" borderId="0" xfId="0" applyFont="1"/>
    <xf numFmtId="0" fontId="19" fillId="0" borderId="34" xfId="0" applyFont="1" applyBorder="1" applyAlignment="1">
      <alignment horizontal="centerContinuous" vertical="center" wrapText="1"/>
    </xf>
    <xf numFmtId="0" fontId="18" fillId="3" borderId="0" xfId="0" applyFont="1" applyFill="1" applyAlignment="1" applyProtection="1">
      <alignment horizontal="left" vertical="center" wrapText="1"/>
      <protection locked="0"/>
    </xf>
    <xf numFmtId="17" fontId="18" fillId="3" borderId="34" xfId="0" applyNumberFormat="1" applyFont="1" applyFill="1" applyBorder="1" applyAlignment="1" applyProtection="1">
      <alignment horizontal="center" vertical="center"/>
      <protection locked="0"/>
    </xf>
    <xf numFmtId="0" fontId="19" fillId="0" borderId="34" xfId="0" applyFont="1" applyBorder="1" applyAlignment="1">
      <alignment vertical="center"/>
    </xf>
    <xf numFmtId="0" fontId="19" fillId="0" borderId="34" xfId="0" applyFont="1" applyBorder="1" applyAlignment="1">
      <alignment horizontal="center" vertical="center"/>
    </xf>
    <xf numFmtId="165" fontId="33" fillId="3" borderId="18" xfId="0" applyNumberFormat="1" applyFont="1" applyFill="1" applyBorder="1" applyAlignment="1" applyProtection="1">
      <alignment vertical="center" wrapText="1"/>
      <protection locked="0"/>
    </xf>
    <xf numFmtId="165" fontId="33" fillId="0" borderId="19" xfId="0" applyNumberFormat="1" applyFont="1" applyBorder="1" applyAlignment="1">
      <alignment vertical="center"/>
    </xf>
    <xf numFmtId="0" fontId="19" fillId="3" borderId="18" xfId="0" applyFont="1" applyFill="1" applyBorder="1" applyAlignment="1" applyProtection="1">
      <alignment horizontal="center" vertical="center" wrapText="1"/>
      <protection locked="0"/>
    </xf>
    <xf numFmtId="0" fontId="19" fillId="3" borderId="18" xfId="0" applyFont="1" applyFill="1" applyBorder="1" applyAlignment="1" applyProtection="1">
      <alignment horizontal="left" vertical="center" wrapText="1"/>
      <protection locked="0"/>
    </xf>
    <xf numFmtId="0" fontId="19" fillId="3" borderId="18" xfId="0" applyFont="1" applyFill="1" applyBorder="1" applyAlignment="1" applyProtection="1">
      <alignment vertical="center" wrapText="1"/>
      <protection locked="0"/>
    </xf>
    <xf numFmtId="167" fontId="19" fillId="3" borderId="18" xfId="0" applyNumberFormat="1" applyFont="1" applyFill="1" applyBorder="1" applyAlignment="1" applyProtection="1">
      <alignment vertical="center" wrapText="1"/>
      <protection locked="0"/>
    </xf>
    <xf numFmtId="0" fontId="55" fillId="0" borderId="34" xfId="0" applyFont="1" applyBorder="1" applyAlignment="1">
      <alignment vertical="center"/>
    </xf>
    <xf numFmtId="165" fontId="33" fillId="0" borderId="19" xfId="0" quotePrefix="1" applyNumberFormat="1" applyFont="1" applyBorder="1" applyAlignment="1">
      <alignment vertical="center"/>
    </xf>
    <xf numFmtId="14" fontId="18" fillId="0" borderId="33" xfId="0" applyNumberFormat="1" applyFont="1" applyBorder="1" applyAlignment="1">
      <alignment horizontal="center" vertical="center"/>
    </xf>
    <xf numFmtId="14" fontId="19" fillId="0" borderId="34" xfId="0" applyNumberFormat="1" applyFont="1" applyBorder="1" applyAlignment="1">
      <alignment horizontal="center" vertical="center"/>
    </xf>
    <xf numFmtId="0" fontId="52" fillId="3" borderId="18" xfId="0" applyFont="1" applyFill="1" applyBorder="1" applyAlignment="1" applyProtection="1">
      <alignment vertical="center" wrapText="1"/>
      <protection locked="0"/>
    </xf>
    <xf numFmtId="14" fontId="52" fillId="3" borderId="18" xfId="0" applyNumberFormat="1" applyFont="1" applyFill="1" applyBorder="1" applyAlignment="1" applyProtection="1">
      <alignment vertical="center" wrapText="1"/>
      <protection locked="0"/>
    </xf>
    <xf numFmtId="0" fontId="18" fillId="0" borderId="61" xfId="2" applyNumberFormat="1" applyFont="1" applyBorder="1" applyAlignment="1">
      <alignment horizontal="center" vertical="center"/>
    </xf>
    <xf numFmtId="0" fontId="18" fillId="0" borderId="16" xfId="0" applyFont="1" applyBorder="1" applyAlignment="1">
      <alignment vertical="center" wrapText="1"/>
    </xf>
    <xf numFmtId="0" fontId="18" fillId="0" borderId="16" xfId="0" applyFont="1" applyBorder="1" applyAlignment="1">
      <alignment horizontal="center" vertical="center"/>
    </xf>
    <xf numFmtId="14" fontId="18" fillId="0" borderId="76" xfId="0" applyNumberFormat="1" applyFont="1" applyBorder="1" applyAlignment="1">
      <alignment horizontal="center" vertical="center"/>
    </xf>
    <xf numFmtId="0" fontId="18" fillId="0" borderId="53" xfId="0" applyFont="1" applyBorder="1" applyAlignment="1">
      <alignment horizontal="right" vertical="center"/>
    </xf>
    <xf numFmtId="0" fontId="18" fillId="0" borderId="40" xfId="0" applyFont="1" applyBorder="1" applyAlignment="1">
      <alignment horizontal="centerContinuous" vertical="center"/>
    </xf>
    <xf numFmtId="0" fontId="19" fillId="0" borderId="40" xfId="0" applyFont="1" applyBorder="1" applyAlignment="1">
      <alignment vertical="center"/>
    </xf>
    <xf numFmtId="0" fontId="19" fillId="0" borderId="69" xfId="0" applyFont="1" applyBorder="1" applyAlignment="1">
      <alignment horizontal="center" vertical="center"/>
    </xf>
    <xf numFmtId="0" fontId="52" fillId="3" borderId="49" xfId="0" applyFont="1" applyFill="1" applyBorder="1" applyAlignment="1" applyProtection="1">
      <alignment horizontal="left" vertical="center" wrapText="1"/>
      <protection locked="0"/>
    </xf>
    <xf numFmtId="165" fontId="52" fillId="3" borderId="109" xfId="0" applyNumberFormat="1" applyFont="1" applyFill="1" applyBorder="1" applyAlignment="1" applyProtection="1">
      <alignment vertical="center"/>
      <protection locked="0"/>
    </xf>
    <xf numFmtId="0" fontId="26" fillId="10" borderId="1" xfId="4" applyFont="1" applyFill="1" applyBorder="1" applyAlignment="1" applyProtection="1">
      <alignment horizontal="center" vertical="center" wrapText="1"/>
      <protection locked="0"/>
    </xf>
    <xf numFmtId="0" fontId="26" fillId="10" borderId="2" xfId="4" applyFont="1" applyFill="1" applyBorder="1" applyAlignment="1" applyProtection="1">
      <alignment vertical="center" wrapText="1"/>
      <protection locked="0"/>
    </xf>
    <xf numFmtId="0" fontId="26" fillId="10" borderId="7" xfId="4" applyFont="1" applyFill="1" applyBorder="1" applyAlignment="1" applyProtection="1">
      <alignment horizontal="left" vertical="center" wrapText="1"/>
      <protection locked="0"/>
    </xf>
    <xf numFmtId="0" fontId="5" fillId="10" borderId="0" xfId="4" applyFill="1"/>
    <xf numFmtId="17" fontId="54" fillId="3" borderId="34" xfId="0" applyNumberFormat="1" applyFont="1" applyFill="1" applyBorder="1" applyAlignment="1" applyProtection="1">
      <alignment horizontal="center" vertical="center"/>
      <protection locked="0"/>
    </xf>
    <xf numFmtId="0" fontId="18" fillId="0" borderId="34" xfId="0" applyFont="1" applyBorder="1" applyAlignment="1">
      <alignment vertical="center" wrapText="1"/>
    </xf>
    <xf numFmtId="0" fontId="18" fillId="0" borderId="34" xfId="0" applyFont="1" applyBorder="1" applyAlignment="1">
      <alignment horizontal="center" vertical="center"/>
    </xf>
    <xf numFmtId="14" fontId="35" fillId="0" borderId="33" xfId="0" applyNumberFormat="1" applyFont="1" applyBorder="1" applyAlignment="1">
      <alignment horizontal="center" vertical="center"/>
    </xf>
    <xf numFmtId="14" fontId="52" fillId="3" borderId="18" xfId="0" applyNumberFormat="1" applyFont="1" applyFill="1" applyBorder="1" applyAlignment="1" applyProtection="1">
      <alignment horizontal="right" vertical="center" wrapText="1"/>
      <protection locked="0"/>
    </xf>
    <xf numFmtId="0" fontId="41" fillId="0" borderId="0" xfId="0" applyFont="1"/>
    <xf numFmtId="0" fontId="56" fillId="0" borderId="0" xfId="0" applyFont="1" applyAlignment="1">
      <alignment horizontal="center" vertical="center"/>
    </xf>
    <xf numFmtId="0" fontId="5" fillId="10" borderId="9" xfId="0" applyFont="1" applyFill="1" applyBorder="1" applyAlignment="1">
      <alignment vertical="center" wrapText="1"/>
    </xf>
    <xf numFmtId="0" fontId="5" fillId="10" borderId="10" xfId="0" applyFont="1" applyFill="1" applyBorder="1" applyAlignment="1">
      <alignment vertical="center" wrapText="1"/>
    </xf>
    <xf numFmtId="0" fontId="7" fillId="10" borderId="69" xfId="0" applyFont="1" applyFill="1" applyBorder="1" applyAlignment="1">
      <alignment horizontal="left" vertical="center" wrapText="1"/>
    </xf>
    <xf numFmtId="166" fontId="17" fillId="2" borderId="143" xfId="0" applyNumberFormat="1" applyFont="1" applyFill="1" applyBorder="1" applyAlignment="1">
      <alignment vertical="top" wrapText="1"/>
    </xf>
    <xf numFmtId="0" fontId="7" fillId="2" borderId="0" xfId="0" applyFont="1" applyFill="1" applyAlignment="1">
      <alignment wrapText="1"/>
    </xf>
    <xf numFmtId="0" fontId="7" fillId="5" borderId="0" xfId="0" applyFont="1" applyFill="1" applyAlignment="1">
      <alignment wrapText="1"/>
    </xf>
    <xf numFmtId="0" fontId="7" fillId="5" borderId="0" xfId="0" applyFont="1" applyFill="1" applyAlignment="1">
      <alignment horizontal="center" wrapText="1"/>
    </xf>
    <xf numFmtId="0" fontId="0" fillId="5" borderId="0" xfId="0" applyFill="1" applyAlignment="1">
      <alignment wrapText="1"/>
    </xf>
    <xf numFmtId="0" fontId="8" fillId="5" borderId="0" xfId="0" applyFont="1" applyFill="1" applyAlignment="1">
      <alignment horizontal="center" vertical="center"/>
    </xf>
    <xf numFmtId="0" fontId="18" fillId="3" borderId="0" xfId="0" applyFont="1" applyFill="1" applyAlignment="1" applyProtection="1">
      <alignment vertical="center" wrapText="1"/>
      <protection locked="0"/>
    </xf>
    <xf numFmtId="0" fontId="18" fillId="0" borderId="40" xfId="2" applyNumberFormat="1" applyFont="1" applyBorder="1" applyAlignment="1">
      <alignment horizontal="center" vertical="center"/>
    </xf>
    <xf numFmtId="0" fontId="18" fillId="0" borderId="10" xfId="0" applyFont="1" applyBorder="1" applyAlignment="1">
      <alignment horizontal="right" vertical="center"/>
    </xf>
    <xf numFmtId="0" fontId="35" fillId="0" borderId="40" xfId="0" applyFont="1" applyBorder="1" applyAlignment="1">
      <alignment horizontal="centerContinuous" vertical="center"/>
    </xf>
    <xf numFmtId="0" fontId="35" fillId="3" borderId="0" xfId="0" applyFont="1" applyFill="1" applyAlignment="1" applyProtection="1">
      <alignment vertical="center" wrapText="1"/>
      <protection locked="0"/>
    </xf>
    <xf numFmtId="43" fontId="5" fillId="0" borderId="82" xfId="3" applyFont="1" applyFill="1" applyBorder="1" applyAlignment="1" applyProtection="1">
      <alignment horizontal="center" vertical="center"/>
      <protection locked="0"/>
    </xf>
    <xf numFmtId="43" fontId="5" fillId="0" borderId="84" xfId="3" applyFont="1" applyFill="1" applyBorder="1" applyAlignment="1" applyProtection="1">
      <alignment horizontal="center" vertical="center"/>
      <protection locked="0"/>
    </xf>
    <xf numFmtId="43" fontId="5" fillId="0" borderId="90" xfId="3" applyFont="1" applyFill="1" applyBorder="1" applyAlignment="1" applyProtection="1">
      <alignment horizontal="center" vertical="center"/>
      <protection locked="0"/>
    </xf>
    <xf numFmtId="43" fontId="21" fillId="5" borderId="75" xfId="15" applyNumberFormat="1" applyFont="1" applyFill="1" applyBorder="1" applyAlignment="1">
      <alignment horizontal="center"/>
    </xf>
    <xf numFmtId="43" fontId="21" fillId="5" borderId="28" xfId="15" applyNumberFormat="1" applyFont="1" applyFill="1" applyBorder="1" applyAlignment="1">
      <alignment horizontal="center"/>
    </xf>
    <xf numFmtId="43" fontId="5" fillId="5" borderId="153" xfId="3" applyFont="1" applyFill="1" applyBorder="1" applyAlignment="1" applyProtection="1">
      <alignment horizontal="right" vertical="center"/>
      <protection locked="0"/>
    </xf>
    <xf numFmtId="43" fontId="22" fillId="0" borderId="154" xfId="3" applyFont="1" applyFill="1" applyBorder="1" applyAlignment="1" applyProtection="1">
      <alignment horizontal="center" vertical="center"/>
      <protection locked="0"/>
    </xf>
    <xf numFmtId="43" fontId="22" fillId="0" borderId="155" xfId="3" applyFont="1" applyFill="1" applyBorder="1" applyAlignment="1" applyProtection="1">
      <alignment horizontal="center" vertical="center"/>
      <protection locked="0"/>
    </xf>
    <xf numFmtId="0" fontId="23" fillId="0" borderId="31" xfId="0" applyFont="1" applyBorder="1" applyAlignment="1">
      <alignment horizontal="left" vertical="center" wrapText="1"/>
    </xf>
    <xf numFmtId="0" fontId="23" fillId="0" borderId="32" xfId="0" applyFont="1" applyBorder="1" applyAlignment="1">
      <alignment horizontal="left" vertical="center" wrapText="1"/>
    </xf>
    <xf numFmtId="8" fontId="48" fillId="0" borderId="23" xfId="0" applyNumberFormat="1" applyFont="1" applyBorder="1" applyAlignment="1">
      <alignment horizontal="center" vertical="center" wrapText="1"/>
    </xf>
    <xf numFmtId="8" fontId="48" fillId="0" borderId="0" xfId="0" applyNumberFormat="1" applyFont="1" applyAlignment="1">
      <alignment horizontal="center"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0" xfId="0" applyFont="1" applyAlignment="1">
      <alignment horizontal="center" vertical="center"/>
    </xf>
    <xf numFmtId="0" fontId="0" fillId="0" borderId="0" xfId="0" applyAlignment="1">
      <alignment horizontal="center" vertical="center"/>
    </xf>
    <xf numFmtId="0" fontId="0" fillId="0" borderId="24" xfId="0" applyBorder="1" applyAlignment="1">
      <alignment horizontal="center" vertical="center"/>
    </xf>
    <xf numFmtId="0" fontId="10" fillId="0" borderId="23" xfId="0" applyFont="1" applyBorder="1" applyAlignment="1">
      <alignment horizontal="center" vertical="center" wrapText="1"/>
    </xf>
    <xf numFmtId="0" fontId="10" fillId="0" borderId="0" xfId="0" applyFont="1" applyAlignment="1">
      <alignment horizontal="center" vertical="center" wrapText="1"/>
    </xf>
    <xf numFmtId="0" fontId="10" fillId="0" borderId="2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7" fillId="4" borderId="47" xfId="0" applyFont="1" applyFill="1" applyBorder="1" applyAlignment="1">
      <alignment horizontal="center" vertical="center"/>
    </xf>
    <xf numFmtId="0" fontId="7" fillId="4" borderId="48" xfId="0" applyFont="1" applyFill="1" applyBorder="1" applyAlignment="1">
      <alignment horizontal="center" vertical="center"/>
    </xf>
    <xf numFmtId="0" fontId="27" fillId="0" borderId="21" xfId="0" applyFont="1" applyBorder="1" applyAlignment="1">
      <alignment horizontal="center" vertical="distributed"/>
    </xf>
    <xf numFmtId="0" fontId="27" fillId="0" borderId="22" xfId="0" applyFont="1" applyBorder="1" applyAlignment="1">
      <alignment horizontal="center" vertical="distributed"/>
    </xf>
    <xf numFmtId="0" fontId="27" fillId="0" borderId="29" xfId="0" applyFont="1" applyBorder="1" applyAlignment="1">
      <alignment horizontal="center" vertical="distributed"/>
    </xf>
    <xf numFmtId="0" fontId="25" fillId="0" borderId="33" xfId="0" applyFont="1" applyBorder="1" applyAlignment="1">
      <alignment horizontal="center" vertical="distributed"/>
    </xf>
    <xf numFmtId="0" fontId="25" fillId="0" borderId="10" xfId="0" applyFont="1" applyBorder="1" applyAlignment="1">
      <alignment horizontal="center" vertical="distributed"/>
    </xf>
    <xf numFmtId="0" fontId="26" fillId="5" borderId="39" xfId="0" applyFont="1" applyFill="1" applyBorder="1" applyAlignment="1">
      <alignment horizontal="left" vertical="distributed"/>
    </xf>
    <xf numFmtId="0" fontId="26" fillId="5" borderId="9" xfId="0" applyFont="1" applyFill="1" applyBorder="1" applyAlignment="1">
      <alignment horizontal="left" vertical="distributed"/>
    </xf>
    <xf numFmtId="0" fontId="26" fillId="5" borderId="13" xfId="0" applyFont="1" applyFill="1" applyBorder="1" applyAlignment="1">
      <alignment horizontal="left" vertical="distributed"/>
    </xf>
    <xf numFmtId="0" fontId="25" fillId="0" borderId="33" xfId="0" applyFont="1" applyBorder="1" applyAlignment="1">
      <alignment horizontal="left" vertical="distributed"/>
    </xf>
    <xf numFmtId="0" fontId="25" fillId="0" borderId="9" xfId="0" applyFont="1" applyBorder="1" applyAlignment="1">
      <alignment horizontal="left" vertical="distributed"/>
    </xf>
    <xf numFmtId="0" fontId="25" fillId="0" borderId="10" xfId="0" applyFont="1" applyBorder="1" applyAlignment="1">
      <alignment horizontal="left" vertical="distributed"/>
    </xf>
    <xf numFmtId="0" fontId="25" fillId="0" borderId="39" xfId="0" applyFont="1" applyBorder="1" applyAlignment="1">
      <alignment horizontal="left" vertical="distributed"/>
    </xf>
    <xf numFmtId="0" fontId="25" fillId="0" borderId="13" xfId="0" applyFont="1" applyBorder="1" applyAlignment="1">
      <alignment horizontal="left" vertical="distributed"/>
    </xf>
    <xf numFmtId="0" fontId="26" fillId="0" borderId="39" xfId="0" applyFont="1" applyBorder="1" applyAlignment="1">
      <alignment horizontal="left" vertical="distributed"/>
    </xf>
    <xf numFmtId="0" fontId="26" fillId="0" borderId="9" xfId="0" applyFont="1" applyBorder="1" applyAlignment="1">
      <alignment horizontal="left" vertical="distributed"/>
    </xf>
    <xf numFmtId="0" fontId="26" fillId="0" borderId="13" xfId="0" applyFont="1" applyBorder="1" applyAlignment="1">
      <alignment horizontal="left" vertical="distributed"/>
    </xf>
    <xf numFmtId="0" fontId="25" fillId="5" borderId="33" xfId="0" applyFont="1" applyFill="1" applyBorder="1" applyAlignment="1">
      <alignment horizontal="left" vertical="distributed"/>
    </xf>
    <xf numFmtId="0" fontId="25" fillId="5" borderId="13" xfId="0" applyFont="1" applyFill="1" applyBorder="1" applyAlignment="1">
      <alignment horizontal="left" vertical="distributed"/>
    </xf>
    <xf numFmtId="165" fontId="25" fillId="0" borderId="45" xfId="0" applyNumberFormat="1" applyFont="1" applyBorder="1" applyAlignment="1">
      <alignment horizontal="center" vertical="distributed"/>
    </xf>
    <xf numFmtId="165" fontId="25" fillId="0" borderId="46" xfId="0" applyNumberFormat="1" applyFont="1" applyBorder="1" applyAlignment="1">
      <alignment horizontal="center" vertical="distributed"/>
    </xf>
    <xf numFmtId="10" fontId="26" fillId="0" borderId="64" xfId="1" applyNumberFormat="1" applyFont="1" applyFill="1" applyBorder="1" applyAlignment="1">
      <alignment horizontal="center" vertical="distributed"/>
    </xf>
    <xf numFmtId="10" fontId="26" fillId="0" borderId="28" xfId="1" applyNumberFormat="1" applyFont="1" applyFill="1" applyBorder="1" applyAlignment="1">
      <alignment horizontal="center" vertical="distributed"/>
    </xf>
    <xf numFmtId="0" fontId="26" fillId="4" borderId="59" xfId="0" applyFont="1" applyFill="1" applyBorder="1" applyAlignment="1" applyProtection="1">
      <alignment horizontal="left" vertical="center" wrapText="1"/>
      <protection locked="0"/>
    </xf>
    <xf numFmtId="0" fontId="26" fillId="4" borderId="60" xfId="0" applyFont="1" applyFill="1" applyBorder="1" applyAlignment="1" applyProtection="1">
      <alignment horizontal="left" vertical="center" wrapText="1"/>
      <protection locked="0"/>
    </xf>
    <xf numFmtId="0" fontId="25" fillId="0" borderId="43" xfId="0" applyFont="1" applyBorder="1" applyAlignment="1">
      <alignment horizontal="center" vertical="distributed"/>
    </xf>
    <xf numFmtId="0" fontId="25" fillId="0" borderId="44" xfId="0" applyFont="1" applyBorder="1" applyAlignment="1">
      <alignment horizontal="center" vertical="distributed"/>
    </xf>
    <xf numFmtId="0" fontId="7" fillId="0" borderId="23" xfId="0" applyFont="1" applyBorder="1" applyAlignment="1">
      <alignment horizontal="center" vertical="center" wrapText="1"/>
    </xf>
    <xf numFmtId="0" fontId="7" fillId="0" borderId="0" xfId="0" applyFont="1" applyAlignment="1">
      <alignment horizontal="center" vertical="center" wrapText="1"/>
    </xf>
    <xf numFmtId="0" fontId="7" fillId="0" borderId="25" xfId="0" applyFont="1" applyBorder="1" applyAlignment="1">
      <alignment horizontal="center" vertical="center" wrapText="1"/>
    </xf>
    <xf numFmtId="0" fontId="25" fillId="0" borderId="41" xfId="0" applyFont="1" applyBorder="1" applyAlignment="1">
      <alignment horizontal="left" vertical="distributed"/>
    </xf>
    <xf numFmtId="0" fontId="25" fillId="0" borderId="42" xfId="0" applyFont="1" applyBorder="1" applyAlignment="1">
      <alignment horizontal="left" vertical="distributed"/>
    </xf>
    <xf numFmtId="0" fontId="26" fillId="0" borderId="40" xfId="0" applyFont="1" applyBorder="1" applyAlignment="1">
      <alignment horizontal="left" vertical="distributed"/>
    </xf>
    <xf numFmtId="0" fontId="26" fillId="0" borderId="34" xfId="0" applyFont="1" applyBorder="1" applyAlignment="1">
      <alignment horizontal="left" vertical="distributed"/>
    </xf>
    <xf numFmtId="0" fontId="25" fillId="0" borderId="45" xfId="0" applyFont="1" applyBorder="1" applyAlignment="1">
      <alignment horizontal="center" vertical="distributed"/>
    </xf>
    <xf numFmtId="0" fontId="25" fillId="0" borderId="46" xfId="0" applyFont="1" applyBorder="1" applyAlignment="1">
      <alignment horizontal="center" vertical="distributed"/>
    </xf>
    <xf numFmtId="0" fontId="26" fillId="10" borderId="149" xfId="0" applyFont="1" applyFill="1" applyBorder="1" applyAlignment="1" applyProtection="1">
      <alignment horizontal="left" vertical="center" wrapText="1"/>
      <protection locked="0"/>
    </xf>
    <xf numFmtId="0" fontId="26" fillId="10" borderId="150" xfId="0" applyFont="1" applyFill="1" applyBorder="1" applyAlignment="1" applyProtection="1">
      <alignment horizontal="left" vertical="center" wrapText="1"/>
      <protection locked="0"/>
    </xf>
    <xf numFmtId="0" fontId="0" fillId="2" borderId="49" xfId="0" applyFill="1" applyBorder="1" applyAlignment="1">
      <alignment horizontal="center" vertical="center" wrapText="1"/>
    </xf>
    <xf numFmtId="0" fontId="0" fillId="2" borderId="63" xfId="0" applyFill="1" applyBorder="1" applyAlignment="1">
      <alignment horizontal="center" vertical="center" wrapText="1"/>
    </xf>
    <xf numFmtId="0" fontId="5" fillId="2" borderId="18" xfId="0" applyFont="1" applyFill="1" applyBorder="1" applyAlignment="1">
      <alignment vertical="center" wrapText="1"/>
    </xf>
    <xf numFmtId="0" fontId="0" fillId="2" borderId="18" xfId="0" applyFill="1" applyBorder="1" applyAlignment="1">
      <alignment vertical="center" wrapText="1"/>
    </xf>
    <xf numFmtId="0" fontId="7" fillId="10" borderId="33"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7" fillId="10" borderId="39" xfId="0" applyFont="1" applyFill="1" applyBorder="1" applyAlignment="1">
      <alignment horizontal="left" vertical="center" wrapText="1"/>
    </xf>
    <xf numFmtId="0" fontId="8" fillId="5" borderId="5" xfId="0" applyFont="1" applyFill="1" applyBorder="1" applyAlignment="1">
      <alignment horizontal="center" vertical="center"/>
    </xf>
    <xf numFmtId="0" fontId="7" fillId="2" borderId="50"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4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0" xfId="0" applyFont="1" applyFill="1" applyAlignment="1">
      <alignment horizontal="center" vertical="center" wrapText="1"/>
    </xf>
    <xf numFmtId="0" fontId="7" fillId="5" borderId="24" xfId="0" applyFont="1" applyFill="1" applyBorder="1" applyAlignment="1">
      <alignment horizontal="center" wrapText="1"/>
    </xf>
    <xf numFmtId="0" fontId="7" fillId="2" borderId="56" xfId="0" applyFont="1" applyFill="1" applyBorder="1" applyAlignment="1">
      <alignment horizontal="left" vertical="center" wrapText="1"/>
    </xf>
    <xf numFmtId="0" fontId="7" fillId="2" borderId="52" xfId="0" applyFont="1" applyFill="1" applyBorder="1" applyAlignment="1">
      <alignment horizontal="left" vertical="center" wrapText="1"/>
    </xf>
    <xf numFmtId="0" fontId="5" fillId="2" borderId="17" xfId="0" applyFont="1" applyFill="1" applyBorder="1" applyAlignment="1">
      <alignment vertical="center" wrapText="1"/>
    </xf>
    <xf numFmtId="0" fontId="0" fillId="2" borderId="62" xfId="0" applyFill="1" applyBorder="1" applyAlignment="1">
      <alignment vertical="center" wrapText="1"/>
    </xf>
    <xf numFmtId="0" fontId="0" fillId="2" borderId="152" xfId="0" applyFill="1" applyBorder="1" applyAlignment="1">
      <alignment horizontal="center" vertical="center" wrapText="1"/>
    </xf>
    <xf numFmtId="0" fontId="5" fillId="0" borderId="51" xfId="0" applyFont="1" applyBorder="1" applyAlignment="1">
      <alignment horizontal="center" vertical="center" wrapText="1"/>
    </xf>
    <xf numFmtId="0" fontId="5" fillId="0" borderId="12" xfId="0" applyFont="1" applyBorder="1" applyAlignment="1">
      <alignment horizontal="center" vertical="center" wrapText="1"/>
    </xf>
    <xf numFmtId="0" fontId="7" fillId="2" borderId="76" xfId="0" applyFont="1" applyFill="1" applyBorder="1" applyAlignment="1">
      <alignment horizontal="center" vertical="center"/>
    </xf>
    <xf numFmtId="0" fontId="7" fillId="2" borderId="53" xfId="0" applyFont="1" applyFill="1" applyBorder="1" applyAlignment="1">
      <alignment horizontal="center" vertical="center"/>
    </xf>
    <xf numFmtId="0" fontId="13" fillId="2" borderId="14" xfId="0" applyFont="1" applyFill="1" applyBorder="1" applyAlignment="1">
      <alignment horizontal="center"/>
    </xf>
    <xf numFmtId="0" fontId="13" fillId="2" borderId="15" xfId="0" applyFont="1" applyFill="1" applyBorder="1" applyAlignment="1">
      <alignment horizontal="center"/>
    </xf>
    <xf numFmtId="0" fontId="13" fillId="2" borderId="75" xfId="0" applyFont="1" applyFill="1" applyBorder="1" applyAlignment="1">
      <alignment horizont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75" xfId="0" applyFont="1" applyFill="1" applyBorder="1" applyAlignment="1">
      <alignment horizontal="center" vertical="center"/>
    </xf>
    <xf numFmtId="0" fontId="7" fillId="2" borderId="51" xfId="0" applyFont="1" applyFill="1" applyBorder="1" applyAlignment="1">
      <alignment horizontal="left" vertical="center" wrapText="1"/>
    </xf>
    <xf numFmtId="0" fontId="7" fillId="2" borderId="11" xfId="0" applyFont="1" applyFill="1" applyBorder="1" applyAlignment="1">
      <alignment horizontal="left" vertical="center" wrapText="1"/>
    </xf>
    <xf numFmtId="165" fontId="7" fillId="2" borderId="54" xfId="0" applyNumberFormat="1" applyFont="1" applyFill="1" applyBorder="1" applyAlignment="1">
      <alignment horizontal="left" vertical="center"/>
    </xf>
    <xf numFmtId="165" fontId="7" fillId="2" borderId="140" xfId="0" applyNumberFormat="1" applyFont="1" applyFill="1" applyBorder="1" applyAlignment="1">
      <alignment horizontal="left" vertical="center"/>
    </xf>
    <xf numFmtId="0" fontId="7" fillId="2" borderId="66" xfId="0" applyFont="1" applyFill="1" applyBorder="1" applyAlignment="1">
      <alignment horizontal="left" vertical="center"/>
    </xf>
    <xf numFmtId="0" fontId="7" fillId="2" borderId="67" xfId="0" applyFont="1" applyFill="1" applyBorder="1" applyAlignment="1">
      <alignment horizontal="left" vertical="center"/>
    </xf>
    <xf numFmtId="0" fontId="26" fillId="10" borderId="31" xfId="4" applyFont="1" applyFill="1" applyBorder="1" applyAlignment="1" applyProtection="1">
      <alignment horizontal="left" vertical="center" wrapText="1"/>
      <protection locked="0"/>
    </xf>
    <xf numFmtId="0" fontId="26" fillId="10" borderId="32" xfId="4" applyFont="1" applyFill="1" applyBorder="1" applyAlignment="1" applyProtection="1">
      <alignment horizontal="left" vertical="center" wrapText="1"/>
      <protection locked="0"/>
    </xf>
    <xf numFmtId="0" fontId="26" fillId="4" borderId="31" xfId="4" applyFont="1" applyFill="1" applyBorder="1" applyAlignment="1" applyProtection="1">
      <alignment horizontal="left" vertical="center" wrapText="1"/>
      <protection locked="0"/>
    </xf>
    <xf numFmtId="0" fontId="26" fillId="4" borderId="32" xfId="4" applyFont="1" applyFill="1" applyBorder="1" applyAlignment="1" applyProtection="1">
      <alignment horizontal="left" vertical="center" wrapText="1"/>
      <protection locked="0"/>
    </xf>
    <xf numFmtId="0" fontId="23" fillId="0" borderId="31" xfId="4" applyFont="1" applyBorder="1" applyAlignment="1">
      <alignment horizontal="left" vertical="center" wrapText="1"/>
    </xf>
    <xf numFmtId="0" fontId="23" fillId="0" borderId="32" xfId="4" applyFont="1" applyBorder="1" applyAlignment="1">
      <alignment horizontal="left" vertical="center" wrapText="1"/>
    </xf>
    <xf numFmtId="0" fontId="27" fillId="0" borderId="55" xfId="4" applyFont="1" applyBorder="1" applyAlignment="1">
      <alignment horizontal="center" vertical="center"/>
    </xf>
    <xf numFmtId="0" fontId="27" fillId="0" borderId="54" xfId="4" applyFont="1" applyBorder="1" applyAlignment="1">
      <alignment horizontal="center" vertical="center"/>
    </xf>
    <xf numFmtId="0" fontId="27" fillId="0" borderId="53" xfId="4" applyFont="1" applyBorder="1" applyAlignment="1">
      <alignment horizontal="center" vertical="center"/>
    </xf>
    <xf numFmtId="0" fontId="25" fillId="0" borderId="39" xfId="4" applyFont="1" applyBorder="1" applyAlignment="1">
      <alignment horizontal="left" vertical="center"/>
    </xf>
    <xf numFmtId="0" fontId="25" fillId="0" borderId="9" xfId="4" applyFont="1" applyBorder="1" applyAlignment="1">
      <alignment horizontal="left" vertical="center"/>
    </xf>
    <xf numFmtId="0" fontId="25" fillId="0" borderId="10" xfId="4" applyFont="1" applyBorder="1" applyAlignment="1">
      <alignment horizontal="left" vertical="center"/>
    </xf>
    <xf numFmtId="0" fontId="25" fillId="0" borderId="56" xfId="4" applyFont="1" applyBorder="1" applyAlignment="1">
      <alignment horizontal="left" vertical="center"/>
    </xf>
    <xf numFmtId="0" fontId="25" fillId="0" borderId="11" xfId="4" applyFont="1" applyBorder="1" applyAlignment="1">
      <alignment horizontal="left" vertical="center"/>
    </xf>
    <xf numFmtId="0" fontId="25" fillId="0" borderId="12" xfId="4" applyFont="1" applyBorder="1" applyAlignment="1">
      <alignment horizontal="left" vertical="center"/>
    </xf>
    <xf numFmtId="0" fontId="6" fillId="0" borderId="31" xfId="4" applyFont="1" applyBorder="1" applyAlignment="1">
      <alignment horizontal="left" vertical="center" wrapText="1"/>
    </xf>
    <xf numFmtId="0" fontId="6" fillId="0" borderId="32" xfId="4" applyFont="1" applyBorder="1" applyAlignment="1">
      <alignment horizontal="left" vertical="center" wrapText="1"/>
    </xf>
    <xf numFmtId="43" fontId="7" fillId="0" borderId="14" xfId="3" applyFont="1" applyFill="1" applyBorder="1" applyAlignment="1" applyProtection="1">
      <alignment horizontal="center" vertical="center"/>
      <protection locked="0"/>
    </xf>
    <xf numFmtId="43" fontId="7" fillId="0" borderId="75" xfId="3" applyFont="1" applyFill="1" applyBorder="1" applyAlignment="1" applyProtection="1">
      <alignment horizontal="center" vertical="center"/>
      <protection locked="0"/>
    </xf>
    <xf numFmtId="43" fontId="5" fillId="0" borderId="84" xfId="3" applyFont="1" applyFill="1" applyBorder="1" applyAlignment="1" applyProtection="1">
      <alignment horizontal="center" vertical="center"/>
      <protection locked="0"/>
    </xf>
    <xf numFmtId="43" fontId="5" fillId="0" borderId="79" xfId="3" applyFont="1" applyFill="1" applyBorder="1" applyAlignment="1" applyProtection="1">
      <alignment horizontal="center" vertical="center"/>
      <protection locked="0"/>
    </xf>
    <xf numFmtId="43" fontId="5" fillId="0" borderId="82" xfId="3" applyFont="1" applyFill="1" applyBorder="1" applyAlignment="1" applyProtection="1">
      <alignment horizontal="center" vertical="center"/>
      <protection locked="0"/>
    </xf>
    <xf numFmtId="43" fontId="22" fillId="0" borderId="84" xfId="3" applyFont="1" applyFill="1" applyBorder="1" applyAlignment="1" applyProtection="1">
      <alignment horizontal="center" vertical="center"/>
      <protection locked="0"/>
    </xf>
    <xf numFmtId="43" fontId="22" fillId="0" borderId="79" xfId="3" applyFont="1" applyFill="1" applyBorder="1" applyAlignment="1" applyProtection="1">
      <alignment horizontal="center" vertical="center"/>
      <protection locked="0"/>
    </xf>
    <xf numFmtId="43" fontId="22" fillId="0" borderId="35" xfId="3" applyFont="1" applyFill="1" applyBorder="1" applyAlignment="1" applyProtection="1">
      <alignment horizontal="center" vertical="center"/>
      <protection locked="0"/>
    </xf>
    <xf numFmtId="43" fontId="5" fillId="0" borderId="127" xfId="3" applyFont="1" applyFill="1" applyBorder="1" applyAlignment="1" applyProtection="1">
      <alignment horizontal="center" vertical="center"/>
      <protection locked="0"/>
    </xf>
    <xf numFmtId="43" fontId="5" fillId="0" borderId="35" xfId="3" applyFont="1" applyFill="1" applyBorder="1" applyAlignment="1" applyProtection="1">
      <alignment horizontal="center" vertical="center"/>
      <protection locked="0"/>
    </xf>
    <xf numFmtId="43" fontId="5" fillId="0" borderId="78" xfId="3" applyFont="1" applyFill="1" applyBorder="1" applyAlignment="1" applyProtection="1">
      <alignment horizontal="center" vertical="center"/>
      <protection locked="0"/>
    </xf>
    <xf numFmtId="43" fontId="5" fillId="0" borderId="30" xfId="3" applyFont="1" applyFill="1" applyBorder="1" applyAlignment="1" applyProtection="1">
      <alignment horizontal="center" vertical="center"/>
      <protection locked="0"/>
    </xf>
    <xf numFmtId="43" fontId="22" fillId="0" borderId="94" xfId="3" applyFont="1" applyFill="1" applyBorder="1" applyAlignment="1" applyProtection="1">
      <alignment horizontal="center" vertical="center"/>
      <protection locked="0"/>
    </xf>
    <xf numFmtId="43" fontId="22" fillId="0" borderId="138" xfId="3" applyFont="1" applyFill="1" applyBorder="1" applyAlignment="1" applyProtection="1">
      <alignment horizontal="center" vertical="center"/>
      <protection locked="0"/>
    </xf>
    <xf numFmtId="43" fontId="5" fillId="0" borderId="120" xfId="3" applyFont="1" applyFill="1" applyBorder="1" applyAlignment="1" applyProtection="1">
      <alignment horizontal="center" vertical="center"/>
      <protection locked="0"/>
    </xf>
    <xf numFmtId="43" fontId="5" fillId="0" borderId="119" xfId="3" applyFont="1" applyFill="1" applyBorder="1" applyAlignment="1" applyProtection="1">
      <alignment horizontal="center" vertical="center"/>
      <protection locked="0"/>
    </xf>
    <xf numFmtId="0" fontId="7" fillId="0" borderId="47" xfId="0" applyFont="1" applyBorder="1" applyAlignment="1" applyProtection="1">
      <alignment horizontal="center" vertical="center" wrapText="1"/>
      <protection locked="0"/>
    </xf>
    <xf numFmtId="0" fontId="7" fillId="0" borderId="48" xfId="0" applyFont="1" applyBorder="1" applyAlignment="1" applyProtection="1">
      <alignment horizontal="center" vertical="center" wrapText="1"/>
      <protection locked="0"/>
    </xf>
    <xf numFmtId="0" fontId="38" fillId="4" borderId="14" xfId="6" applyFont="1" applyFill="1" applyBorder="1" applyAlignment="1" applyProtection="1">
      <alignment horizontal="center" vertical="center"/>
      <protection locked="0"/>
    </xf>
    <xf numFmtId="0" fontId="38" fillId="4" borderId="15" xfId="6" applyFont="1" applyFill="1" applyBorder="1" applyAlignment="1" applyProtection="1">
      <alignment horizontal="center" vertical="center"/>
      <protection locked="0"/>
    </xf>
    <xf numFmtId="0" fontId="38" fillId="4" borderId="75" xfId="6" applyFont="1" applyFill="1" applyBorder="1" applyAlignment="1" applyProtection="1">
      <alignment horizontal="center" vertical="center"/>
      <protection locked="0"/>
    </xf>
    <xf numFmtId="0" fontId="5" fillId="0" borderId="99" xfId="0" applyFont="1" applyBorder="1" applyAlignment="1" applyProtection="1">
      <alignment horizontal="center" vertical="center" wrapText="1"/>
      <protection locked="0"/>
    </xf>
    <xf numFmtId="0" fontId="5" fillId="0" borderId="111" xfId="0" applyFont="1" applyBorder="1" applyAlignment="1" applyProtection="1">
      <alignment horizontal="center" vertical="center" wrapText="1"/>
      <protection locked="0"/>
    </xf>
    <xf numFmtId="43" fontId="5" fillId="0" borderId="90" xfId="3" applyFont="1" applyFill="1" applyBorder="1" applyAlignment="1" applyProtection="1">
      <alignment horizontal="center" vertical="center"/>
      <protection locked="0"/>
    </xf>
    <xf numFmtId="43" fontId="22" fillId="0" borderId="64" xfId="3" applyFont="1" applyFill="1" applyBorder="1" applyAlignment="1" applyProtection="1">
      <alignment horizontal="center" vertical="center"/>
      <protection locked="0"/>
    </xf>
    <xf numFmtId="43" fontId="22" fillId="0" borderId="122" xfId="3" applyFont="1" applyFill="1" applyBorder="1" applyAlignment="1" applyProtection="1">
      <alignment horizontal="center" vertical="center"/>
      <protection locked="0"/>
    </xf>
    <xf numFmtId="43" fontId="5" fillId="0" borderId="94" xfId="3" applyFont="1" applyFill="1" applyBorder="1" applyAlignment="1" applyProtection="1">
      <alignment horizontal="center" vertical="center"/>
      <protection locked="0"/>
    </xf>
    <xf numFmtId="0" fontId="22" fillId="0" borderId="61" xfId="0" applyFont="1" applyBorder="1" applyAlignment="1" applyProtection="1">
      <alignment horizontal="center" vertical="center" wrapText="1"/>
      <protection locked="0"/>
    </xf>
    <xf numFmtId="0" fontId="22" fillId="0" borderId="40" xfId="0" applyFont="1" applyBorder="1" applyAlignment="1" applyProtection="1">
      <alignment horizontal="center" vertical="center" wrapText="1"/>
      <protection locked="0"/>
    </xf>
    <xf numFmtId="43" fontId="22" fillId="0" borderId="90" xfId="3" applyFont="1" applyFill="1" applyBorder="1" applyAlignment="1" applyProtection="1">
      <alignment horizontal="center" vertical="center"/>
      <protection locked="0"/>
    </xf>
    <xf numFmtId="0" fontId="5" fillId="0" borderId="100" xfId="0" applyFont="1" applyBorder="1" applyAlignment="1" applyProtection="1">
      <alignment horizontal="center" vertical="center" wrapText="1"/>
      <protection locked="0"/>
    </xf>
    <xf numFmtId="0" fontId="5" fillId="0" borderId="112" xfId="0" applyFont="1" applyBorder="1" applyAlignment="1" applyProtection="1">
      <alignment horizontal="center" vertical="center" wrapText="1"/>
      <protection locked="0"/>
    </xf>
    <xf numFmtId="43" fontId="5" fillId="0" borderId="108" xfId="3" applyFont="1" applyFill="1" applyBorder="1" applyAlignment="1" applyProtection="1">
      <alignment horizontal="center" vertical="center"/>
      <protection locked="0"/>
    </xf>
    <xf numFmtId="0" fontId="38" fillId="0" borderId="21"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29" xfId="0" applyFont="1" applyBorder="1" applyAlignment="1">
      <alignment horizontal="center" vertical="center" wrapText="1"/>
    </xf>
    <xf numFmtId="0" fontId="38" fillId="0" borderId="14" xfId="15" applyFont="1" applyBorder="1" applyAlignment="1">
      <alignment horizontal="center" vertical="center" wrapText="1"/>
    </xf>
    <xf numFmtId="0" fontId="38" fillId="0" borderId="15" xfId="15" applyFont="1" applyBorder="1" applyAlignment="1">
      <alignment horizontal="center" vertical="center" wrapText="1"/>
    </xf>
    <xf numFmtId="0" fontId="38" fillId="0" borderId="75" xfId="15" applyFont="1" applyBorder="1" applyAlignment="1">
      <alignment horizontal="center" vertical="center" wrapText="1"/>
    </xf>
    <xf numFmtId="0" fontId="38" fillId="0" borderId="26"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28" xfId="0" applyFont="1" applyBorder="1" applyAlignment="1">
      <alignment horizontal="center" vertical="center" wrapText="1"/>
    </xf>
    <xf numFmtId="0" fontId="37" fillId="0" borderId="14" xfId="15" applyFont="1" applyBorder="1" applyAlignment="1">
      <alignment horizontal="center"/>
    </xf>
    <xf numFmtId="0" fontId="37" fillId="0" borderId="15" xfId="15" applyFont="1" applyBorder="1" applyAlignment="1">
      <alignment horizontal="center"/>
    </xf>
    <xf numFmtId="0" fontId="37" fillId="0" borderId="75" xfId="15" applyFont="1" applyBorder="1" applyAlignment="1">
      <alignment horizontal="center"/>
    </xf>
    <xf numFmtId="0" fontId="1" fillId="5" borderId="21" xfId="15" applyFill="1" applyBorder="1" applyAlignment="1">
      <alignment horizontal="left"/>
    </xf>
    <xf numFmtId="0" fontId="1" fillId="5" borderId="22" xfId="15" applyFill="1" applyBorder="1" applyAlignment="1">
      <alignment horizontal="left"/>
    </xf>
    <xf numFmtId="0" fontId="1" fillId="5" borderId="29" xfId="15" applyFill="1" applyBorder="1" applyAlignment="1">
      <alignment horizontal="left"/>
    </xf>
    <xf numFmtId="0" fontId="1" fillId="5" borderId="23" xfId="15" applyFill="1" applyBorder="1" applyAlignment="1">
      <alignment horizontal="left"/>
    </xf>
    <xf numFmtId="0" fontId="1" fillId="5" borderId="0" xfId="15" applyFill="1" applyAlignment="1">
      <alignment horizontal="left"/>
    </xf>
    <xf numFmtId="0" fontId="1" fillId="5" borderId="25" xfId="15" applyFill="1" applyBorder="1" applyAlignment="1">
      <alignment horizontal="left"/>
    </xf>
    <xf numFmtId="0" fontId="1" fillId="5" borderId="26" xfId="15" applyFill="1" applyBorder="1" applyAlignment="1">
      <alignment horizontal="left"/>
    </xf>
    <xf numFmtId="0" fontId="1" fillId="5" borderId="27" xfId="15" applyFill="1" applyBorder="1" applyAlignment="1">
      <alignment horizontal="left"/>
    </xf>
    <xf numFmtId="0" fontId="1" fillId="5" borderId="28" xfId="15" applyFill="1" applyBorder="1" applyAlignment="1">
      <alignment horizontal="left"/>
    </xf>
    <xf numFmtId="0" fontId="7" fillId="4" borderId="14" xfId="15" applyFont="1" applyFill="1" applyBorder="1" applyAlignment="1" applyProtection="1">
      <alignment horizontal="center" vertical="center"/>
      <protection locked="0"/>
    </xf>
    <xf numFmtId="0" fontId="7" fillId="4" borderId="15" xfId="15" applyFont="1" applyFill="1" applyBorder="1" applyAlignment="1" applyProtection="1">
      <alignment horizontal="center" vertical="center"/>
      <protection locked="0"/>
    </xf>
    <xf numFmtId="0" fontId="7" fillId="4" borderId="75" xfId="15" applyFont="1" applyFill="1" applyBorder="1" applyAlignment="1" applyProtection="1">
      <alignment horizontal="center" vertical="center"/>
      <protection locked="0"/>
    </xf>
    <xf numFmtId="0" fontId="7" fillId="4" borderId="21" xfId="15" applyFont="1" applyFill="1" applyBorder="1" applyAlignment="1" applyProtection="1">
      <alignment horizontal="center" vertical="center"/>
      <protection locked="0"/>
    </xf>
    <xf numFmtId="0" fontId="7" fillId="4" borderId="22" xfId="15" applyFont="1" applyFill="1" applyBorder="1" applyAlignment="1" applyProtection="1">
      <alignment horizontal="center" vertical="center"/>
      <protection locked="0"/>
    </xf>
    <xf numFmtId="0" fontId="7" fillId="4" borderId="29" xfId="15" applyFont="1" applyFill="1" applyBorder="1" applyAlignment="1" applyProtection="1">
      <alignment horizontal="center" vertical="center"/>
      <protection locked="0"/>
    </xf>
    <xf numFmtId="43" fontId="21" fillId="5" borderId="14" xfId="15" applyNumberFormat="1" applyFont="1" applyFill="1" applyBorder="1" applyAlignment="1">
      <alignment horizontal="center"/>
    </xf>
    <xf numFmtId="43" fontId="21" fillId="5" borderId="15" xfId="15" applyNumberFormat="1" applyFont="1" applyFill="1" applyBorder="1" applyAlignment="1">
      <alignment horizontal="center"/>
    </xf>
    <xf numFmtId="43" fontId="21" fillId="5" borderId="75" xfId="15" applyNumberFormat="1" applyFont="1" applyFill="1" applyBorder="1" applyAlignment="1">
      <alignment horizontal="center"/>
    </xf>
    <xf numFmtId="43" fontId="21" fillId="5" borderId="26" xfId="15" applyNumberFormat="1" applyFont="1" applyFill="1" applyBorder="1" applyAlignment="1">
      <alignment horizontal="center"/>
    </xf>
    <xf numFmtId="43" fontId="21" fillId="5" borderId="27" xfId="15" applyNumberFormat="1" applyFont="1" applyFill="1" applyBorder="1" applyAlignment="1">
      <alignment horizontal="center"/>
    </xf>
    <xf numFmtId="43" fontId="21" fillId="5" borderId="28" xfId="15" applyNumberFormat="1" applyFont="1" applyFill="1" applyBorder="1" applyAlignment="1">
      <alignment horizontal="center"/>
    </xf>
    <xf numFmtId="43" fontId="5" fillId="0" borderId="133" xfId="3" applyFont="1" applyFill="1" applyBorder="1" applyAlignment="1" applyProtection="1">
      <alignment horizontal="center" vertical="center"/>
      <protection locked="0"/>
    </xf>
    <xf numFmtId="43" fontId="5" fillId="0" borderId="132" xfId="3" applyFont="1" applyFill="1" applyBorder="1" applyAlignment="1" applyProtection="1">
      <alignment horizontal="center" vertical="center"/>
      <protection locked="0"/>
    </xf>
    <xf numFmtId="43" fontId="5" fillId="0" borderId="115" xfId="3" applyFont="1" applyFill="1" applyBorder="1" applyAlignment="1" applyProtection="1">
      <alignment horizontal="center" vertical="center"/>
      <protection locked="0"/>
    </xf>
    <xf numFmtId="0" fontId="7" fillId="0" borderId="15" xfId="0" applyFont="1" applyBorder="1" applyAlignment="1" applyProtection="1">
      <alignment horizontal="center" vertical="center" wrapText="1"/>
      <protection locked="0"/>
    </xf>
    <xf numFmtId="43" fontId="5" fillId="0" borderId="113" xfId="3" applyFont="1" applyFill="1" applyBorder="1" applyAlignment="1" applyProtection="1">
      <alignment horizontal="center" vertical="center"/>
      <protection locked="0"/>
    </xf>
    <xf numFmtId="43" fontId="5" fillId="0" borderId="114" xfId="3" applyFont="1" applyFill="1" applyBorder="1" applyAlignment="1" applyProtection="1">
      <alignment horizontal="center" vertical="center"/>
      <protection locked="0"/>
    </xf>
    <xf numFmtId="43" fontId="7" fillId="0" borderId="92" xfId="3" applyFont="1" applyFill="1" applyBorder="1" applyAlignment="1" applyProtection="1">
      <alignment horizontal="center" vertical="center"/>
      <protection locked="0"/>
    </xf>
    <xf numFmtId="43" fontId="7" fillId="0" borderId="80" xfId="3" applyFont="1" applyFill="1" applyBorder="1" applyAlignment="1" applyProtection="1">
      <alignment horizontal="center" vertical="center"/>
      <protection locked="0"/>
    </xf>
    <xf numFmtId="43" fontId="7" fillId="0" borderId="106" xfId="3" applyFont="1" applyFill="1" applyBorder="1" applyAlignment="1" applyProtection="1">
      <alignment horizontal="center" vertical="center"/>
      <protection locked="0"/>
    </xf>
    <xf numFmtId="0" fontId="22" fillId="0" borderId="110" xfId="0" applyFont="1" applyBorder="1" applyAlignment="1" applyProtection="1">
      <alignment horizontal="center" vertical="center" wrapText="1"/>
      <protection locked="0"/>
    </xf>
    <xf numFmtId="0" fontId="22" fillId="0" borderId="111" xfId="0" applyFont="1" applyBorder="1" applyAlignment="1" applyProtection="1">
      <alignment horizontal="center" vertical="center" wrapText="1"/>
      <protection locked="0"/>
    </xf>
    <xf numFmtId="43" fontId="7" fillId="0" borderId="87" xfId="3" applyFont="1" applyFill="1" applyBorder="1" applyAlignment="1" applyProtection="1">
      <alignment horizontal="center" vertical="center"/>
      <protection locked="0"/>
    </xf>
    <xf numFmtId="0" fontId="22" fillId="0" borderId="100" xfId="0" applyFont="1" applyBorder="1" applyAlignment="1" applyProtection="1">
      <alignment horizontal="center" vertical="center" wrapText="1"/>
      <protection locked="0"/>
    </xf>
    <xf numFmtId="43" fontId="22" fillId="0" borderId="127" xfId="3" applyFont="1" applyFill="1" applyBorder="1" applyAlignment="1" applyProtection="1">
      <alignment horizontal="center" vertical="center"/>
      <protection locked="0"/>
    </xf>
    <xf numFmtId="43" fontId="22" fillId="0" borderId="82" xfId="3" applyFont="1" applyFill="1" applyBorder="1" applyAlignment="1" applyProtection="1">
      <alignment horizontal="center" vertical="center"/>
      <protection locked="0"/>
    </xf>
    <xf numFmtId="0" fontId="22" fillId="0" borderId="112" xfId="0" applyFont="1" applyBorder="1" applyAlignment="1" applyProtection="1">
      <alignment horizontal="center" vertical="center" wrapText="1"/>
      <protection locked="0"/>
    </xf>
    <xf numFmtId="43" fontId="5" fillId="5" borderId="127" xfId="3" applyFont="1" applyFill="1" applyBorder="1" applyAlignment="1" applyProtection="1">
      <alignment horizontal="right" vertical="center"/>
      <protection locked="0"/>
    </xf>
    <xf numFmtId="43" fontId="5" fillId="5" borderId="82" xfId="3" applyFont="1" applyFill="1" applyBorder="1" applyAlignment="1" applyProtection="1">
      <alignment horizontal="right" vertical="center"/>
      <protection locked="0"/>
    </xf>
    <xf numFmtId="43" fontId="5" fillId="5" borderId="88" xfId="3" applyFont="1" applyFill="1" applyBorder="1" applyAlignment="1" applyProtection="1">
      <alignment horizontal="center" vertical="center"/>
      <protection locked="0"/>
    </xf>
    <xf numFmtId="43" fontId="5" fillId="5" borderId="134" xfId="3" applyFont="1" applyFill="1" applyBorder="1" applyAlignment="1" applyProtection="1">
      <alignment horizontal="center" vertical="center"/>
      <protection locked="0"/>
    </xf>
    <xf numFmtId="43" fontId="5" fillId="0" borderId="116" xfId="3" applyFont="1" applyFill="1" applyBorder="1" applyAlignment="1" applyProtection="1">
      <alignment horizontal="center" vertical="center"/>
      <protection locked="0"/>
    </xf>
    <xf numFmtId="0" fontId="38" fillId="0" borderId="14"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75" xfId="0" applyFont="1" applyBorder="1" applyAlignment="1">
      <alignment horizontal="center" vertical="center" wrapText="1"/>
    </xf>
    <xf numFmtId="0" fontId="38" fillId="9" borderId="21" xfId="0" applyFont="1" applyFill="1" applyBorder="1" applyAlignment="1" applyProtection="1">
      <alignment horizontal="center" vertical="center"/>
      <protection locked="0"/>
    </xf>
    <xf numFmtId="0" fontId="38" fillId="9" borderId="22" xfId="0" applyFont="1" applyFill="1" applyBorder="1" applyAlignment="1" applyProtection="1">
      <alignment horizontal="center" vertical="center"/>
      <protection locked="0"/>
    </xf>
    <xf numFmtId="0" fontId="38" fillId="9" borderId="29" xfId="0" applyFont="1" applyFill="1" applyBorder="1" applyAlignment="1" applyProtection="1">
      <alignment horizontal="center" vertical="center"/>
      <protection locked="0"/>
    </xf>
    <xf numFmtId="0" fontId="5" fillId="0" borderId="40" xfId="0" applyFont="1" applyBorder="1" applyAlignment="1" applyProtection="1">
      <alignment horizontal="center" vertical="center" wrapText="1"/>
      <protection locked="0"/>
    </xf>
    <xf numFmtId="0" fontId="5" fillId="0" borderId="110" xfId="0" applyFont="1" applyBorder="1" applyAlignment="1" applyProtection="1">
      <alignment horizontal="center" vertical="center" wrapText="1"/>
      <protection locked="0"/>
    </xf>
    <xf numFmtId="43" fontId="7" fillId="7" borderId="14" xfId="3" applyFont="1" applyFill="1" applyBorder="1" applyAlignment="1" applyProtection="1">
      <alignment horizontal="left" vertical="center"/>
      <protection locked="0"/>
    </xf>
    <xf numFmtId="43" fontId="7" fillId="7" borderId="75" xfId="3" applyFont="1" applyFill="1" applyBorder="1" applyAlignment="1" applyProtection="1">
      <alignment horizontal="left" vertical="center"/>
      <protection locked="0"/>
    </xf>
    <xf numFmtId="43" fontId="5" fillId="0" borderId="88" xfId="3" applyFont="1" applyFill="1" applyBorder="1" applyAlignment="1" applyProtection="1">
      <alignment horizontal="center" vertical="center"/>
      <protection locked="0"/>
    </xf>
    <xf numFmtId="43" fontId="5" fillId="0" borderId="134" xfId="3" applyFont="1" applyFill="1" applyBorder="1" applyAlignment="1" applyProtection="1">
      <alignment horizontal="center" vertical="center"/>
      <protection locked="0"/>
    </xf>
    <xf numFmtId="43" fontId="5" fillId="0" borderId="70" xfId="3" applyFont="1" applyFill="1" applyBorder="1" applyAlignment="1" applyProtection="1">
      <alignment horizontal="center" vertical="center"/>
      <protection locked="0"/>
    </xf>
    <xf numFmtId="43" fontId="5" fillId="0" borderId="131" xfId="3" applyFont="1" applyFill="1" applyBorder="1" applyAlignment="1" applyProtection="1">
      <alignment horizontal="center" vertical="center"/>
      <protection locked="0"/>
    </xf>
    <xf numFmtId="0" fontId="5" fillId="0" borderId="50"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66"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43" fontId="22" fillId="0" borderId="108" xfId="3" applyFont="1" applyFill="1" applyBorder="1" applyAlignment="1" applyProtection="1">
      <alignment horizontal="center" vertical="center"/>
      <protection locked="0"/>
    </xf>
    <xf numFmtId="43" fontId="7" fillId="5" borderId="94" xfId="3" applyFont="1" applyFill="1" applyBorder="1" applyAlignment="1" applyProtection="1">
      <alignment horizontal="center" vertical="center"/>
      <protection locked="0"/>
    </xf>
    <xf numFmtId="43" fontId="7" fillId="5" borderId="138" xfId="3" applyFont="1" applyFill="1" applyBorder="1" applyAlignment="1" applyProtection="1">
      <alignment horizontal="center" vertical="center"/>
      <protection locked="0"/>
    </xf>
    <xf numFmtId="43" fontId="7" fillId="5" borderId="139" xfId="3" applyFont="1" applyFill="1" applyBorder="1" applyAlignment="1" applyProtection="1">
      <alignment horizontal="center" vertical="center"/>
      <protection locked="0"/>
    </xf>
    <xf numFmtId="43" fontId="22" fillId="0" borderId="120" xfId="3" applyFont="1" applyFill="1" applyBorder="1" applyAlignment="1" applyProtection="1">
      <alignment horizontal="center" vertical="center"/>
      <protection locked="0"/>
    </xf>
    <xf numFmtId="43" fontId="22" fillId="0" borderId="119" xfId="3" applyFont="1" applyFill="1" applyBorder="1" applyAlignment="1" applyProtection="1">
      <alignment horizontal="center" vertical="center"/>
      <protection locked="0"/>
    </xf>
    <xf numFmtId="0" fontId="18" fillId="6" borderId="33" xfId="0" applyFont="1" applyFill="1" applyBorder="1" applyAlignment="1">
      <alignment horizontal="center" vertical="center"/>
    </xf>
    <xf numFmtId="0" fontId="18" fillId="6" borderId="9" xfId="0" applyFont="1" applyFill="1" applyBorder="1" applyAlignment="1">
      <alignment horizontal="center" vertical="center"/>
    </xf>
    <xf numFmtId="0" fontId="18" fillId="6" borderId="13" xfId="0" applyFont="1" applyFill="1" applyBorder="1" applyAlignment="1">
      <alignment horizontal="center" vertical="center"/>
    </xf>
    <xf numFmtId="0" fontId="31" fillId="5" borderId="0" xfId="0" applyFont="1" applyFill="1" applyAlignment="1">
      <alignment horizontal="left" wrapText="1"/>
    </xf>
    <xf numFmtId="0" fontId="21" fillId="0" borderId="47" xfId="0" applyFont="1" applyBorder="1" applyAlignment="1">
      <alignment horizontal="center"/>
    </xf>
    <xf numFmtId="0" fontId="21" fillId="0" borderId="15" xfId="0" applyFont="1" applyBorder="1" applyAlignment="1">
      <alignment horizontal="center"/>
    </xf>
    <xf numFmtId="0" fontId="21" fillId="0" borderId="75" xfId="0" applyFont="1" applyBorder="1" applyAlignment="1">
      <alignment horizontal="center"/>
    </xf>
    <xf numFmtId="0" fontId="19" fillId="7" borderId="39" xfId="0" applyFont="1" applyFill="1" applyBorder="1" applyAlignment="1">
      <alignment horizontal="center" vertical="center" wrapText="1"/>
    </xf>
    <xf numFmtId="0" fontId="19" fillId="7" borderId="9" xfId="0" applyFont="1" applyFill="1" applyBorder="1" applyAlignment="1">
      <alignment horizontal="center" vertical="center" wrapText="1"/>
    </xf>
    <xf numFmtId="0" fontId="19" fillId="7" borderId="10" xfId="0" applyFont="1" applyFill="1" applyBorder="1" applyAlignment="1">
      <alignment horizontal="center" vertical="center" wrapText="1"/>
    </xf>
    <xf numFmtId="0" fontId="19" fillId="7" borderId="56" xfId="0" applyFont="1" applyFill="1" applyBorder="1" applyAlignment="1">
      <alignment horizontal="center" vertical="center" wrapText="1"/>
    </xf>
    <xf numFmtId="0" fontId="19" fillId="7" borderId="11" xfId="0" applyFont="1" applyFill="1" applyBorder="1" applyAlignment="1">
      <alignment horizontal="center" vertical="center" wrapText="1"/>
    </xf>
    <xf numFmtId="0" fontId="19" fillId="7" borderId="12" xfId="0" applyFont="1" applyFill="1" applyBorder="1" applyAlignment="1">
      <alignment horizontal="center" vertical="center" wrapText="1"/>
    </xf>
    <xf numFmtId="0" fontId="19" fillId="7" borderId="66"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123" xfId="0" applyFont="1" applyFill="1" applyBorder="1" applyAlignment="1">
      <alignment horizontal="center" vertical="center" wrapText="1"/>
    </xf>
    <xf numFmtId="0" fontId="34" fillId="7" borderId="56" xfId="21" applyFont="1" applyFill="1" applyBorder="1" applyAlignment="1">
      <alignment horizontal="center" vertical="center" wrapText="1"/>
    </xf>
    <xf numFmtId="0" fontId="34" fillId="7" borderId="11" xfId="21" applyFont="1" applyFill="1" applyBorder="1" applyAlignment="1">
      <alignment horizontal="center" vertical="center" wrapText="1"/>
    </xf>
    <xf numFmtId="0" fontId="34" fillId="7" borderId="12" xfId="21" applyFont="1" applyFill="1" applyBorder="1" applyAlignment="1">
      <alignment horizontal="center" vertical="center" wrapText="1"/>
    </xf>
    <xf numFmtId="0" fontId="13" fillId="0" borderId="21" xfId="21" applyFont="1" applyBorder="1" applyAlignment="1">
      <alignment horizontal="center" vertical="center"/>
    </xf>
    <xf numFmtId="0" fontId="13" fillId="0" borderId="22" xfId="21" applyFont="1" applyBorder="1" applyAlignment="1">
      <alignment horizontal="center" vertical="center"/>
    </xf>
    <xf numFmtId="0" fontId="13" fillId="0" borderId="29" xfId="21" applyFont="1" applyBorder="1" applyAlignment="1">
      <alignment horizontal="center" vertical="center"/>
    </xf>
    <xf numFmtId="14" fontId="50" fillId="0" borderId="9" xfId="4" applyNumberFormat="1" applyFont="1" applyBorder="1" applyAlignment="1" applyProtection="1">
      <alignment horizontal="center" vertical="center" wrapText="1"/>
      <protection locked="0"/>
    </xf>
    <xf numFmtId="14" fontId="50" fillId="0" borderId="10" xfId="4" applyNumberFormat="1" applyFont="1" applyBorder="1" applyAlignment="1" applyProtection="1">
      <alignment horizontal="center" vertical="center" wrapText="1"/>
      <protection locked="0"/>
    </xf>
    <xf numFmtId="0" fontId="7" fillId="0" borderId="23" xfId="21" applyFont="1" applyBorder="1" applyAlignment="1">
      <alignment horizontal="center"/>
    </xf>
    <xf numFmtId="0" fontId="7" fillId="0" borderId="0" xfId="21" applyFont="1" applyAlignment="1">
      <alignment horizontal="center"/>
    </xf>
    <xf numFmtId="0" fontId="34" fillId="7" borderId="39" xfId="21" applyFont="1" applyFill="1" applyBorder="1" applyAlignment="1">
      <alignment horizontal="center" vertical="center" wrapText="1"/>
    </xf>
    <xf numFmtId="0" fontId="34" fillId="7" borderId="9" xfId="21" applyFont="1" applyFill="1" applyBorder="1" applyAlignment="1">
      <alignment horizontal="center" vertical="center" wrapText="1"/>
    </xf>
    <xf numFmtId="0" fontId="34" fillId="7" borderId="10" xfId="21" applyFont="1" applyFill="1" applyBorder="1" applyAlignment="1">
      <alignment horizontal="center" vertical="center" wrapText="1"/>
    </xf>
    <xf numFmtId="0" fontId="49" fillId="0" borderId="39" xfId="0" applyFont="1" applyBorder="1" applyAlignment="1">
      <alignment horizontal="left" vertical="center"/>
    </xf>
    <xf numFmtId="0" fontId="49" fillId="0" borderId="9" xfId="0" applyFont="1" applyBorder="1" applyAlignment="1">
      <alignment horizontal="left" vertical="center"/>
    </xf>
    <xf numFmtId="0" fontId="49" fillId="0" borderId="56" xfId="0" applyFont="1" applyBorder="1" applyAlignment="1">
      <alignment horizontal="left" vertical="center"/>
    </xf>
    <xf numFmtId="0" fontId="49" fillId="0" borderId="11" xfId="0" applyFont="1" applyBorder="1" applyAlignment="1">
      <alignment horizontal="left" vertical="center"/>
    </xf>
  </cellXfs>
  <cellStyles count="22">
    <cellStyle name="Normal" xfId="0" builtinId="0"/>
    <cellStyle name="Normal 10" xfId="21" xr:uid="{00000000-0005-0000-0000-000001000000}"/>
    <cellStyle name="Normal 2" xfId="4" xr:uid="{00000000-0005-0000-0000-000002000000}"/>
    <cellStyle name="Normal 3" xfId="6" xr:uid="{00000000-0005-0000-0000-000003000000}"/>
    <cellStyle name="Normal 3 2" xfId="13" xr:uid="{00000000-0005-0000-0000-000004000000}"/>
    <cellStyle name="Normal 3 3" xfId="15" xr:uid="{00000000-0005-0000-0000-000005000000}"/>
    <cellStyle name="Normal 4" xfId="11" xr:uid="{00000000-0005-0000-0000-000006000000}"/>
    <cellStyle name="Normal_orç águaFAlameidaII " xfId="19" xr:uid="{00000000-0005-0000-0000-000007000000}"/>
    <cellStyle name="Porcentagem" xfId="1" builtinId="5"/>
    <cellStyle name="Porcentagem 2 2" xfId="12" xr:uid="{00000000-0005-0000-0000-000009000000}"/>
    <cellStyle name="Separador de milhares 2" xfId="18" xr:uid="{00000000-0005-0000-0000-00000A000000}"/>
    <cellStyle name="Separador de milhares_Modelo Orçamento" xfId="17" xr:uid="{00000000-0005-0000-0000-00000B000000}"/>
    <cellStyle name="Vírgula" xfId="2" builtinId="3"/>
    <cellStyle name="Vírgula 2" xfId="8" xr:uid="{00000000-0005-0000-0000-00000D000000}"/>
    <cellStyle name="Vírgula 3" xfId="3" xr:uid="{00000000-0005-0000-0000-00000E000000}"/>
    <cellStyle name="Vírgula 3 2" xfId="5" xr:uid="{00000000-0005-0000-0000-00000F000000}"/>
    <cellStyle name="Vírgula 3 3" xfId="7" xr:uid="{00000000-0005-0000-0000-000010000000}"/>
    <cellStyle name="Vírgula 3 4" xfId="14" xr:uid="{00000000-0005-0000-0000-000011000000}"/>
    <cellStyle name="Vírgula 3 5" xfId="16" xr:uid="{00000000-0005-0000-0000-000012000000}"/>
    <cellStyle name="Vírgula 4" xfId="9" xr:uid="{00000000-0005-0000-0000-000013000000}"/>
    <cellStyle name="Vírgula 4 2" xfId="10" xr:uid="{00000000-0005-0000-0000-000014000000}"/>
    <cellStyle name="Vírgula 4 2 2" xfId="20"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104775</xdr:colOff>
      <xdr:row>151</xdr:row>
      <xdr:rowOff>57149</xdr:rowOff>
    </xdr:from>
    <xdr:to>
      <xdr:col>8</xdr:col>
      <xdr:colOff>944868</xdr:colOff>
      <xdr:row>153</xdr:row>
      <xdr:rowOff>171449</xdr:rowOff>
    </xdr:to>
    <xdr:sp macro="" textlink="">
      <xdr:nvSpPr>
        <xdr:cNvPr id="5122" name="Text Box 7">
          <a:extLst>
            <a:ext uri="{FF2B5EF4-FFF2-40B4-BE49-F238E27FC236}">
              <a16:creationId xmlns:a16="http://schemas.microsoft.com/office/drawing/2014/main" id="{00000000-0008-0000-0100-000002140000}"/>
            </a:ext>
          </a:extLst>
        </xdr:cNvPr>
        <xdr:cNvSpPr txBox="1">
          <a:spLocks noChangeArrowheads="1"/>
        </xdr:cNvSpPr>
      </xdr:nvSpPr>
      <xdr:spPr bwMode="auto">
        <a:xfrm>
          <a:off x="104775" y="10001249"/>
          <a:ext cx="12203418" cy="409575"/>
        </a:xfrm>
        <a:prstGeom prst="rect">
          <a:avLst/>
        </a:prstGeom>
        <a:noFill/>
        <a:ln w="9525">
          <a:noFill/>
          <a:miter lim="800000"/>
          <a:headEnd/>
          <a:tailEnd/>
        </a:ln>
      </xdr:spPr>
      <xdr:txBody>
        <a:bodyPr vertOverflow="clip" wrap="square" lIns="27432" tIns="22860" rIns="27432" bIns="0" anchor="t" upright="1"/>
        <a:lstStyle/>
        <a:p>
          <a:pPr algn="ctr"/>
          <a:endParaRPr lang="pt-BR" sz="1100" b="1" i="1">
            <a:effectLst/>
            <a:latin typeface="+mn-lt"/>
            <a:ea typeface="+mn-ea"/>
            <a:cs typeface="+mn-cs"/>
          </a:endParaRPr>
        </a:p>
        <a:p>
          <a:pPr algn="ctr"/>
          <a:r>
            <a:rPr lang="pt-BR" sz="1100" b="1" i="1">
              <a:effectLst/>
              <a:latin typeface="+mn-lt"/>
              <a:ea typeface="+mn-ea"/>
              <a:cs typeface="+mn-cs"/>
            </a:rPr>
            <a:t> Prefeitura Municipal de Bom</a:t>
          </a:r>
          <a:r>
            <a:rPr lang="pt-BR" sz="1100" b="1" i="1" baseline="0">
              <a:effectLst/>
              <a:latin typeface="+mn-lt"/>
              <a:ea typeface="+mn-ea"/>
              <a:cs typeface="+mn-cs"/>
            </a:rPr>
            <a:t> Jardim de Minas </a:t>
          </a:r>
          <a:r>
            <a:rPr lang="pt-BR" sz="1100" b="1" i="1">
              <a:effectLst/>
              <a:latin typeface="+mn-lt"/>
              <a:ea typeface="+mn-ea"/>
              <a:cs typeface="+mn-cs"/>
            </a:rPr>
            <a:t>– MG</a:t>
          </a:r>
          <a:endParaRPr lang="pt-BR">
            <a:effectLst/>
          </a:endParaRPr>
        </a:p>
        <a:p>
          <a:pPr algn="ctr"/>
          <a:r>
            <a:rPr lang="pt-BR" sz="1100" i="1">
              <a:effectLst/>
              <a:latin typeface="+mn-lt"/>
              <a:ea typeface="+mn-ea"/>
              <a:cs typeface="+mn-cs"/>
            </a:rPr>
            <a:t> </a:t>
          </a:r>
          <a:endParaRPr lang="pt-BR">
            <a:effectLst/>
          </a:endParaRPr>
        </a:p>
      </xdr:txBody>
    </xdr:sp>
    <xdr:clientData/>
  </xdr:twoCellAnchor>
  <xdr:twoCellAnchor>
    <xdr:from>
      <xdr:col>1</xdr:col>
      <xdr:colOff>1009650</xdr:colOff>
      <xdr:row>0</xdr:row>
      <xdr:rowOff>0</xdr:rowOff>
    </xdr:from>
    <xdr:to>
      <xdr:col>5</xdr:col>
      <xdr:colOff>685801</xdr:colOff>
      <xdr:row>0</xdr:row>
      <xdr:rowOff>47624</xdr:rowOff>
    </xdr:to>
    <xdr:sp macro="" textlink="">
      <xdr:nvSpPr>
        <xdr:cNvPr id="8" name="Text Box 6">
          <a:extLst>
            <a:ext uri="{FF2B5EF4-FFF2-40B4-BE49-F238E27FC236}">
              <a16:creationId xmlns:a16="http://schemas.microsoft.com/office/drawing/2014/main" id="{00000000-0008-0000-0100-000008000000}"/>
            </a:ext>
          </a:extLst>
        </xdr:cNvPr>
        <xdr:cNvSpPr txBox="1">
          <a:spLocks noChangeArrowheads="1"/>
        </xdr:cNvSpPr>
      </xdr:nvSpPr>
      <xdr:spPr bwMode="auto">
        <a:xfrm>
          <a:off x="1371600" y="57149"/>
          <a:ext cx="7781926" cy="1009650"/>
        </a:xfrm>
        <a:prstGeom prst="rect">
          <a:avLst/>
        </a:prstGeom>
        <a:noFill/>
        <a:ln w="9525">
          <a:noFill/>
          <a:miter lim="800000"/>
          <a:headEnd/>
          <a:tailEnd/>
        </a:ln>
      </xdr:spPr>
      <xdr:txBody>
        <a:bodyPr vertOverflow="clip" wrap="square" lIns="27432" tIns="22860" rIns="0" bIns="0" anchor="ctr" upright="1"/>
        <a:lstStyle/>
        <a:p>
          <a:pPr algn="ctr" rtl="0">
            <a:defRPr sz="1000"/>
          </a:pPr>
          <a:endParaRPr lang="pt-BR" sz="1050" b="1" i="0" u="none" strike="noStrike" baseline="0">
            <a:solidFill>
              <a:srgbClr val="FF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49</xdr:row>
      <xdr:rowOff>0</xdr:rowOff>
    </xdr:from>
    <xdr:to>
      <xdr:col>9</xdr:col>
      <xdr:colOff>0</xdr:colOff>
      <xdr:row>52</xdr:row>
      <xdr:rowOff>83589</xdr:rowOff>
    </xdr:to>
    <xdr:sp macro="" textlink="">
      <xdr:nvSpPr>
        <xdr:cNvPr id="6" name="Text Box 7">
          <a:extLst>
            <a:ext uri="{FF2B5EF4-FFF2-40B4-BE49-F238E27FC236}">
              <a16:creationId xmlns:a16="http://schemas.microsoft.com/office/drawing/2014/main" id="{00000000-0008-0000-0600-000006000000}"/>
            </a:ext>
          </a:extLst>
        </xdr:cNvPr>
        <xdr:cNvSpPr txBox="1">
          <a:spLocks noChangeArrowheads="1"/>
        </xdr:cNvSpPr>
      </xdr:nvSpPr>
      <xdr:spPr bwMode="auto">
        <a:xfrm>
          <a:off x="47625" y="6096000"/>
          <a:ext cx="11678271" cy="597939"/>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pt-B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1040130</xdr:colOff>
      <xdr:row>0</xdr:row>
      <xdr:rowOff>0</xdr:rowOff>
    </xdr:from>
    <xdr:to>
      <xdr:col>5</xdr:col>
      <xdr:colOff>701042</xdr:colOff>
      <xdr:row>0</xdr:row>
      <xdr:rowOff>47624</xdr:rowOff>
    </xdr:to>
    <xdr:sp macro="" textlink="">
      <xdr:nvSpPr>
        <xdr:cNvPr id="2" name="Text Box 6">
          <a:extLst>
            <a:ext uri="{FF2B5EF4-FFF2-40B4-BE49-F238E27FC236}">
              <a16:creationId xmlns:a16="http://schemas.microsoft.com/office/drawing/2014/main" id="{00000000-0008-0000-0200-000002000000}"/>
            </a:ext>
          </a:extLst>
        </xdr:cNvPr>
        <xdr:cNvSpPr txBox="1">
          <a:spLocks noChangeArrowheads="1"/>
        </xdr:cNvSpPr>
      </xdr:nvSpPr>
      <xdr:spPr bwMode="auto">
        <a:xfrm>
          <a:off x="1413510" y="0"/>
          <a:ext cx="10336532" cy="47624"/>
        </a:xfrm>
        <a:prstGeom prst="rect">
          <a:avLst/>
        </a:prstGeom>
        <a:noFill/>
        <a:ln w="9525">
          <a:noFill/>
          <a:miter lim="800000"/>
          <a:headEnd/>
          <a:tailEnd/>
        </a:ln>
      </xdr:spPr>
      <xdr:txBody>
        <a:bodyPr vertOverflow="clip" wrap="square" lIns="27432" tIns="22860" rIns="0" bIns="0" anchor="ctr" upright="1"/>
        <a:lstStyle/>
        <a:p>
          <a:pPr algn="ctr"/>
          <a:endParaRPr lang="pt-BR" sz="1100">
            <a:effectLst/>
            <a:latin typeface="+mn-lt"/>
            <a:ea typeface="+mn-ea"/>
            <a:cs typeface="+mn-cs"/>
          </a:endParaRPr>
        </a:p>
        <a:p>
          <a:pPr algn="ctr" rtl="0">
            <a:defRPr sz="1000"/>
          </a:pPr>
          <a:endParaRPr lang="pt-BR" sz="1050" b="1" i="0" u="none" strike="noStrike" baseline="0">
            <a:solidFill>
              <a:srgbClr val="FF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742950</xdr:colOff>
      <xdr:row>48</xdr:row>
      <xdr:rowOff>0</xdr:rowOff>
    </xdr:from>
    <xdr:ext cx="65" cy="172227"/>
    <xdr:sp macro="" textlink="">
      <xdr:nvSpPr>
        <xdr:cNvPr id="2" name="CaixaDeTexto 1">
          <a:extLst>
            <a:ext uri="{FF2B5EF4-FFF2-40B4-BE49-F238E27FC236}">
              <a16:creationId xmlns:a16="http://schemas.microsoft.com/office/drawing/2014/main" id="{00000000-0008-0000-0300-000002000000}"/>
            </a:ext>
          </a:extLst>
        </xdr:cNvPr>
        <xdr:cNvSpPr txBox="1"/>
      </xdr:nvSpPr>
      <xdr:spPr>
        <a:xfrm>
          <a:off x="5863590" y="19446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10</xdr:row>
      <xdr:rowOff>118110</xdr:rowOff>
    </xdr:from>
    <xdr:ext cx="65" cy="180056"/>
    <xdr:sp macro="" textlink="">
      <xdr:nvSpPr>
        <xdr:cNvPr id="3" name="CaixaDeTexto 2">
          <a:extLst>
            <a:ext uri="{FF2B5EF4-FFF2-40B4-BE49-F238E27FC236}">
              <a16:creationId xmlns:a16="http://schemas.microsoft.com/office/drawing/2014/main" id="{00000000-0008-0000-0300-000003000000}"/>
            </a:ext>
          </a:extLst>
        </xdr:cNvPr>
        <xdr:cNvSpPr txBox="1"/>
      </xdr:nvSpPr>
      <xdr:spPr>
        <a:xfrm>
          <a:off x="5863590" y="428625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42</xdr:row>
      <xdr:rowOff>0</xdr:rowOff>
    </xdr:from>
    <xdr:ext cx="65" cy="172227"/>
    <xdr:sp macro="" textlink="">
      <xdr:nvSpPr>
        <xdr:cNvPr id="4" name="CaixaDeTexto 3">
          <a:extLst>
            <a:ext uri="{FF2B5EF4-FFF2-40B4-BE49-F238E27FC236}">
              <a16:creationId xmlns:a16="http://schemas.microsoft.com/office/drawing/2014/main" id="{00000000-0008-0000-0300-000004000000}"/>
            </a:ext>
          </a:extLst>
        </xdr:cNvPr>
        <xdr:cNvSpPr txBox="1"/>
      </xdr:nvSpPr>
      <xdr:spPr>
        <a:xfrm>
          <a:off x="5863590" y="1698498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42</xdr:row>
      <xdr:rowOff>110490</xdr:rowOff>
    </xdr:from>
    <xdr:ext cx="65" cy="180056"/>
    <xdr:sp macro="" textlink="">
      <xdr:nvSpPr>
        <xdr:cNvPr id="5" name="CaixaDeTexto 4">
          <a:extLst>
            <a:ext uri="{FF2B5EF4-FFF2-40B4-BE49-F238E27FC236}">
              <a16:creationId xmlns:a16="http://schemas.microsoft.com/office/drawing/2014/main" id="{00000000-0008-0000-0300-000005000000}"/>
            </a:ext>
          </a:extLst>
        </xdr:cNvPr>
        <xdr:cNvSpPr txBox="1"/>
      </xdr:nvSpPr>
      <xdr:spPr>
        <a:xfrm>
          <a:off x="5863590" y="1709547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26</xdr:row>
      <xdr:rowOff>0</xdr:rowOff>
    </xdr:from>
    <xdr:ext cx="65" cy="180056"/>
    <xdr:sp macro="" textlink="">
      <xdr:nvSpPr>
        <xdr:cNvPr id="6" name="CaixaDeTexto 5">
          <a:extLst>
            <a:ext uri="{FF2B5EF4-FFF2-40B4-BE49-F238E27FC236}">
              <a16:creationId xmlns:a16="http://schemas.microsoft.com/office/drawing/2014/main" id="{00000000-0008-0000-0300-000006000000}"/>
            </a:ext>
          </a:extLst>
        </xdr:cNvPr>
        <xdr:cNvSpPr txBox="1"/>
      </xdr:nvSpPr>
      <xdr:spPr>
        <a:xfrm>
          <a:off x="5863590" y="651891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26</xdr:row>
      <xdr:rowOff>0</xdr:rowOff>
    </xdr:from>
    <xdr:ext cx="65" cy="180056"/>
    <xdr:sp macro="" textlink="">
      <xdr:nvSpPr>
        <xdr:cNvPr id="7" name="CaixaDeTexto 6">
          <a:extLst>
            <a:ext uri="{FF2B5EF4-FFF2-40B4-BE49-F238E27FC236}">
              <a16:creationId xmlns:a16="http://schemas.microsoft.com/office/drawing/2014/main" id="{00000000-0008-0000-0300-000007000000}"/>
            </a:ext>
          </a:extLst>
        </xdr:cNvPr>
        <xdr:cNvSpPr txBox="1"/>
      </xdr:nvSpPr>
      <xdr:spPr>
        <a:xfrm>
          <a:off x="5863590" y="863727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26</xdr:row>
      <xdr:rowOff>0</xdr:rowOff>
    </xdr:from>
    <xdr:ext cx="65" cy="180056"/>
    <xdr:sp macro="" textlink="">
      <xdr:nvSpPr>
        <xdr:cNvPr id="8" name="CaixaDeTexto 7">
          <a:extLst>
            <a:ext uri="{FF2B5EF4-FFF2-40B4-BE49-F238E27FC236}">
              <a16:creationId xmlns:a16="http://schemas.microsoft.com/office/drawing/2014/main" id="{00000000-0008-0000-0300-000008000000}"/>
            </a:ext>
          </a:extLst>
        </xdr:cNvPr>
        <xdr:cNvSpPr txBox="1"/>
      </xdr:nvSpPr>
      <xdr:spPr>
        <a:xfrm>
          <a:off x="5863590" y="983361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26</xdr:row>
      <xdr:rowOff>118110</xdr:rowOff>
    </xdr:from>
    <xdr:ext cx="65" cy="180056"/>
    <xdr:sp macro="" textlink="">
      <xdr:nvSpPr>
        <xdr:cNvPr id="9" name="CaixaDeTexto 8">
          <a:extLst>
            <a:ext uri="{FF2B5EF4-FFF2-40B4-BE49-F238E27FC236}">
              <a16:creationId xmlns:a16="http://schemas.microsoft.com/office/drawing/2014/main" id="{00000000-0008-0000-0300-000009000000}"/>
            </a:ext>
          </a:extLst>
        </xdr:cNvPr>
        <xdr:cNvSpPr txBox="1"/>
      </xdr:nvSpPr>
      <xdr:spPr>
        <a:xfrm>
          <a:off x="5863590" y="1111377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41</xdr:row>
      <xdr:rowOff>0</xdr:rowOff>
    </xdr:from>
    <xdr:ext cx="65" cy="180056"/>
    <xdr:sp macro="" textlink="">
      <xdr:nvSpPr>
        <xdr:cNvPr id="10" name="CaixaDeTexto 9">
          <a:extLst>
            <a:ext uri="{FF2B5EF4-FFF2-40B4-BE49-F238E27FC236}">
              <a16:creationId xmlns:a16="http://schemas.microsoft.com/office/drawing/2014/main" id="{00000000-0008-0000-0300-00000A000000}"/>
            </a:ext>
          </a:extLst>
        </xdr:cNvPr>
        <xdr:cNvSpPr txBox="1"/>
      </xdr:nvSpPr>
      <xdr:spPr>
        <a:xfrm>
          <a:off x="5863590" y="1479423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41</xdr:row>
      <xdr:rowOff>0</xdr:rowOff>
    </xdr:from>
    <xdr:ext cx="65" cy="180056"/>
    <xdr:sp macro="" textlink="">
      <xdr:nvSpPr>
        <xdr:cNvPr id="11" name="CaixaDeTexto 10">
          <a:extLst>
            <a:ext uri="{FF2B5EF4-FFF2-40B4-BE49-F238E27FC236}">
              <a16:creationId xmlns:a16="http://schemas.microsoft.com/office/drawing/2014/main" id="{00000000-0008-0000-0300-00000B000000}"/>
            </a:ext>
          </a:extLst>
        </xdr:cNvPr>
        <xdr:cNvSpPr txBox="1"/>
      </xdr:nvSpPr>
      <xdr:spPr>
        <a:xfrm>
          <a:off x="5863590" y="1352931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42</xdr:row>
      <xdr:rowOff>0</xdr:rowOff>
    </xdr:from>
    <xdr:ext cx="65" cy="180056"/>
    <xdr:sp macro="" textlink="">
      <xdr:nvSpPr>
        <xdr:cNvPr id="12" name="CaixaDeTexto 11">
          <a:extLst>
            <a:ext uri="{FF2B5EF4-FFF2-40B4-BE49-F238E27FC236}">
              <a16:creationId xmlns:a16="http://schemas.microsoft.com/office/drawing/2014/main" id="{00000000-0008-0000-0300-00000C000000}"/>
            </a:ext>
          </a:extLst>
        </xdr:cNvPr>
        <xdr:cNvSpPr txBox="1"/>
      </xdr:nvSpPr>
      <xdr:spPr>
        <a:xfrm>
          <a:off x="5863590" y="1663446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42</xdr:row>
      <xdr:rowOff>0</xdr:rowOff>
    </xdr:from>
    <xdr:ext cx="65" cy="180056"/>
    <xdr:sp macro="" textlink="">
      <xdr:nvSpPr>
        <xdr:cNvPr id="13" name="CaixaDeTexto 12">
          <a:extLst>
            <a:ext uri="{FF2B5EF4-FFF2-40B4-BE49-F238E27FC236}">
              <a16:creationId xmlns:a16="http://schemas.microsoft.com/office/drawing/2014/main" id="{00000000-0008-0000-0300-00000D000000}"/>
            </a:ext>
          </a:extLst>
        </xdr:cNvPr>
        <xdr:cNvSpPr txBox="1"/>
      </xdr:nvSpPr>
      <xdr:spPr>
        <a:xfrm>
          <a:off x="5863590" y="15480030"/>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42</xdr:row>
      <xdr:rowOff>0</xdr:rowOff>
    </xdr:from>
    <xdr:ext cx="65" cy="180056"/>
    <xdr:sp macro="" textlink="">
      <xdr:nvSpPr>
        <xdr:cNvPr id="14" name="CaixaDeTexto 13">
          <a:extLst>
            <a:ext uri="{FF2B5EF4-FFF2-40B4-BE49-F238E27FC236}">
              <a16:creationId xmlns:a16="http://schemas.microsoft.com/office/drawing/2014/main" id="{00000000-0008-0000-0300-00000E000000}"/>
            </a:ext>
          </a:extLst>
        </xdr:cNvPr>
        <xdr:cNvSpPr txBox="1"/>
      </xdr:nvSpPr>
      <xdr:spPr>
        <a:xfrm>
          <a:off x="5881007" y="7326086"/>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42</xdr:row>
      <xdr:rowOff>0</xdr:rowOff>
    </xdr:from>
    <xdr:ext cx="65" cy="180056"/>
    <xdr:sp macro="" textlink="">
      <xdr:nvSpPr>
        <xdr:cNvPr id="15" name="CaixaDeTexto 14">
          <a:extLst>
            <a:ext uri="{FF2B5EF4-FFF2-40B4-BE49-F238E27FC236}">
              <a16:creationId xmlns:a16="http://schemas.microsoft.com/office/drawing/2014/main" id="{00000000-0008-0000-0300-00000F000000}"/>
            </a:ext>
          </a:extLst>
        </xdr:cNvPr>
        <xdr:cNvSpPr txBox="1"/>
      </xdr:nvSpPr>
      <xdr:spPr>
        <a:xfrm>
          <a:off x="5881007" y="7326086"/>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42</xdr:row>
      <xdr:rowOff>0</xdr:rowOff>
    </xdr:from>
    <xdr:ext cx="65" cy="180056"/>
    <xdr:sp macro="" textlink="">
      <xdr:nvSpPr>
        <xdr:cNvPr id="16" name="CaixaDeTexto 15">
          <a:extLst>
            <a:ext uri="{FF2B5EF4-FFF2-40B4-BE49-F238E27FC236}">
              <a16:creationId xmlns:a16="http://schemas.microsoft.com/office/drawing/2014/main" id="{00000000-0008-0000-0300-000010000000}"/>
            </a:ext>
          </a:extLst>
        </xdr:cNvPr>
        <xdr:cNvSpPr txBox="1"/>
      </xdr:nvSpPr>
      <xdr:spPr>
        <a:xfrm>
          <a:off x="5881007" y="7326086"/>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oneCellAnchor>
    <xdr:from>
      <xdr:col>4</xdr:col>
      <xdr:colOff>742950</xdr:colOff>
      <xdr:row>42</xdr:row>
      <xdr:rowOff>0</xdr:rowOff>
    </xdr:from>
    <xdr:ext cx="65" cy="180056"/>
    <xdr:sp macro="" textlink="">
      <xdr:nvSpPr>
        <xdr:cNvPr id="17" name="CaixaDeTexto 16">
          <a:extLst>
            <a:ext uri="{FF2B5EF4-FFF2-40B4-BE49-F238E27FC236}">
              <a16:creationId xmlns:a16="http://schemas.microsoft.com/office/drawing/2014/main" id="{00000000-0008-0000-0300-000011000000}"/>
            </a:ext>
          </a:extLst>
        </xdr:cNvPr>
        <xdr:cNvSpPr txBox="1"/>
      </xdr:nvSpPr>
      <xdr:spPr>
        <a:xfrm>
          <a:off x="5881007" y="7444196"/>
          <a:ext cx="65" cy="1800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t-B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2017/PMBF/CAL&#199;AMENTO%20SANTA%20TEREZINHA/PLANILHA%20M&#218;LTIPLA%202.3_BIAS%20FORTES_REV%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2017\PMBF\CAL&#199;AMENTO%20SANTA%20TEREZINHA\PLANILHA%20M&#218;LTIPLA%202.3_BIAS%20FORTES_REV%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sheetData sheetId="1"/>
      <sheetData sheetId="2">
        <row r="29">
          <cell r="G29">
            <v>42826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al"/>
      <sheetName val="Novo!"/>
      <sheetName val="Dados"/>
      <sheetName val="BDI"/>
      <sheetName val="Orçamento"/>
      <sheetName val="Memória"/>
      <sheetName val="Comp"/>
      <sheetName val="Cot"/>
      <sheetName val="CronoFF"/>
      <sheetName val="QCI"/>
      <sheetName val="Memorial Descritivo"/>
      <sheetName val="Licitação"/>
      <sheetName val="CronoFF-L"/>
      <sheetName val="QCI-L"/>
      <sheetName val="BM"/>
      <sheetName val="RRE"/>
      <sheetName val="OFÍCIO"/>
      <sheetName val="CC"/>
    </sheetNames>
    <sheetDataSet>
      <sheetData sheetId="0"/>
      <sheetData sheetId="1"/>
      <sheetData sheetId="2">
        <row r="29">
          <cell r="G29">
            <v>42826</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59"/>
  <sheetViews>
    <sheetView showGridLines="0" showZeros="0" tabSelected="1" view="pageBreakPreview" topLeftCell="A141" zoomScaleSheetLayoutView="100" workbookViewId="0">
      <selection activeCell="H159" sqref="H159"/>
    </sheetView>
  </sheetViews>
  <sheetFormatPr defaultRowHeight="13.2" x14ac:dyDescent="0.25"/>
  <cols>
    <col min="1" max="1" width="5.44140625" bestFit="1" customWidth="1"/>
    <col min="2" max="2" width="13.88671875" customWidth="1"/>
    <col min="3" max="3" width="24.109375" customWidth="1"/>
    <col min="4" max="4" width="82.21875" customWidth="1"/>
    <col min="5" max="5" width="8.33203125" customWidth="1"/>
    <col min="6" max="6" width="11" customWidth="1"/>
    <col min="7" max="7" width="12.109375" style="13" customWidth="1"/>
    <col min="8" max="8" width="13.77734375" style="13" customWidth="1"/>
    <col min="9" max="9" width="17.5546875" style="13" customWidth="1"/>
    <col min="10" max="10" width="11.33203125" bestFit="1" customWidth="1"/>
    <col min="11" max="11" width="20.5546875" customWidth="1"/>
  </cols>
  <sheetData>
    <row r="1" spans="1:14" s="16" customFormat="1" ht="22.5" customHeight="1" x14ac:dyDescent="0.25">
      <c r="A1" s="528" t="s">
        <v>31</v>
      </c>
      <c r="B1" s="529"/>
      <c r="C1" s="529"/>
      <c r="D1" s="529"/>
      <c r="E1" s="529"/>
      <c r="F1" s="529"/>
      <c r="G1" s="529"/>
      <c r="H1" s="529"/>
      <c r="I1" s="530"/>
      <c r="J1" s="17"/>
    </row>
    <row r="2" spans="1:14" s="6" customFormat="1" ht="19.95" customHeight="1" x14ac:dyDescent="0.25">
      <c r="A2" s="539" t="s">
        <v>703</v>
      </c>
      <c r="B2" s="537"/>
      <c r="C2" s="537"/>
      <c r="D2" s="537"/>
      <c r="E2" s="540"/>
      <c r="F2" s="536" t="s">
        <v>14</v>
      </c>
      <c r="G2" s="537"/>
      <c r="H2" s="537"/>
      <c r="I2" s="538"/>
    </row>
    <row r="3" spans="1:14" s="6" customFormat="1" ht="19.95" customHeight="1" x14ac:dyDescent="0.25">
      <c r="A3" s="541" t="s">
        <v>706</v>
      </c>
      <c r="B3" s="542"/>
      <c r="C3" s="542"/>
      <c r="D3" s="542"/>
      <c r="E3" s="543"/>
      <c r="F3" s="544" t="s">
        <v>701</v>
      </c>
      <c r="G3" s="545"/>
      <c r="H3" s="531" t="s">
        <v>7</v>
      </c>
      <c r="I3" s="532"/>
    </row>
    <row r="4" spans="1:14" s="6" customFormat="1" ht="19.95" customHeight="1" x14ac:dyDescent="0.25">
      <c r="A4" s="533" t="s">
        <v>702</v>
      </c>
      <c r="B4" s="534"/>
      <c r="C4" s="534"/>
      <c r="D4" s="534"/>
      <c r="E4" s="535"/>
      <c r="F4" s="18" t="s">
        <v>15</v>
      </c>
      <c r="G4" s="21">
        <v>0.05</v>
      </c>
      <c r="H4" s="19" t="s">
        <v>18</v>
      </c>
      <c r="I4" s="20" t="s">
        <v>19</v>
      </c>
    </row>
    <row r="5" spans="1:14" s="6" customFormat="1" ht="30" customHeight="1" x14ac:dyDescent="0.25">
      <c r="A5" s="559" t="s">
        <v>568</v>
      </c>
      <c r="B5" s="560"/>
      <c r="C5" s="560"/>
      <c r="D5" s="560"/>
      <c r="E5" s="560"/>
      <c r="F5" s="561" t="s">
        <v>16</v>
      </c>
      <c r="G5" s="552" t="s">
        <v>17</v>
      </c>
      <c r="H5" s="546" t="s">
        <v>20</v>
      </c>
      <c r="I5" s="548">
        <v>0.30630000000000002</v>
      </c>
    </row>
    <row r="6" spans="1:14" ht="19.95" customHeight="1" thickBot="1" x14ac:dyDescent="0.3">
      <c r="A6" s="557" t="s">
        <v>547</v>
      </c>
      <c r="B6" s="558"/>
      <c r="C6" s="558"/>
      <c r="D6" s="558"/>
      <c r="E6" s="558"/>
      <c r="F6" s="562"/>
      <c r="G6" s="553"/>
      <c r="H6" s="547"/>
      <c r="I6" s="549"/>
    </row>
    <row r="7" spans="1:14" ht="7.5" customHeight="1" thickBot="1" x14ac:dyDescent="0.3">
      <c r="A7" s="554"/>
      <c r="B7" s="555"/>
      <c r="C7" s="555"/>
      <c r="D7" s="555"/>
      <c r="E7" s="555"/>
      <c r="F7" s="555"/>
      <c r="G7" s="555"/>
      <c r="H7" s="555"/>
      <c r="I7" s="556"/>
    </row>
    <row r="8" spans="1:14" ht="27" customHeight="1" thickBot="1" x14ac:dyDescent="0.3">
      <c r="A8" s="3" t="s">
        <v>0</v>
      </c>
      <c r="B8" s="4" t="s">
        <v>4</v>
      </c>
      <c r="C8" s="526" t="s">
        <v>1</v>
      </c>
      <c r="D8" s="527"/>
      <c r="E8" s="4" t="s">
        <v>13</v>
      </c>
      <c r="F8" s="4" t="s">
        <v>52</v>
      </c>
      <c r="G8" s="9" t="s">
        <v>53</v>
      </c>
      <c r="H8" s="9" t="s">
        <v>47</v>
      </c>
      <c r="I8" s="14" t="s">
        <v>5</v>
      </c>
    </row>
    <row r="9" spans="1:14" s="6" customFormat="1" ht="18" customHeight="1" x14ac:dyDescent="0.25">
      <c r="A9" s="37">
        <v>1</v>
      </c>
      <c r="B9" s="38"/>
      <c r="C9" s="550" t="s">
        <v>39</v>
      </c>
      <c r="D9" s="551"/>
      <c r="E9" s="39"/>
      <c r="F9" s="39"/>
      <c r="G9" s="39"/>
      <c r="H9" s="39"/>
      <c r="I9" s="41">
        <f>SUM(I10:I11)</f>
        <v>10551.037352000001</v>
      </c>
    </row>
    <row r="10" spans="1:14" s="6" customFormat="1" ht="39.6" customHeight="1" x14ac:dyDescent="0.25">
      <c r="A10" s="45" t="s">
        <v>10</v>
      </c>
      <c r="B10" s="129" t="s">
        <v>77</v>
      </c>
      <c r="C10" s="512" t="s">
        <v>78</v>
      </c>
      <c r="D10" s="513"/>
      <c r="E10" s="130" t="s">
        <v>13</v>
      </c>
      <c r="F10" s="7">
        <f>'MC II'!F8</f>
        <v>1</v>
      </c>
      <c r="G10" s="10">
        <v>1201.6400000000001</v>
      </c>
      <c r="H10" s="10">
        <f>G10*$I$5+G10</f>
        <v>1569.7023320000001</v>
      </c>
      <c r="I10" s="15">
        <f>F10*H10</f>
        <v>1569.7023320000001</v>
      </c>
      <c r="J10" s="297"/>
    </row>
    <row r="11" spans="1:14" s="6" customFormat="1" ht="19.95" customHeight="1" x14ac:dyDescent="0.25">
      <c r="A11" s="433" t="s">
        <v>396</v>
      </c>
      <c r="B11" s="434" t="s">
        <v>397</v>
      </c>
      <c r="C11" s="435" t="s">
        <v>398</v>
      </c>
      <c r="D11" s="436"/>
      <c r="E11" s="437" t="s">
        <v>9</v>
      </c>
      <c r="F11" s="438">
        <f>'MC II'!F9</f>
        <v>12</v>
      </c>
      <c r="G11" s="439">
        <v>572.95000000000005</v>
      </c>
      <c r="H11" s="439">
        <f t="shared" ref="H11" si="0">G11*$I$5+G11</f>
        <v>748.44458500000007</v>
      </c>
      <c r="I11" s="440">
        <f t="shared" ref="I11" si="1">F11*H11</f>
        <v>8981.3350200000004</v>
      </c>
      <c r="J11" s="297"/>
    </row>
    <row r="12" spans="1:14" s="6" customFormat="1" ht="18" customHeight="1" x14ac:dyDescent="0.25">
      <c r="A12" s="441"/>
      <c r="B12" s="442"/>
      <c r="C12" s="563" t="s">
        <v>587</v>
      </c>
      <c r="D12" s="564"/>
      <c r="E12" s="443"/>
      <c r="F12" s="443"/>
      <c r="G12" s="443"/>
      <c r="H12" s="443"/>
      <c r="I12" s="444">
        <f>I13+I18+I25+I30+I55+I68+I73+I78+I87+I103+I111</f>
        <v>204342.02740203717</v>
      </c>
    </row>
    <row r="13" spans="1:14" s="6" customFormat="1" ht="18" customHeight="1" x14ac:dyDescent="0.25">
      <c r="A13" s="123">
        <v>2</v>
      </c>
      <c r="B13" s="43"/>
      <c r="C13" s="124" t="s">
        <v>82</v>
      </c>
      <c r="D13" s="125"/>
      <c r="E13" s="43"/>
      <c r="F13" s="126"/>
      <c r="G13" s="43"/>
      <c r="H13" s="43"/>
      <c r="I13" s="127">
        <f>SUM(I14:I17)</f>
        <v>845.21440071599989</v>
      </c>
      <c r="K13" s="128"/>
      <c r="L13" s="99"/>
      <c r="N13" s="99"/>
    </row>
    <row r="14" spans="1:14" s="6" customFormat="1" ht="19.95" customHeight="1" x14ac:dyDescent="0.25">
      <c r="A14" s="45" t="s">
        <v>38</v>
      </c>
      <c r="B14" s="44" t="s">
        <v>83</v>
      </c>
      <c r="C14" s="400" t="s">
        <v>84</v>
      </c>
      <c r="D14" s="401"/>
      <c r="E14" s="131" t="s">
        <v>9</v>
      </c>
      <c r="F14" s="245">
        <f>'MC II'!F12</f>
        <v>60.68</v>
      </c>
      <c r="G14" s="10">
        <v>0.49</v>
      </c>
      <c r="H14" s="10">
        <f>G14*$I$5+G14</f>
        <v>0.64008699999999996</v>
      </c>
      <c r="I14" s="15">
        <f>F14*H14</f>
        <v>38.840479160000001</v>
      </c>
      <c r="J14" s="297"/>
    </row>
    <row r="15" spans="1:14" s="6" customFormat="1" ht="30" customHeight="1" x14ac:dyDescent="0.25">
      <c r="A15" s="45" t="s">
        <v>41</v>
      </c>
      <c r="B15" s="129" t="s">
        <v>73</v>
      </c>
      <c r="C15" s="512" t="s">
        <v>74</v>
      </c>
      <c r="D15" s="513"/>
      <c r="E15" s="130" t="s">
        <v>33</v>
      </c>
      <c r="F15" s="7">
        <f>'MC II'!F13</f>
        <v>12.136000000000001</v>
      </c>
      <c r="G15" s="10">
        <v>4.96</v>
      </c>
      <c r="H15" s="10">
        <f>G15*$I$5+G15</f>
        <v>6.4792480000000001</v>
      </c>
      <c r="I15" s="15">
        <f>F15*H15</f>
        <v>78.632153728000006</v>
      </c>
      <c r="J15" s="297"/>
      <c r="K15" s="128"/>
      <c r="L15" s="99"/>
      <c r="N15" s="99"/>
    </row>
    <row r="16" spans="1:14" s="63" customFormat="1" ht="18" customHeight="1" x14ac:dyDescent="0.25">
      <c r="A16" s="45" t="s">
        <v>49</v>
      </c>
      <c r="B16" s="44" t="s">
        <v>286</v>
      </c>
      <c r="C16" s="516" t="s">
        <v>76</v>
      </c>
      <c r="D16" s="517"/>
      <c r="E16" s="59" t="s">
        <v>33</v>
      </c>
      <c r="F16" s="7">
        <f>'MC II'!F14</f>
        <v>6.8529999999999998</v>
      </c>
      <c r="G16" s="10">
        <v>66.349999999999994</v>
      </c>
      <c r="H16" s="61">
        <f t="shared" ref="H16:H17" si="2">G16*$I$5+G16</f>
        <v>86.673004999999989</v>
      </c>
      <c r="I16" s="62">
        <f t="shared" ref="I16:I17" si="3">F16*H16</f>
        <v>593.97010326499992</v>
      </c>
      <c r="J16" s="297"/>
    </row>
    <row r="17" spans="1:14" s="63" customFormat="1" ht="18" customHeight="1" x14ac:dyDescent="0.25">
      <c r="A17" s="45" t="s">
        <v>51</v>
      </c>
      <c r="B17" s="58" t="s">
        <v>54</v>
      </c>
      <c r="C17" s="516" t="s">
        <v>55</v>
      </c>
      <c r="D17" s="517" t="s">
        <v>33</v>
      </c>
      <c r="E17" s="59" t="s">
        <v>33</v>
      </c>
      <c r="F17" s="7">
        <f>'MC II'!F15</f>
        <v>2.4909999999999997</v>
      </c>
      <c r="G17" s="10">
        <v>41.11</v>
      </c>
      <c r="H17" s="61">
        <f t="shared" si="2"/>
        <v>53.701993000000002</v>
      </c>
      <c r="I17" s="62">
        <f t="shared" si="3"/>
        <v>133.77166456299997</v>
      </c>
      <c r="J17" s="297"/>
    </row>
    <row r="18" spans="1:14" s="6" customFormat="1" ht="18" customHeight="1" x14ac:dyDescent="0.25">
      <c r="A18" s="123">
        <v>3</v>
      </c>
      <c r="B18" s="43"/>
      <c r="C18" s="124" t="s">
        <v>85</v>
      </c>
      <c r="D18" s="125"/>
      <c r="E18" s="43"/>
      <c r="F18" s="126"/>
      <c r="G18" s="43"/>
      <c r="H18" s="43"/>
      <c r="I18" s="127">
        <f>SUM(I19:I24)</f>
        <v>30546.92806301716</v>
      </c>
      <c r="K18" s="128"/>
      <c r="L18" s="99"/>
      <c r="N18" s="99"/>
    </row>
    <row r="19" spans="1:14" s="6" customFormat="1" ht="19.8" customHeight="1" x14ac:dyDescent="0.25">
      <c r="A19" s="45" t="s">
        <v>110</v>
      </c>
      <c r="B19" s="44" t="s">
        <v>63</v>
      </c>
      <c r="C19" s="512" t="s">
        <v>62</v>
      </c>
      <c r="D19" s="513"/>
      <c r="E19" s="131" t="s">
        <v>33</v>
      </c>
      <c r="F19" s="7">
        <f>'MC II'!F17</f>
        <v>0.47500000000000003</v>
      </c>
      <c r="G19" s="10">
        <v>543.87</v>
      </c>
      <c r="H19" s="10">
        <f>G19*$I$5+G19</f>
        <v>710.45738100000005</v>
      </c>
      <c r="I19" s="15">
        <f t="shared" ref="I19:I24" si="4">F19*H19</f>
        <v>337.46725597500006</v>
      </c>
      <c r="J19" s="297"/>
      <c r="K19" s="128"/>
      <c r="L19" s="99"/>
      <c r="N19" s="99"/>
    </row>
    <row r="20" spans="1:14" s="6" customFormat="1" ht="19.8" customHeight="1" x14ac:dyDescent="0.25">
      <c r="A20" s="45" t="s">
        <v>111</v>
      </c>
      <c r="B20" s="44" t="s">
        <v>56</v>
      </c>
      <c r="C20" s="512" t="s">
        <v>86</v>
      </c>
      <c r="D20" s="513"/>
      <c r="E20" s="131" t="s">
        <v>33</v>
      </c>
      <c r="F20" s="7">
        <f>'MC II'!F18</f>
        <v>7.5</v>
      </c>
      <c r="G20" s="10">
        <v>723.47</v>
      </c>
      <c r="H20" s="10">
        <f t="shared" ref="H20:H24" si="5">G20*$I$5+G20</f>
        <v>945.06886100000008</v>
      </c>
      <c r="I20" s="15">
        <f t="shared" si="4"/>
        <v>7088.0164575000008</v>
      </c>
      <c r="J20" s="297"/>
      <c r="K20" s="128"/>
      <c r="L20" s="99"/>
      <c r="N20" s="99"/>
    </row>
    <row r="21" spans="1:14" s="6" customFormat="1" ht="18.600000000000001" customHeight="1" x14ac:dyDescent="0.25">
      <c r="A21" s="45" t="s">
        <v>112</v>
      </c>
      <c r="B21" s="44" t="s">
        <v>57</v>
      </c>
      <c r="C21" s="512" t="s">
        <v>569</v>
      </c>
      <c r="D21" s="513"/>
      <c r="E21" s="131" t="s">
        <v>58</v>
      </c>
      <c r="F21" s="7">
        <f>'MC II'!F19</f>
        <v>260.54200000000003</v>
      </c>
      <c r="G21" s="10">
        <v>11.25</v>
      </c>
      <c r="H21" s="10">
        <f t="shared" si="5"/>
        <v>14.695875000000001</v>
      </c>
      <c r="I21" s="15">
        <f t="shared" si="4"/>
        <v>3828.8926642500005</v>
      </c>
      <c r="J21" s="297"/>
      <c r="K21" s="128"/>
      <c r="L21" s="99"/>
      <c r="N21" s="99"/>
    </row>
    <row r="22" spans="1:14" s="6" customFormat="1" ht="18.600000000000001" customHeight="1" x14ac:dyDescent="0.25">
      <c r="A22" s="45" t="s">
        <v>113</v>
      </c>
      <c r="B22" s="44" t="s">
        <v>59</v>
      </c>
      <c r="C22" s="512" t="s">
        <v>570</v>
      </c>
      <c r="D22" s="513"/>
      <c r="E22" s="131" t="s">
        <v>58</v>
      </c>
      <c r="F22" s="7">
        <f>'MC II'!F20</f>
        <v>114.90863999999998</v>
      </c>
      <c r="G22" s="10">
        <v>11.88</v>
      </c>
      <c r="H22" s="10">
        <f t="shared" si="5"/>
        <v>15.518844000000001</v>
      </c>
      <c r="I22" s="15">
        <f t="shared" si="4"/>
        <v>1783.2492584121599</v>
      </c>
      <c r="J22" s="297"/>
      <c r="K22" s="128"/>
      <c r="L22" s="99"/>
      <c r="N22" s="99"/>
    </row>
    <row r="23" spans="1:14" s="6" customFormat="1" ht="18.600000000000001" customHeight="1" x14ac:dyDescent="0.25">
      <c r="A23" s="45" t="s">
        <v>114</v>
      </c>
      <c r="B23" s="44" t="s">
        <v>60</v>
      </c>
      <c r="C23" s="512" t="s">
        <v>61</v>
      </c>
      <c r="D23" s="513"/>
      <c r="E23" s="131" t="s">
        <v>9</v>
      </c>
      <c r="F23" s="7">
        <f>'MC II'!F21</f>
        <v>118.57999999999998</v>
      </c>
      <c r="G23" s="10">
        <v>46.83</v>
      </c>
      <c r="H23" s="10">
        <f t="shared" si="5"/>
        <v>61.174028999999997</v>
      </c>
      <c r="I23" s="15">
        <f t="shared" si="4"/>
        <v>7254.0163588199985</v>
      </c>
      <c r="J23" s="297"/>
      <c r="K23" s="128"/>
      <c r="L23" s="99"/>
      <c r="N23" s="99"/>
    </row>
    <row r="24" spans="1:14" s="6" customFormat="1" ht="18.600000000000001" customHeight="1" x14ac:dyDescent="0.25">
      <c r="A24" s="45" t="s">
        <v>285</v>
      </c>
      <c r="B24" s="44" t="s">
        <v>172</v>
      </c>
      <c r="C24" s="512" t="s">
        <v>173</v>
      </c>
      <c r="D24" s="513"/>
      <c r="E24" s="131" t="s">
        <v>9</v>
      </c>
      <c r="F24" s="7">
        <f>'MC II'!F22</f>
        <v>38.06</v>
      </c>
      <c r="G24" s="10">
        <v>206.27</v>
      </c>
      <c r="H24" s="10">
        <f t="shared" si="5"/>
        <v>269.45050100000003</v>
      </c>
      <c r="I24" s="15">
        <f t="shared" si="4"/>
        <v>10255.286068060002</v>
      </c>
      <c r="J24" s="297"/>
      <c r="K24" s="128"/>
      <c r="L24" s="99"/>
      <c r="N24" s="99"/>
    </row>
    <row r="25" spans="1:14" s="63" customFormat="1" ht="18" customHeight="1" x14ac:dyDescent="0.25">
      <c r="A25" s="123">
        <v>4</v>
      </c>
      <c r="B25" s="126"/>
      <c r="C25" s="268" t="s">
        <v>87</v>
      </c>
      <c r="D25" s="269"/>
      <c r="E25" s="126"/>
      <c r="F25" s="126"/>
      <c r="G25" s="126"/>
      <c r="H25" s="126"/>
      <c r="I25" s="270">
        <f>SUM(I26:I29)</f>
        <v>20372.067341704002</v>
      </c>
      <c r="K25" s="134"/>
      <c r="L25" s="135"/>
      <c r="N25" s="135"/>
    </row>
    <row r="26" spans="1:14" s="6" customFormat="1" ht="30" customHeight="1" x14ac:dyDescent="0.25">
      <c r="A26" s="45" t="s">
        <v>175</v>
      </c>
      <c r="B26" s="129" t="s">
        <v>292</v>
      </c>
      <c r="C26" s="512" t="s">
        <v>293</v>
      </c>
      <c r="D26" s="513"/>
      <c r="E26" s="130" t="s">
        <v>9</v>
      </c>
      <c r="F26" s="7">
        <f>'MC II'!F24</f>
        <v>109.65</v>
      </c>
      <c r="G26" s="10">
        <v>123.2</v>
      </c>
      <c r="H26" s="10">
        <f>G26*$I$5+G26</f>
        <v>160.93616</v>
      </c>
      <c r="I26" s="15">
        <f>F26*H26</f>
        <v>17646.649944000001</v>
      </c>
      <c r="J26" s="297"/>
      <c r="K26" s="128"/>
      <c r="L26" s="99"/>
      <c r="N26" s="99"/>
    </row>
    <row r="27" spans="1:14" s="6" customFormat="1" ht="18.600000000000001" customHeight="1" x14ac:dyDescent="0.25">
      <c r="A27" s="45" t="s">
        <v>349</v>
      </c>
      <c r="B27" s="44" t="s">
        <v>321</v>
      </c>
      <c r="C27" s="512" t="s">
        <v>322</v>
      </c>
      <c r="D27" s="513"/>
      <c r="E27" s="131" t="s">
        <v>9</v>
      </c>
      <c r="F27" s="7">
        <f>'MC II'!F25</f>
        <v>22.86</v>
      </c>
      <c r="G27" s="10">
        <v>60.1</v>
      </c>
      <c r="H27" s="10">
        <f>G27*$I$5+G27</f>
        <v>78.508630000000011</v>
      </c>
      <c r="I27" s="15">
        <f>F27*H27</f>
        <v>1794.7072818000001</v>
      </c>
      <c r="J27" s="297"/>
      <c r="K27" s="128"/>
      <c r="L27" s="99"/>
      <c r="N27" s="99"/>
    </row>
    <row r="28" spans="1:14" s="6" customFormat="1" ht="30" customHeight="1" x14ac:dyDescent="0.25">
      <c r="A28" s="45" t="s">
        <v>714</v>
      </c>
      <c r="B28" s="129" t="s">
        <v>712</v>
      </c>
      <c r="C28" s="512" t="s">
        <v>713</v>
      </c>
      <c r="D28" s="513"/>
      <c r="E28" s="130" t="s">
        <v>33</v>
      </c>
      <c r="F28" s="7">
        <f>'MC II'!F26</f>
        <v>5.2000000000000005E-2</v>
      </c>
      <c r="G28" s="10">
        <v>2814.53</v>
      </c>
      <c r="H28" s="10">
        <f>G28*$I$5+G28</f>
        <v>3676.6205390000005</v>
      </c>
      <c r="I28" s="15">
        <f>F28*H28</f>
        <v>191.18426802800005</v>
      </c>
      <c r="J28" s="297"/>
      <c r="K28" s="128"/>
      <c r="L28" s="99"/>
      <c r="N28" s="99"/>
    </row>
    <row r="29" spans="1:14" s="6" customFormat="1" ht="30" customHeight="1" x14ac:dyDescent="0.25">
      <c r="A29" s="45" t="s">
        <v>728</v>
      </c>
      <c r="B29" s="129" t="s">
        <v>726</v>
      </c>
      <c r="C29" s="512" t="s">
        <v>727</v>
      </c>
      <c r="D29" s="513"/>
      <c r="E29" s="130" t="s">
        <v>33</v>
      </c>
      <c r="F29" s="7">
        <f>'MC II'!F27</f>
        <v>0.188</v>
      </c>
      <c r="G29" s="10">
        <v>3011.29</v>
      </c>
      <c r="H29" s="10">
        <f>G29*$I$5+G29</f>
        <v>3933.6481269999999</v>
      </c>
      <c r="I29" s="15">
        <f>F29*H29</f>
        <v>739.52584787599994</v>
      </c>
      <c r="J29" s="297"/>
      <c r="K29" s="128"/>
      <c r="L29" s="99"/>
      <c r="N29" s="99"/>
    </row>
    <row r="30" spans="1:14" s="63" customFormat="1" ht="18" customHeight="1" x14ac:dyDescent="0.25">
      <c r="A30" s="252">
        <v>5</v>
      </c>
      <c r="B30" s="253"/>
      <c r="C30" s="254" t="s">
        <v>88</v>
      </c>
      <c r="D30" s="255"/>
      <c r="E30" s="253"/>
      <c r="F30" s="253"/>
      <c r="G30" s="253"/>
      <c r="H30" s="253"/>
      <c r="I30" s="256">
        <f>SUM(I31:I54)</f>
        <v>7549.6040940000021</v>
      </c>
      <c r="K30" s="134"/>
      <c r="L30" s="135"/>
      <c r="N30" s="135"/>
    </row>
    <row r="31" spans="1:14" s="6" customFormat="1" ht="18.600000000000001" customHeight="1" x14ac:dyDescent="0.25">
      <c r="A31" s="45" t="s">
        <v>176</v>
      </c>
      <c r="B31" s="129" t="s">
        <v>228</v>
      </c>
      <c r="C31" s="512" t="s">
        <v>229</v>
      </c>
      <c r="D31" s="513"/>
      <c r="E31" s="131" t="s">
        <v>12</v>
      </c>
      <c r="F31" s="7">
        <f>'MC II'!F29</f>
        <v>26</v>
      </c>
      <c r="G31" s="10">
        <v>9.9499999999999993</v>
      </c>
      <c r="H31" s="10">
        <f>G31*$I$5+G31</f>
        <v>12.997684999999999</v>
      </c>
      <c r="I31" s="15">
        <f t="shared" ref="I31:I36" si="6">F31*H31</f>
        <v>337.93980999999997</v>
      </c>
      <c r="J31" s="297"/>
      <c r="K31" s="128"/>
      <c r="L31" s="99"/>
      <c r="N31" s="99"/>
    </row>
    <row r="32" spans="1:14" s="6" customFormat="1" ht="18.600000000000001" customHeight="1" x14ac:dyDescent="0.25">
      <c r="A32" s="45" t="s">
        <v>217</v>
      </c>
      <c r="B32" s="129" t="s">
        <v>230</v>
      </c>
      <c r="C32" s="512" t="s">
        <v>231</v>
      </c>
      <c r="D32" s="513"/>
      <c r="E32" s="131" t="s">
        <v>12</v>
      </c>
      <c r="F32" s="7">
        <f>'MC II'!F30</f>
        <v>1</v>
      </c>
      <c r="G32" s="10">
        <v>11.44</v>
      </c>
      <c r="H32" s="10">
        <f t="shared" ref="H32:H36" si="7">G32*$I$5+G32</f>
        <v>14.944071999999998</v>
      </c>
      <c r="I32" s="15">
        <f t="shared" si="6"/>
        <v>14.944071999999998</v>
      </c>
      <c r="J32" s="297"/>
      <c r="K32" s="128"/>
      <c r="L32" s="99"/>
      <c r="N32" s="99"/>
    </row>
    <row r="33" spans="1:14" s="6" customFormat="1" ht="18.600000000000001" customHeight="1" x14ac:dyDescent="0.25">
      <c r="A33" s="45" t="s">
        <v>218</v>
      </c>
      <c r="B33" s="129" t="s">
        <v>238</v>
      </c>
      <c r="C33" s="512" t="s">
        <v>236</v>
      </c>
      <c r="D33" s="513"/>
      <c r="E33" s="131" t="s">
        <v>12</v>
      </c>
      <c r="F33" s="7">
        <f>'MC II'!F31</f>
        <v>1</v>
      </c>
      <c r="G33" s="10">
        <v>17.77</v>
      </c>
      <c r="H33" s="10">
        <f t="shared" si="7"/>
        <v>23.212951</v>
      </c>
      <c r="I33" s="15">
        <f t="shared" si="6"/>
        <v>23.212951</v>
      </c>
      <c r="J33" s="297"/>
      <c r="K33" s="128"/>
      <c r="L33" s="99"/>
      <c r="N33" s="99"/>
    </row>
    <row r="34" spans="1:14" s="6" customFormat="1" ht="30.6" customHeight="1" x14ac:dyDescent="0.25">
      <c r="A34" s="45" t="s">
        <v>219</v>
      </c>
      <c r="B34" s="129" t="s">
        <v>232</v>
      </c>
      <c r="C34" s="512" t="s">
        <v>233</v>
      </c>
      <c r="D34" s="513"/>
      <c r="E34" s="131" t="s">
        <v>12</v>
      </c>
      <c r="F34" s="7">
        <f>'MC II'!F32</f>
        <v>25</v>
      </c>
      <c r="G34" s="10">
        <v>19.96</v>
      </c>
      <c r="H34" s="10">
        <f t="shared" si="7"/>
        <v>26.073748000000002</v>
      </c>
      <c r="I34" s="15">
        <f t="shared" si="6"/>
        <v>651.84370000000001</v>
      </c>
      <c r="J34" s="297"/>
      <c r="K34" s="128"/>
      <c r="L34" s="99"/>
      <c r="N34" s="99"/>
    </row>
    <row r="35" spans="1:14" s="6" customFormat="1" ht="30.6" customHeight="1" x14ac:dyDescent="0.25">
      <c r="A35" s="45" t="s">
        <v>220</v>
      </c>
      <c r="B35" s="129" t="s">
        <v>239</v>
      </c>
      <c r="C35" s="512" t="s">
        <v>237</v>
      </c>
      <c r="D35" s="513"/>
      <c r="E35" s="131" t="s">
        <v>12</v>
      </c>
      <c r="F35" s="7">
        <f>'MC II'!F33</f>
        <v>6</v>
      </c>
      <c r="G35" s="10">
        <v>25.56</v>
      </c>
      <c r="H35" s="10">
        <f t="shared" si="7"/>
        <v>33.389027999999996</v>
      </c>
      <c r="I35" s="15">
        <f t="shared" si="6"/>
        <v>200.33416799999998</v>
      </c>
      <c r="J35" s="297"/>
      <c r="K35" s="128"/>
      <c r="L35" s="99"/>
      <c r="N35" s="99"/>
    </row>
    <row r="36" spans="1:14" s="6" customFormat="1" ht="30.6" customHeight="1" x14ac:dyDescent="0.25">
      <c r="A36" s="45" t="s">
        <v>221</v>
      </c>
      <c r="B36" s="129" t="s">
        <v>234</v>
      </c>
      <c r="C36" s="512" t="s">
        <v>235</v>
      </c>
      <c r="D36" s="513"/>
      <c r="E36" s="131" t="s">
        <v>12</v>
      </c>
      <c r="F36" s="7">
        <f>'MC II'!F34</f>
        <v>18</v>
      </c>
      <c r="G36" s="10">
        <v>35.590000000000003</v>
      </c>
      <c r="H36" s="10">
        <f t="shared" si="7"/>
        <v>46.491217000000006</v>
      </c>
      <c r="I36" s="15">
        <f t="shared" si="6"/>
        <v>836.84190600000011</v>
      </c>
      <c r="J36" s="297"/>
      <c r="K36" s="128"/>
      <c r="L36" s="99"/>
      <c r="N36" s="99"/>
    </row>
    <row r="37" spans="1:14" s="6" customFormat="1" ht="30.6" customHeight="1" x14ac:dyDescent="0.25">
      <c r="A37" s="45" t="s">
        <v>222</v>
      </c>
      <c r="B37" s="129" t="s">
        <v>241</v>
      </c>
      <c r="C37" s="512" t="s">
        <v>242</v>
      </c>
      <c r="D37" s="513"/>
      <c r="E37" s="131" t="s">
        <v>13</v>
      </c>
      <c r="F37" s="7">
        <f>'MC II'!F35</f>
        <v>21</v>
      </c>
      <c r="G37" s="10">
        <v>7.19</v>
      </c>
      <c r="H37" s="10">
        <f t="shared" ref="H37:H40" si="8">G37*$I$5+G37</f>
        <v>9.392297000000001</v>
      </c>
      <c r="I37" s="15">
        <f t="shared" ref="I37:I40" si="9">F37*H37</f>
        <v>197.23823700000003</v>
      </c>
      <c r="J37" s="297"/>
      <c r="K37" s="128"/>
      <c r="L37" s="99"/>
      <c r="N37" s="99"/>
    </row>
    <row r="38" spans="1:14" s="63" customFormat="1" ht="18.600000000000001" customHeight="1" x14ac:dyDescent="0.25">
      <c r="A38" s="132" t="s">
        <v>223</v>
      </c>
      <c r="B38" s="58" t="s">
        <v>243</v>
      </c>
      <c r="C38" s="516" t="s">
        <v>244</v>
      </c>
      <c r="D38" s="517"/>
      <c r="E38" s="133" t="s">
        <v>13</v>
      </c>
      <c r="F38" s="299">
        <f>'MC II'!F36</f>
        <v>1</v>
      </c>
      <c r="G38" s="10">
        <v>8.5500000000000007</v>
      </c>
      <c r="H38" s="61">
        <f t="shared" si="8"/>
        <v>11.168865</v>
      </c>
      <c r="I38" s="62">
        <f t="shared" si="9"/>
        <v>11.168865</v>
      </c>
      <c r="J38" s="300"/>
      <c r="K38" s="134"/>
      <c r="L38" s="135"/>
      <c r="N38" s="135"/>
    </row>
    <row r="39" spans="1:14" s="63" customFormat="1" ht="18.600000000000001" customHeight="1" x14ac:dyDescent="0.25">
      <c r="A39" s="132" t="s">
        <v>224</v>
      </c>
      <c r="B39" s="58" t="s">
        <v>245</v>
      </c>
      <c r="C39" s="516" t="s">
        <v>246</v>
      </c>
      <c r="D39" s="517"/>
      <c r="E39" s="133" t="s">
        <v>13</v>
      </c>
      <c r="F39" s="299">
        <f>'MC II'!F37</f>
        <v>1</v>
      </c>
      <c r="G39" s="10">
        <v>18.36</v>
      </c>
      <c r="H39" s="61">
        <f t="shared" si="8"/>
        <v>23.983668000000002</v>
      </c>
      <c r="I39" s="62">
        <f t="shared" si="9"/>
        <v>23.983668000000002</v>
      </c>
      <c r="J39" s="300"/>
      <c r="K39" s="134"/>
      <c r="L39" s="135"/>
      <c r="N39" s="135"/>
    </row>
    <row r="40" spans="1:14" s="63" customFormat="1" ht="18.600000000000001" customHeight="1" x14ac:dyDescent="0.25">
      <c r="A40" s="132" t="s">
        <v>249</v>
      </c>
      <c r="B40" s="58" t="s">
        <v>247</v>
      </c>
      <c r="C40" s="516" t="s">
        <v>248</v>
      </c>
      <c r="D40" s="517"/>
      <c r="E40" s="133" t="s">
        <v>13</v>
      </c>
      <c r="F40" s="299">
        <f>'MC II'!F38</f>
        <v>15</v>
      </c>
      <c r="G40" s="10">
        <v>9.15</v>
      </c>
      <c r="H40" s="61">
        <f t="shared" si="8"/>
        <v>11.952645</v>
      </c>
      <c r="I40" s="62">
        <f t="shared" si="9"/>
        <v>179.28967500000002</v>
      </c>
      <c r="J40" s="300"/>
      <c r="K40" s="134"/>
      <c r="L40" s="135"/>
      <c r="N40" s="135"/>
    </row>
    <row r="41" spans="1:14" s="6" customFormat="1" ht="30.6" customHeight="1" x14ac:dyDescent="0.25">
      <c r="A41" s="45" t="s">
        <v>256</v>
      </c>
      <c r="B41" s="129" t="s">
        <v>250</v>
      </c>
      <c r="C41" s="512" t="s">
        <v>251</v>
      </c>
      <c r="D41" s="513"/>
      <c r="E41" s="131" t="s">
        <v>13</v>
      </c>
      <c r="F41" s="7">
        <f>'MC II'!F39</f>
        <v>5</v>
      </c>
      <c r="G41" s="10">
        <v>9.66</v>
      </c>
      <c r="H41" s="10">
        <f t="shared" ref="H41:H46" si="10">G41*$I$5+G41</f>
        <v>12.618857999999999</v>
      </c>
      <c r="I41" s="15">
        <f t="shared" ref="I41:I46" si="11">F41*H41</f>
        <v>63.094290000000001</v>
      </c>
      <c r="J41" s="297"/>
      <c r="K41" s="128"/>
      <c r="L41" s="99"/>
      <c r="N41" s="99"/>
    </row>
    <row r="42" spans="1:14" s="6" customFormat="1" ht="30.6" customHeight="1" x14ac:dyDescent="0.25">
      <c r="A42" s="45" t="s">
        <v>257</v>
      </c>
      <c r="B42" s="129" t="s">
        <v>262</v>
      </c>
      <c r="C42" s="512" t="s">
        <v>261</v>
      </c>
      <c r="D42" s="513"/>
      <c r="E42" s="131" t="s">
        <v>13</v>
      </c>
      <c r="F42" s="7">
        <f>'MC II'!F40</f>
        <v>3</v>
      </c>
      <c r="G42" s="10">
        <v>14.49</v>
      </c>
      <c r="H42" s="10">
        <f t="shared" si="10"/>
        <v>18.928287000000001</v>
      </c>
      <c r="I42" s="15">
        <f t="shared" si="11"/>
        <v>56.784861000000006</v>
      </c>
      <c r="J42" s="297"/>
      <c r="K42" s="128"/>
      <c r="L42" s="99"/>
      <c r="N42" s="99"/>
    </row>
    <row r="43" spans="1:14" s="6" customFormat="1" ht="30.6" customHeight="1" x14ac:dyDescent="0.25">
      <c r="A43" s="45" t="s">
        <v>258</v>
      </c>
      <c r="B43" s="129" t="s">
        <v>354</v>
      </c>
      <c r="C43" s="512" t="s">
        <v>353</v>
      </c>
      <c r="D43" s="513"/>
      <c r="E43" s="131" t="s">
        <v>13</v>
      </c>
      <c r="F43" s="7">
        <f>'MC II'!F41</f>
        <v>1</v>
      </c>
      <c r="G43" s="10">
        <v>26.49</v>
      </c>
      <c r="H43" s="10">
        <f t="shared" ref="H43" si="12">G43*$I$5+G43</f>
        <v>34.603887</v>
      </c>
      <c r="I43" s="15">
        <f t="shared" ref="I43" si="13">F43*H43</f>
        <v>34.603887</v>
      </c>
      <c r="J43" s="297"/>
      <c r="K43" s="128"/>
      <c r="L43" s="99"/>
      <c r="N43" s="99"/>
    </row>
    <row r="44" spans="1:14" s="6" customFormat="1" ht="30.6" customHeight="1" x14ac:dyDescent="0.25">
      <c r="A44" s="45" t="s">
        <v>259</v>
      </c>
      <c r="B44" s="129" t="s">
        <v>252</v>
      </c>
      <c r="C44" s="512" t="s">
        <v>253</v>
      </c>
      <c r="D44" s="513"/>
      <c r="E44" s="131" t="s">
        <v>13</v>
      </c>
      <c r="F44" s="7">
        <f>'MC II'!F42</f>
        <v>8</v>
      </c>
      <c r="G44" s="10">
        <v>9.43</v>
      </c>
      <c r="H44" s="10">
        <f t="shared" si="10"/>
        <v>12.318408999999999</v>
      </c>
      <c r="I44" s="15">
        <f t="shared" si="11"/>
        <v>98.547271999999992</v>
      </c>
      <c r="J44" s="297"/>
      <c r="K44" s="128"/>
      <c r="L44" s="99"/>
      <c r="N44" s="99"/>
    </row>
    <row r="45" spans="1:14" s="6" customFormat="1" ht="30.6" customHeight="1" x14ac:dyDescent="0.25">
      <c r="A45" s="45" t="s">
        <v>260</v>
      </c>
      <c r="B45" s="129" t="s">
        <v>254</v>
      </c>
      <c r="C45" s="512" t="s">
        <v>255</v>
      </c>
      <c r="D45" s="513"/>
      <c r="E45" s="131" t="s">
        <v>13</v>
      </c>
      <c r="F45" s="7">
        <f>'MC II'!F43</f>
        <v>8</v>
      </c>
      <c r="G45" s="10">
        <v>25.65</v>
      </c>
      <c r="H45" s="10">
        <f t="shared" si="10"/>
        <v>33.506594999999997</v>
      </c>
      <c r="I45" s="15">
        <f t="shared" si="11"/>
        <v>268.05275999999998</v>
      </c>
      <c r="J45" s="297"/>
      <c r="K45" s="128"/>
      <c r="L45" s="99"/>
      <c r="N45" s="99"/>
    </row>
    <row r="46" spans="1:14" s="6" customFormat="1" ht="30.6" customHeight="1" x14ac:dyDescent="0.25">
      <c r="A46" s="45" t="s">
        <v>267</v>
      </c>
      <c r="B46" s="129" t="s">
        <v>358</v>
      </c>
      <c r="C46" s="512" t="s">
        <v>357</v>
      </c>
      <c r="D46" s="513"/>
      <c r="E46" s="131" t="s">
        <v>13</v>
      </c>
      <c r="F46" s="7">
        <f>'MC II'!F44</f>
        <v>8</v>
      </c>
      <c r="G46" s="10">
        <v>13.81</v>
      </c>
      <c r="H46" s="10">
        <f t="shared" si="10"/>
        <v>18.040002999999999</v>
      </c>
      <c r="I46" s="15">
        <f t="shared" si="11"/>
        <v>144.32002399999999</v>
      </c>
      <c r="J46" s="297"/>
      <c r="K46" s="128"/>
      <c r="L46" s="99"/>
      <c r="N46" s="99"/>
    </row>
    <row r="47" spans="1:14" s="6" customFormat="1" ht="30.6" customHeight="1" x14ac:dyDescent="0.25">
      <c r="A47" s="45" t="s">
        <v>268</v>
      </c>
      <c r="B47" s="129" t="s">
        <v>355</v>
      </c>
      <c r="C47" s="512" t="s">
        <v>356</v>
      </c>
      <c r="D47" s="513"/>
      <c r="E47" s="131" t="s">
        <v>13</v>
      </c>
      <c r="F47" s="7">
        <f>'MC II'!F45</f>
        <v>5</v>
      </c>
      <c r="G47" s="10">
        <v>48.61</v>
      </c>
      <c r="H47" s="10">
        <f t="shared" ref="H47" si="14">G47*$I$5+G47</f>
        <v>63.499243</v>
      </c>
      <c r="I47" s="15">
        <f t="shared" ref="I47" si="15">F47*H47</f>
        <v>317.49621500000001</v>
      </c>
      <c r="J47" s="297"/>
      <c r="K47" s="128"/>
      <c r="L47" s="99"/>
      <c r="N47" s="99"/>
    </row>
    <row r="48" spans="1:14" s="6" customFormat="1" ht="30.6" customHeight="1" x14ac:dyDescent="0.25">
      <c r="A48" s="45" t="s">
        <v>269</v>
      </c>
      <c r="B48" s="129" t="s">
        <v>360</v>
      </c>
      <c r="C48" s="512" t="s">
        <v>359</v>
      </c>
      <c r="D48" s="513"/>
      <c r="E48" s="131" t="s">
        <v>13</v>
      </c>
      <c r="F48" s="7">
        <f>'MC II'!F46</f>
        <v>3</v>
      </c>
      <c r="G48" s="10">
        <v>36.25</v>
      </c>
      <c r="H48" s="10">
        <f t="shared" ref="H48:H50" si="16">G48*$I$5+G48</f>
        <v>47.353375</v>
      </c>
      <c r="I48" s="15">
        <f t="shared" ref="I48:I50" si="17">F48*H48</f>
        <v>142.060125</v>
      </c>
      <c r="J48" s="297"/>
      <c r="K48" s="128"/>
      <c r="L48" s="99"/>
      <c r="N48" s="99"/>
    </row>
    <row r="49" spans="1:14" s="6" customFormat="1" ht="30.6" customHeight="1" x14ac:dyDescent="0.25">
      <c r="A49" s="45" t="s">
        <v>270</v>
      </c>
      <c r="B49" s="129" t="s">
        <v>263</v>
      </c>
      <c r="C49" s="512" t="s">
        <v>264</v>
      </c>
      <c r="D49" s="513"/>
      <c r="E49" s="131" t="s">
        <v>13</v>
      </c>
      <c r="F49" s="7">
        <f>'MC II'!F47</f>
        <v>5</v>
      </c>
      <c r="G49" s="10">
        <v>8.6999999999999993</v>
      </c>
      <c r="H49" s="10">
        <f t="shared" si="16"/>
        <v>11.364809999999999</v>
      </c>
      <c r="I49" s="15">
        <f t="shared" si="17"/>
        <v>56.824049999999993</v>
      </c>
      <c r="J49" s="297"/>
      <c r="K49" s="128"/>
      <c r="L49" s="99"/>
      <c r="N49" s="99"/>
    </row>
    <row r="50" spans="1:14" s="6" customFormat="1" ht="30.6" customHeight="1" x14ac:dyDescent="0.25">
      <c r="A50" s="45" t="s">
        <v>271</v>
      </c>
      <c r="B50" s="129" t="s">
        <v>265</v>
      </c>
      <c r="C50" s="512" t="s">
        <v>266</v>
      </c>
      <c r="D50" s="513"/>
      <c r="E50" s="131" t="s">
        <v>13</v>
      </c>
      <c r="F50" s="7">
        <f>'MC II'!F48</f>
        <v>17</v>
      </c>
      <c r="G50" s="10">
        <v>16.559999999999999</v>
      </c>
      <c r="H50" s="10">
        <f t="shared" si="16"/>
        <v>21.632327999999998</v>
      </c>
      <c r="I50" s="15">
        <f t="shared" si="17"/>
        <v>367.74957599999993</v>
      </c>
      <c r="J50" s="297"/>
      <c r="K50" s="128"/>
      <c r="L50" s="99"/>
      <c r="N50" s="99"/>
    </row>
    <row r="51" spans="1:14" s="6" customFormat="1" ht="30.6" customHeight="1" x14ac:dyDescent="0.25">
      <c r="A51" s="45" t="s">
        <v>279</v>
      </c>
      <c r="B51" s="129" t="s">
        <v>272</v>
      </c>
      <c r="C51" s="512" t="s">
        <v>273</v>
      </c>
      <c r="D51" s="513"/>
      <c r="E51" s="131" t="s">
        <v>13</v>
      </c>
      <c r="F51" s="7">
        <f>'MC II'!F49</f>
        <v>5</v>
      </c>
      <c r="G51" s="10">
        <v>61.95</v>
      </c>
      <c r="H51" s="10">
        <f t="shared" ref="H51:H54" si="18">G51*$I$5+G51</f>
        <v>80.925285000000002</v>
      </c>
      <c r="I51" s="15">
        <f t="shared" ref="I51:I54" si="19">F51*H51</f>
        <v>404.62642500000004</v>
      </c>
      <c r="J51" s="297"/>
      <c r="K51" s="128"/>
      <c r="L51" s="99"/>
      <c r="N51" s="99"/>
    </row>
    <row r="52" spans="1:14" s="6" customFormat="1" ht="30.6" customHeight="1" x14ac:dyDescent="0.25">
      <c r="A52" s="45" t="s">
        <v>280</v>
      </c>
      <c r="B52" s="129" t="s">
        <v>274</v>
      </c>
      <c r="C52" s="512" t="s">
        <v>275</v>
      </c>
      <c r="D52" s="513"/>
      <c r="E52" s="131" t="s">
        <v>13</v>
      </c>
      <c r="F52" s="7">
        <f>'MC II'!F50</f>
        <v>2</v>
      </c>
      <c r="G52" s="10">
        <v>733.36</v>
      </c>
      <c r="H52" s="10">
        <f t="shared" si="18"/>
        <v>957.98816800000009</v>
      </c>
      <c r="I52" s="15">
        <f t="shared" si="19"/>
        <v>1915.9763360000002</v>
      </c>
      <c r="J52" s="297"/>
      <c r="K52" s="128"/>
      <c r="L52" s="99"/>
      <c r="N52" s="99"/>
    </row>
    <row r="53" spans="1:14" s="63" customFormat="1" ht="18.600000000000001" customHeight="1" x14ac:dyDescent="0.25">
      <c r="A53" s="132" t="s">
        <v>281</v>
      </c>
      <c r="B53" s="58" t="s">
        <v>276</v>
      </c>
      <c r="C53" s="516" t="s">
        <v>277</v>
      </c>
      <c r="D53" s="517"/>
      <c r="E53" s="133" t="s">
        <v>13</v>
      </c>
      <c r="F53" s="299">
        <f>'MC II'!F51</f>
        <v>2</v>
      </c>
      <c r="G53" s="10">
        <v>28.14</v>
      </c>
      <c r="H53" s="61">
        <f t="shared" si="18"/>
        <v>36.759281999999999</v>
      </c>
      <c r="I53" s="62">
        <f t="shared" si="19"/>
        <v>73.518563999999998</v>
      </c>
      <c r="J53" s="300"/>
      <c r="K53" s="134"/>
      <c r="L53" s="135"/>
      <c r="N53" s="135"/>
    </row>
    <row r="54" spans="1:14" s="6" customFormat="1" ht="30.6" customHeight="1" x14ac:dyDescent="0.25">
      <c r="A54" s="45" t="s">
        <v>282</v>
      </c>
      <c r="B54" s="129" t="s">
        <v>278</v>
      </c>
      <c r="C54" s="512" t="s">
        <v>154</v>
      </c>
      <c r="D54" s="513"/>
      <c r="E54" s="131" t="s">
        <v>13</v>
      </c>
      <c r="F54" s="7">
        <f>'MC II'!F52</f>
        <v>1</v>
      </c>
      <c r="G54" s="10">
        <v>864.39</v>
      </c>
      <c r="H54" s="10">
        <f t="shared" si="18"/>
        <v>1129.1526570000001</v>
      </c>
      <c r="I54" s="15">
        <f t="shared" si="19"/>
        <v>1129.1526570000001</v>
      </c>
      <c r="J54" s="297"/>
      <c r="K54" s="128"/>
      <c r="L54" s="99"/>
      <c r="N54" s="99"/>
    </row>
    <row r="55" spans="1:14" s="63" customFormat="1" ht="18" customHeight="1" x14ac:dyDescent="0.25">
      <c r="A55" s="252">
        <v>6</v>
      </c>
      <c r="B55" s="253"/>
      <c r="C55" s="254" t="s">
        <v>89</v>
      </c>
      <c r="D55" s="255"/>
      <c r="E55" s="253"/>
      <c r="F55" s="253"/>
      <c r="G55" s="253"/>
      <c r="H55" s="253"/>
      <c r="I55" s="256">
        <f>SUM(I56:I67)</f>
        <v>16212.210622666666</v>
      </c>
      <c r="K55" s="134"/>
      <c r="L55" s="135"/>
      <c r="N55" s="135"/>
    </row>
    <row r="56" spans="1:14" s="6" customFormat="1" ht="30.6" customHeight="1" x14ac:dyDescent="0.25">
      <c r="A56" s="45" t="s">
        <v>177</v>
      </c>
      <c r="B56" s="129" t="s">
        <v>411</v>
      </c>
      <c r="C56" s="512" t="s">
        <v>412</v>
      </c>
      <c r="D56" s="513"/>
      <c r="E56" s="131" t="s">
        <v>13</v>
      </c>
      <c r="F56" s="7">
        <v>1</v>
      </c>
      <c r="G56" s="10">
        <v>2689.42</v>
      </c>
      <c r="H56" s="61">
        <f t="shared" ref="H56" si="20">G56*$I$5+G56</f>
        <v>3513.1893460000001</v>
      </c>
      <c r="I56" s="62">
        <f t="shared" ref="I56:I59" si="21">F56*H56</f>
        <v>3513.1893460000001</v>
      </c>
      <c r="J56" s="297"/>
      <c r="K56" s="128"/>
      <c r="L56" s="99"/>
      <c r="N56" s="99"/>
    </row>
    <row r="57" spans="1:14" s="6" customFormat="1" ht="30.6" customHeight="1" x14ac:dyDescent="0.25">
      <c r="A57" s="45" t="s">
        <v>211</v>
      </c>
      <c r="B57" s="129" t="s">
        <v>561</v>
      </c>
      <c r="C57" s="512" t="s">
        <v>562</v>
      </c>
      <c r="D57" s="513"/>
      <c r="E57" s="131" t="s">
        <v>12</v>
      </c>
      <c r="F57" s="7">
        <f>'MC II'!F55</f>
        <v>30</v>
      </c>
      <c r="G57" s="10">
        <v>12.7</v>
      </c>
      <c r="H57" s="61">
        <f t="shared" ref="H57" si="22">G57*$I$5+G57</f>
        <v>16.590009999999999</v>
      </c>
      <c r="I57" s="62">
        <f t="shared" ref="I57" si="23">F57*H57</f>
        <v>497.70029999999997</v>
      </c>
      <c r="J57" s="297"/>
      <c r="K57" s="128"/>
      <c r="L57" s="99"/>
      <c r="N57" s="99"/>
    </row>
    <row r="58" spans="1:14" s="63" customFormat="1" ht="18.600000000000001" customHeight="1" x14ac:dyDescent="0.25">
      <c r="A58" s="45" t="s">
        <v>212</v>
      </c>
      <c r="B58" s="58" t="s">
        <v>565</v>
      </c>
      <c r="C58" s="516" t="s">
        <v>566</v>
      </c>
      <c r="D58" s="517"/>
      <c r="E58" s="133" t="s">
        <v>12</v>
      </c>
      <c r="F58" s="299">
        <f>'MC II'!F56</f>
        <v>30</v>
      </c>
      <c r="G58" s="10">
        <v>20.51</v>
      </c>
      <c r="H58" s="61">
        <f t="shared" ref="H58" si="24">G58*$I$5+G58</f>
        <v>26.792213000000004</v>
      </c>
      <c r="I58" s="62">
        <f t="shared" ref="I58" si="25">F58*H58</f>
        <v>803.76639000000011</v>
      </c>
      <c r="J58" s="297"/>
      <c r="K58" s="134"/>
      <c r="L58" s="135"/>
      <c r="N58" s="135"/>
    </row>
    <row r="59" spans="1:14" s="6" customFormat="1" ht="30.6" customHeight="1" x14ac:dyDescent="0.25">
      <c r="A59" s="45" t="s">
        <v>213</v>
      </c>
      <c r="B59" s="129" t="s">
        <v>558</v>
      </c>
      <c r="C59" s="512" t="s">
        <v>559</v>
      </c>
      <c r="D59" s="513" t="s">
        <v>13</v>
      </c>
      <c r="E59" s="133" t="s">
        <v>13</v>
      </c>
      <c r="F59" s="7">
        <f>'MC II'!F57</f>
        <v>1</v>
      </c>
      <c r="G59" s="10">
        <v>178.5</v>
      </c>
      <c r="H59" s="61">
        <f t="shared" ref="H59:H65" si="26">G59*$I$5+G59</f>
        <v>233.17455000000001</v>
      </c>
      <c r="I59" s="62">
        <f t="shared" si="21"/>
        <v>233.17455000000001</v>
      </c>
      <c r="J59" s="297"/>
      <c r="K59" s="128"/>
      <c r="L59" s="99"/>
      <c r="N59" s="99"/>
    </row>
    <row r="60" spans="1:14" s="63" customFormat="1" ht="27" customHeight="1" x14ac:dyDescent="0.25">
      <c r="A60" s="45" t="s">
        <v>214</v>
      </c>
      <c r="B60" s="129" t="s">
        <v>571</v>
      </c>
      <c r="C60" s="516" t="s">
        <v>572</v>
      </c>
      <c r="D60" s="517"/>
      <c r="E60" s="133" t="s">
        <v>13</v>
      </c>
      <c r="F60" s="299">
        <f>'MC II'!F58</f>
        <v>1</v>
      </c>
      <c r="G60" s="10">
        <v>98.63</v>
      </c>
      <c r="H60" s="61">
        <f t="shared" si="26"/>
        <v>128.84036900000001</v>
      </c>
      <c r="I60" s="62">
        <f t="shared" ref="I60:I66" si="27">F60*H60</f>
        <v>128.84036900000001</v>
      </c>
      <c r="J60" s="300"/>
      <c r="K60" s="134"/>
      <c r="L60" s="135"/>
      <c r="N60" s="135"/>
    </row>
    <row r="61" spans="1:14" s="63" customFormat="1" ht="18.600000000000001" customHeight="1" x14ac:dyDescent="0.25">
      <c r="A61" s="45" t="s">
        <v>215</v>
      </c>
      <c r="B61" s="58" t="s">
        <v>413</v>
      </c>
      <c r="C61" s="516" t="s">
        <v>414</v>
      </c>
      <c r="D61" s="517"/>
      <c r="E61" s="133" t="s">
        <v>13</v>
      </c>
      <c r="F61" s="299">
        <f>'MC II'!F59</f>
        <v>1</v>
      </c>
      <c r="G61" s="10">
        <v>49.15</v>
      </c>
      <c r="H61" s="61">
        <f t="shared" si="26"/>
        <v>64.204644999999999</v>
      </c>
      <c r="I61" s="62">
        <f t="shared" si="27"/>
        <v>64.204644999999999</v>
      </c>
      <c r="J61" s="300"/>
      <c r="K61" s="134"/>
      <c r="L61" s="135"/>
      <c r="N61" s="135"/>
    </row>
    <row r="62" spans="1:14" s="63" customFormat="1" ht="18.600000000000001" customHeight="1" x14ac:dyDescent="0.25">
      <c r="A62" s="45" t="s">
        <v>216</v>
      </c>
      <c r="B62" s="58" t="s">
        <v>423</v>
      </c>
      <c r="C62" s="516" t="s">
        <v>424</v>
      </c>
      <c r="D62" s="517"/>
      <c r="E62" s="133" t="s">
        <v>13</v>
      </c>
      <c r="F62" s="299">
        <f>'MC II'!F60</f>
        <v>2</v>
      </c>
      <c r="G62" s="10">
        <v>15.88</v>
      </c>
      <c r="H62" s="61">
        <f t="shared" si="26"/>
        <v>20.744044000000002</v>
      </c>
      <c r="I62" s="62">
        <f t="shared" si="27"/>
        <v>41.488088000000005</v>
      </c>
      <c r="J62" s="300"/>
      <c r="K62" s="134"/>
      <c r="L62" s="135"/>
      <c r="N62" s="135"/>
    </row>
    <row r="63" spans="1:14" s="63" customFormat="1" ht="18.600000000000001" customHeight="1" x14ac:dyDescent="0.25">
      <c r="A63" s="45" t="s">
        <v>410</v>
      </c>
      <c r="B63" s="58" t="s">
        <v>425</v>
      </c>
      <c r="C63" s="516" t="s">
        <v>426</v>
      </c>
      <c r="D63" s="517"/>
      <c r="E63" s="133" t="s">
        <v>13</v>
      </c>
      <c r="F63" s="299">
        <f>'MC II'!F61</f>
        <v>1</v>
      </c>
      <c r="G63" s="10">
        <v>15.65</v>
      </c>
      <c r="H63" s="61">
        <f t="shared" si="26"/>
        <v>20.443595000000002</v>
      </c>
      <c r="I63" s="62">
        <f t="shared" si="27"/>
        <v>20.443595000000002</v>
      </c>
      <c r="J63" s="300"/>
      <c r="K63" s="134"/>
      <c r="L63" s="135"/>
      <c r="N63" s="135"/>
    </row>
    <row r="64" spans="1:14" s="63" customFormat="1" ht="38.4" customHeight="1" x14ac:dyDescent="0.25">
      <c r="A64" s="45" t="s">
        <v>419</v>
      </c>
      <c r="B64" s="129" t="s">
        <v>90</v>
      </c>
      <c r="C64" s="516" t="s">
        <v>91</v>
      </c>
      <c r="D64" s="517"/>
      <c r="E64" s="133" t="s">
        <v>13</v>
      </c>
      <c r="F64" s="245">
        <f>'MC II'!F62</f>
        <v>9</v>
      </c>
      <c r="G64" s="10">
        <v>130.47</v>
      </c>
      <c r="H64" s="10">
        <f t="shared" si="26"/>
        <v>170.43296100000001</v>
      </c>
      <c r="I64" s="62">
        <f t="shared" si="27"/>
        <v>1533.896649</v>
      </c>
      <c r="J64" s="297"/>
      <c r="K64" s="134"/>
      <c r="L64" s="135"/>
      <c r="N64" s="135"/>
    </row>
    <row r="65" spans="1:14" s="63" customFormat="1" ht="54.6" customHeight="1" x14ac:dyDescent="0.25">
      <c r="A65" s="45" t="s">
        <v>429</v>
      </c>
      <c r="B65" s="129" t="s">
        <v>416</v>
      </c>
      <c r="C65" s="516" t="s">
        <v>417</v>
      </c>
      <c r="D65" s="517"/>
      <c r="E65" s="133" t="s">
        <v>13</v>
      </c>
      <c r="F65" s="245">
        <f>'MC II'!F63</f>
        <v>12</v>
      </c>
      <c r="G65" s="10">
        <v>248.49</v>
      </c>
      <c r="H65" s="10">
        <f t="shared" si="26"/>
        <v>324.602487</v>
      </c>
      <c r="I65" s="62">
        <f t="shared" si="27"/>
        <v>3895.229844</v>
      </c>
      <c r="J65" s="297"/>
      <c r="K65" s="134"/>
      <c r="L65" s="135"/>
      <c r="N65" s="135"/>
    </row>
    <row r="66" spans="1:14" s="6" customFormat="1" ht="30" customHeight="1" x14ac:dyDescent="0.25">
      <c r="A66" s="45" t="s">
        <v>560</v>
      </c>
      <c r="B66" s="129" t="s">
        <v>378</v>
      </c>
      <c r="C66" s="512" t="s">
        <v>379</v>
      </c>
      <c r="D66" s="513"/>
      <c r="E66" s="131" t="s">
        <v>13</v>
      </c>
      <c r="F66" s="245">
        <f>'MC II'!F64</f>
        <v>9</v>
      </c>
      <c r="G66" s="10">
        <v>62.68</v>
      </c>
      <c r="H66" s="10">
        <f t="shared" ref="H66:H67" si="28">G66*$I$5+G66</f>
        <v>81.878883999999999</v>
      </c>
      <c r="I66" s="62">
        <f t="shared" si="27"/>
        <v>736.90995599999997</v>
      </c>
      <c r="J66" s="297"/>
      <c r="K66" s="128"/>
      <c r="L66" s="99"/>
      <c r="N66" s="99"/>
    </row>
    <row r="67" spans="1:14" s="6" customFormat="1" ht="18.600000000000001" customHeight="1" x14ac:dyDescent="0.25">
      <c r="A67" s="45" t="s">
        <v>564</v>
      </c>
      <c r="B67" s="129" t="str">
        <f>'COMP.CUSTO'!B9</f>
        <v>COMP. 01</v>
      </c>
      <c r="C67" s="512" t="str">
        <f>'COMP.CUSTO'!C9</f>
        <v>LUMINÁRIA ARANDELA RÚSTICA COLONIAL FORNECIMENTO E INSTALAÇÃO INCLUINDO LÂMPADA</v>
      </c>
      <c r="D67" s="513"/>
      <c r="E67" s="131" t="s">
        <v>13</v>
      </c>
      <c r="F67" s="245">
        <f>'MC II'!F65</f>
        <v>16</v>
      </c>
      <c r="G67" s="10">
        <f>'COMP.CUSTO'!G9</f>
        <v>226.94666666666666</v>
      </c>
      <c r="H67" s="10">
        <f t="shared" si="28"/>
        <v>296.46043066666664</v>
      </c>
      <c r="I67" s="62">
        <f t="shared" ref="I67" si="29">F67*H67</f>
        <v>4743.3668906666662</v>
      </c>
      <c r="J67" s="297"/>
      <c r="K67" s="128"/>
      <c r="L67" s="99"/>
      <c r="N67" s="99"/>
    </row>
    <row r="68" spans="1:14" s="63" customFormat="1" ht="18" customHeight="1" x14ac:dyDescent="0.25">
      <c r="A68" s="252">
        <v>7</v>
      </c>
      <c r="B68" s="253"/>
      <c r="C68" s="254" t="s">
        <v>92</v>
      </c>
      <c r="D68" s="255"/>
      <c r="E68" s="253"/>
      <c r="F68" s="253"/>
      <c r="G68" s="253"/>
      <c r="H68" s="253"/>
      <c r="I68" s="256">
        <f>SUM(I69:I72)</f>
        <v>19838.168214656002</v>
      </c>
      <c r="K68" s="134"/>
      <c r="L68" s="135"/>
      <c r="N68" s="135"/>
    </row>
    <row r="69" spans="1:14" s="6" customFormat="1" ht="30" customHeight="1" x14ac:dyDescent="0.25">
      <c r="A69" s="45" t="s">
        <v>178</v>
      </c>
      <c r="B69" s="129" t="s">
        <v>93</v>
      </c>
      <c r="C69" s="512" t="s">
        <v>94</v>
      </c>
      <c r="D69" s="513"/>
      <c r="E69" s="130" t="s">
        <v>9</v>
      </c>
      <c r="F69" s="7">
        <f>'MC II'!F67</f>
        <v>151.71200000000002</v>
      </c>
      <c r="G69" s="10">
        <v>8.84</v>
      </c>
      <c r="H69" s="10">
        <f>G69*$I$5+G69</f>
        <v>11.547692</v>
      </c>
      <c r="I69" s="15">
        <f t="shared" ref="I69:I72" si="30">F69*H69</f>
        <v>1751.9234487040001</v>
      </c>
      <c r="J69" s="297"/>
      <c r="K69" s="128"/>
      <c r="L69" s="99"/>
      <c r="N69" s="99"/>
    </row>
    <row r="70" spans="1:14" s="6" customFormat="1" ht="30" customHeight="1" x14ac:dyDescent="0.25">
      <c r="A70" s="45" t="s">
        <v>209</v>
      </c>
      <c r="B70" s="129" t="s">
        <v>95</v>
      </c>
      <c r="C70" s="512" t="s">
        <v>96</v>
      </c>
      <c r="D70" s="513"/>
      <c r="E70" s="130" t="s">
        <v>9</v>
      </c>
      <c r="F70" s="7">
        <f>'MC II'!F68</f>
        <v>151.71200000000002</v>
      </c>
      <c r="G70" s="10">
        <v>31.67</v>
      </c>
      <c r="H70" s="10">
        <f t="shared" ref="H70:H72" si="31">G70*$I$5+G70</f>
        <v>41.370521000000004</v>
      </c>
      <c r="I70" s="15">
        <f t="shared" si="30"/>
        <v>6276.4044819520013</v>
      </c>
      <c r="J70" s="297"/>
      <c r="K70" s="128"/>
      <c r="L70" s="99"/>
      <c r="N70" s="99"/>
    </row>
    <row r="71" spans="1:14" s="6" customFormat="1" ht="30" customHeight="1" x14ac:dyDescent="0.25">
      <c r="A71" s="45" t="s">
        <v>392</v>
      </c>
      <c r="B71" s="129" t="s">
        <v>382</v>
      </c>
      <c r="C71" s="512" t="s">
        <v>383</v>
      </c>
      <c r="D71" s="513"/>
      <c r="E71" s="130" t="s">
        <v>9</v>
      </c>
      <c r="F71" s="7">
        <f>'MC II'!F69</f>
        <v>49.5</v>
      </c>
      <c r="G71" s="10">
        <v>165.78</v>
      </c>
      <c r="H71" s="10">
        <f t="shared" si="31"/>
        <v>216.558414</v>
      </c>
      <c r="I71" s="15">
        <f t="shared" si="30"/>
        <v>10719.641492999999</v>
      </c>
      <c r="J71" s="297"/>
      <c r="K71" s="128"/>
      <c r="L71" s="99"/>
      <c r="N71" s="99"/>
    </row>
    <row r="72" spans="1:14" s="6" customFormat="1" ht="18.600000000000001" customHeight="1" x14ac:dyDescent="0.25">
      <c r="A72" s="132" t="s">
        <v>210</v>
      </c>
      <c r="B72" s="129" t="s">
        <v>459</v>
      </c>
      <c r="C72" s="512" t="s">
        <v>573</v>
      </c>
      <c r="D72" s="513"/>
      <c r="E72" s="131" t="s">
        <v>9</v>
      </c>
      <c r="F72" s="245">
        <f>'ANEXO MC ESTRUTURA COMPLEMENTAR'!H99</f>
        <v>37.125</v>
      </c>
      <c r="G72" s="10">
        <v>22.48</v>
      </c>
      <c r="H72" s="10">
        <f t="shared" si="31"/>
        <v>29.365624</v>
      </c>
      <c r="I72" s="62">
        <f t="shared" si="30"/>
        <v>1090.198791</v>
      </c>
      <c r="J72" s="297"/>
      <c r="K72" s="128"/>
      <c r="L72" s="99"/>
      <c r="N72" s="99"/>
    </row>
    <row r="73" spans="1:14" s="6" customFormat="1" ht="18" customHeight="1" x14ac:dyDescent="0.25">
      <c r="A73" s="136">
        <v>8</v>
      </c>
      <c r="B73" s="36"/>
      <c r="C73" s="137" t="s">
        <v>97</v>
      </c>
      <c r="D73" s="138"/>
      <c r="E73" s="36"/>
      <c r="F73" s="36"/>
      <c r="G73" s="36"/>
      <c r="H73" s="36"/>
      <c r="I73" s="41">
        <f>SUM(I74:I77)</f>
        <v>9351.8850968046008</v>
      </c>
      <c r="K73" s="128"/>
      <c r="L73" s="99"/>
      <c r="N73" s="99"/>
    </row>
    <row r="74" spans="1:14" s="63" customFormat="1" ht="18.600000000000001" customHeight="1" x14ac:dyDescent="0.25">
      <c r="A74" s="132" t="s">
        <v>179</v>
      </c>
      <c r="B74" s="58" t="s">
        <v>98</v>
      </c>
      <c r="C74" s="516" t="s">
        <v>574</v>
      </c>
      <c r="D74" s="517"/>
      <c r="E74" s="133" t="s">
        <v>9</v>
      </c>
      <c r="F74" s="299">
        <f>'MC II'!F72</f>
        <v>37.766000000000005</v>
      </c>
      <c r="G74" s="10">
        <v>34.39</v>
      </c>
      <c r="H74" s="61">
        <f>G74*$I$5+G74</f>
        <v>44.923657000000006</v>
      </c>
      <c r="I74" s="62">
        <f t="shared" ref="I74:I77" si="32">F74*H74</f>
        <v>1696.5868302620004</v>
      </c>
      <c r="J74" s="300"/>
      <c r="K74" s="134"/>
      <c r="L74" s="135"/>
      <c r="N74" s="135"/>
    </row>
    <row r="75" spans="1:14" s="6" customFormat="1" ht="30" customHeight="1" x14ac:dyDescent="0.25">
      <c r="A75" s="45" t="s">
        <v>207</v>
      </c>
      <c r="B75" s="129" t="s">
        <v>169</v>
      </c>
      <c r="C75" s="512" t="s">
        <v>170</v>
      </c>
      <c r="D75" s="513"/>
      <c r="E75" s="130" t="s">
        <v>9</v>
      </c>
      <c r="F75" s="7">
        <f>'MC II'!F73</f>
        <v>43.127400000000009</v>
      </c>
      <c r="G75" s="10">
        <v>95.83</v>
      </c>
      <c r="H75" s="10">
        <f t="shared" ref="H75:H77" si="33">G75*$I$5+G75</f>
        <v>125.18272899999999</v>
      </c>
      <c r="I75" s="15">
        <f t="shared" si="32"/>
        <v>5398.8056266746007</v>
      </c>
      <c r="J75" s="297"/>
      <c r="K75" s="128"/>
      <c r="L75" s="99"/>
      <c r="N75" s="99"/>
    </row>
    <row r="76" spans="1:14" s="63" customFormat="1" ht="18.600000000000001" customHeight="1" x14ac:dyDescent="0.25">
      <c r="A76" s="132" t="s">
        <v>208</v>
      </c>
      <c r="B76" s="58" t="s">
        <v>478</v>
      </c>
      <c r="C76" s="516" t="s">
        <v>479</v>
      </c>
      <c r="D76" s="517"/>
      <c r="E76" s="133" t="s">
        <v>9</v>
      </c>
      <c r="F76" s="299">
        <f>'MC II'!F74</f>
        <v>22.42</v>
      </c>
      <c r="G76" s="10">
        <v>60.88</v>
      </c>
      <c r="H76" s="61">
        <f t="shared" si="33"/>
        <v>79.527544000000006</v>
      </c>
      <c r="I76" s="62">
        <f t="shared" si="32"/>
        <v>1783.0075364800002</v>
      </c>
      <c r="J76" s="300"/>
      <c r="K76" s="134"/>
      <c r="L76" s="135"/>
      <c r="N76" s="135"/>
    </row>
    <row r="77" spans="1:14" s="63" customFormat="1" ht="18.600000000000001" customHeight="1" x14ac:dyDescent="0.25">
      <c r="A77" s="132" t="s">
        <v>480</v>
      </c>
      <c r="B77" s="58" t="s">
        <v>481</v>
      </c>
      <c r="C77" s="516" t="s">
        <v>482</v>
      </c>
      <c r="D77" s="517"/>
      <c r="E77" s="133" t="s">
        <v>9</v>
      </c>
      <c r="F77" s="299">
        <f>'MC II'!F75</f>
        <v>10.494</v>
      </c>
      <c r="G77" s="10">
        <v>34.54</v>
      </c>
      <c r="H77" s="61">
        <f t="shared" si="33"/>
        <v>45.119602</v>
      </c>
      <c r="I77" s="62">
        <f t="shared" si="32"/>
        <v>473.48510338799997</v>
      </c>
      <c r="J77" s="300"/>
      <c r="K77" s="134"/>
      <c r="L77" s="135"/>
      <c r="N77" s="135"/>
    </row>
    <row r="78" spans="1:14" s="63" customFormat="1" ht="18" customHeight="1" x14ac:dyDescent="0.25">
      <c r="A78" s="271">
        <v>9</v>
      </c>
      <c r="B78" s="253"/>
      <c r="C78" s="272" t="s">
        <v>471</v>
      </c>
      <c r="D78" s="273"/>
      <c r="E78" s="253"/>
      <c r="F78" s="253"/>
      <c r="G78" s="253"/>
      <c r="H78" s="253"/>
      <c r="I78" s="256">
        <f>SUM(I79:I86)</f>
        <v>36287.038166979772</v>
      </c>
      <c r="K78" s="134"/>
      <c r="L78" s="135"/>
      <c r="N78" s="135">
        <f>L78*F78</f>
        <v>0</v>
      </c>
    </row>
    <row r="79" spans="1:14" s="63" customFormat="1" ht="38.4" customHeight="1" x14ac:dyDescent="0.25">
      <c r="A79" s="132" t="s">
        <v>180</v>
      </c>
      <c r="B79" s="129" t="s">
        <v>483</v>
      </c>
      <c r="C79" s="516" t="s">
        <v>484</v>
      </c>
      <c r="D79" s="517"/>
      <c r="E79" s="133" t="s">
        <v>13</v>
      </c>
      <c r="F79" s="245">
        <f>'MC II'!F77</f>
        <v>4</v>
      </c>
      <c r="G79" s="10">
        <v>926.04</v>
      </c>
      <c r="H79" s="10">
        <f>G79*$I$5+G79</f>
        <v>1209.686052</v>
      </c>
      <c r="I79" s="62">
        <f>F79*H79</f>
        <v>4838.7442080000001</v>
      </c>
      <c r="J79" s="300"/>
      <c r="K79" s="134"/>
      <c r="L79" s="135"/>
      <c r="N79" s="135"/>
    </row>
    <row r="80" spans="1:14" s="6" customFormat="1" ht="30" customHeight="1" x14ac:dyDescent="0.25">
      <c r="A80" s="45" t="s">
        <v>204</v>
      </c>
      <c r="B80" s="129" t="s">
        <v>361</v>
      </c>
      <c r="C80" s="512" t="s">
        <v>363</v>
      </c>
      <c r="D80" s="513"/>
      <c r="E80" s="131" t="s">
        <v>13</v>
      </c>
      <c r="F80" s="7">
        <f>'MC II'!F78</f>
        <v>4</v>
      </c>
      <c r="G80" s="10">
        <v>378.44</v>
      </c>
      <c r="H80" s="10">
        <f>G80*$I$5+G80</f>
        <v>494.35617200000002</v>
      </c>
      <c r="I80" s="15">
        <f>F80*H80</f>
        <v>1977.4246880000001</v>
      </c>
      <c r="J80" s="300"/>
      <c r="K80" s="128"/>
      <c r="L80" s="99"/>
      <c r="N80" s="99"/>
    </row>
    <row r="81" spans="1:14" s="6" customFormat="1" ht="30" customHeight="1" x14ac:dyDescent="0.25">
      <c r="A81" s="45" t="s">
        <v>205</v>
      </c>
      <c r="B81" s="129" t="s">
        <v>362</v>
      </c>
      <c r="C81" s="512" t="s">
        <v>364</v>
      </c>
      <c r="D81" s="513"/>
      <c r="E81" s="131" t="s">
        <v>13</v>
      </c>
      <c r="F81" s="7">
        <f>'MC II'!F79</f>
        <v>2</v>
      </c>
      <c r="G81" s="10">
        <v>422.62</v>
      </c>
      <c r="H81" s="10">
        <f>G81*$I$5+G81</f>
        <v>552.06850600000007</v>
      </c>
      <c r="I81" s="15">
        <f>F81*H81</f>
        <v>1104.1370120000001</v>
      </c>
      <c r="J81" s="300"/>
      <c r="K81" s="128"/>
      <c r="L81" s="99"/>
      <c r="N81" s="99"/>
    </row>
    <row r="82" spans="1:14" s="6" customFormat="1" ht="30" customHeight="1" x14ac:dyDescent="0.25">
      <c r="A82" s="45" t="s">
        <v>206</v>
      </c>
      <c r="B82" s="58" t="s">
        <v>365</v>
      </c>
      <c r="C82" s="512" t="str">
        <f>'COMP.CUSTO'!C17</f>
        <v xml:space="preserve">JANELA DE MADEIRA - CEDRINHO/ANGELIM OU EQUIVALENTE DA REGIÃO - DE ABRIR COM 2 FOLHAS EM GUILHOTINAS PARA VIDRO, COM BATENTE, ALIZAR E FERRAGENS. INCLUSIVE VIDROS COMUM ESP. 4 MM, ACABAMENTO E CONTRAMARCO. FORNECIMENTO E INSTALAÇÃO. </v>
      </c>
      <c r="D82" s="513"/>
      <c r="E82" s="131" t="str">
        <f>'COMP.CUSTO'!D17</f>
        <v>M2</v>
      </c>
      <c r="F82" s="245">
        <f>'MC II'!F80</f>
        <v>3</v>
      </c>
      <c r="G82" s="10">
        <f>'COMP.CUSTO'!G17</f>
        <v>1077.5197747650002</v>
      </c>
      <c r="H82" s="10">
        <f>G82*$I$5+G82</f>
        <v>1407.5640817755198</v>
      </c>
      <c r="I82" s="15">
        <f>F82*H82</f>
        <v>4222.6922453265597</v>
      </c>
      <c r="J82" s="300"/>
      <c r="K82" s="128"/>
      <c r="L82" s="99"/>
      <c r="N82" s="99"/>
    </row>
    <row r="83" spans="1:14" s="63" customFormat="1" ht="30" customHeight="1" x14ac:dyDescent="0.25">
      <c r="A83" s="45" t="s">
        <v>485</v>
      </c>
      <c r="B83" s="129" t="str">
        <f>'COMP.CUSTO'!B27</f>
        <v>COMP. 03</v>
      </c>
      <c r="C83" s="516" t="str">
        <f>'COMP.CUSTO'!C27</f>
        <v>PEITORIL / SOLEIRA DE GRANITO, NA COR AMARELO ORNAMENTAL, COM PINGADEIRA, ESP. 3CM, ACABAMENTO POLIDO, ASSENTAMENTO COM ARGAMASSA INDUSTRIALIZADA, INCLUSIVE REJUNTAMENTO</v>
      </c>
      <c r="D83" s="517"/>
      <c r="E83" s="133" t="str">
        <f>'COMP.CUSTO'!D27</f>
        <v>M2</v>
      </c>
      <c r="F83" s="60">
        <f>'MC II'!F81</f>
        <v>1.44</v>
      </c>
      <c r="G83" s="61">
        <f>'COMP.CUSTO'!G27</f>
        <v>416.33500000000004</v>
      </c>
      <c r="H83" s="61">
        <f>G83*$I$5+G83</f>
        <v>543.85841049999999</v>
      </c>
      <c r="I83" s="62">
        <f>F83*H83</f>
        <v>783.15611111999999</v>
      </c>
      <c r="J83" s="300"/>
      <c r="K83" s="134"/>
      <c r="L83" s="135"/>
      <c r="N83" s="135"/>
    </row>
    <row r="84" spans="1:14" s="63" customFormat="1" ht="18.600000000000001" customHeight="1" x14ac:dyDescent="0.25">
      <c r="A84" s="45" t="s">
        <v>715</v>
      </c>
      <c r="B84" s="58" t="s">
        <v>488</v>
      </c>
      <c r="C84" s="516" t="str">
        <f>'COMP.CUSTO'!C36</f>
        <v>BANCADA EM GRANITO AMARELO ORNAMENTAL E = 3 CM, APOIADA EM CONSOLE DE METALON 20 X 30 MM</v>
      </c>
      <c r="D84" s="517"/>
      <c r="E84" s="133" t="str">
        <f>'COMP.CUSTO'!D36</f>
        <v>M2</v>
      </c>
      <c r="F84" s="299">
        <f>'MC II'!F82</f>
        <v>4.6360000000000001</v>
      </c>
      <c r="G84" s="61">
        <f>'COMP.CUSTO'!G36</f>
        <v>551.45126000000005</v>
      </c>
      <c r="H84" s="61">
        <f t="shared" ref="H84" si="34">G84*$I$5+G84</f>
        <v>720.36078093800006</v>
      </c>
      <c r="I84" s="62">
        <f t="shared" ref="I84" si="35">F84*H84</f>
        <v>3339.5925804285685</v>
      </c>
      <c r="J84" s="300"/>
      <c r="K84" s="134"/>
      <c r="L84" s="135"/>
      <c r="N84" s="135"/>
    </row>
    <row r="85" spans="1:14" s="63" customFormat="1" ht="18.600000000000001" customHeight="1" x14ac:dyDescent="0.25">
      <c r="A85" s="45" t="s">
        <v>733</v>
      </c>
      <c r="B85" s="58" t="s">
        <v>299</v>
      </c>
      <c r="C85" s="516" t="s">
        <v>300</v>
      </c>
      <c r="D85" s="517"/>
      <c r="E85" s="133" t="s">
        <v>13</v>
      </c>
      <c r="F85" s="299">
        <f>'MC II'!F83</f>
        <v>6</v>
      </c>
      <c r="G85" s="10">
        <v>108.74</v>
      </c>
      <c r="H85" s="61">
        <f t="shared" ref="H85" si="36">G85*$I$5+G85</f>
        <v>142.04706199999998</v>
      </c>
      <c r="I85" s="62">
        <f t="shared" ref="I85" si="37">F85*H85</f>
        <v>852.2823719999999</v>
      </c>
      <c r="J85" s="300"/>
      <c r="K85" s="134"/>
      <c r="L85" s="135"/>
      <c r="N85" s="135"/>
    </row>
    <row r="86" spans="1:14" s="63" customFormat="1" ht="18.600000000000001" customHeight="1" x14ac:dyDescent="0.25">
      <c r="A86" s="45" t="s">
        <v>740</v>
      </c>
      <c r="B86" s="129" t="str">
        <f>'MC II'!B84</f>
        <v>COMP.05</v>
      </c>
      <c r="C86" s="516" t="str">
        <f>'COMP.CUSTO'!C46</f>
        <v>DIVISÓRIA EM GRANITO AMARELO ORNAMENTAL, ESP. 3CM, INCLUSIVE INSTALAÇÃO, FERRAGENS EM LATÃO CROMADO E ACESSÓRIOS</v>
      </c>
      <c r="D86" s="517"/>
      <c r="E86" s="133" t="s">
        <v>9</v>
      </c>
      <c r="F86" s="299">
        <f>'MC II'!F84</f>
        <v>18.400000000000002</v>
      </c>
      <c r="G86" s="10">
        <f>'COMP.CUSTO'!G46</f>
        <v>797.5150920000001</v>
      </c>
      <c r="H86" s="61">
        <f t="shared" ref="H86" si="38">G86*$I$5+G86</f>
        <v>1041.7939646796001</v>
      </c>
      <c r="I86" s="62">
        <f t="shared" ref="I86" si="39">F86*H86</f>
        <v>19169.008950104642</v>
      </c>
      <c r="J86" s="300"/>
      <c r="K86" s="134"/>
      <c r="L86" s="135"/>
      <c r="N86" s="135"/>
    </row>
    <row r="87" spans="1:14" s="63" customFormat="1" ht="18" customHeight="1" x14ac:dyDescent="0.25">
      <c r="A87" s="252">
        <v>10</v>
      </c>
      <c r="B87" s="253"/>
      <c r="C87" s="254" t="s">
        <v>99</v>
      </c>
      <c r="D87" s="255"/>
      <c r="E87" s="253"/>
      <c r="F87" s="253"/>
      <c r="G87" s="253"/>
      <c r="H87" s="253"/>
      <c r="I87" s="256">
        <f>SUM(I88:I102)</f>
        <v>20350.442747000001</v>
      </c>
      <c r="K87" s="134"/>
      <c r="L87" s="135"/>
      <c r="N87" s="135"/>
    </row>
    <row r="88" spans="1:14" s="6" customFormat="1" ht="38.4" customHeight="1" x14ac:dyDescent="0.25">
      <c r="A88" s="45" t="s">
        <v>181</v>
      </c>
      <c r="B88" s="129" t="s">
        <v>734</v>
      </c>
      <c r="C88" s="512" t="s">
        <v>735</v>
      </c>
      <c r="D88" s="513"/>
      <c r="E88" s="131" t="s">
        <v>13</v>
      </c>
      <c r="F88" s="7">
        <f>'MC II'!F87</f>
        <v>1</v>
      </c>
      <c r="G88" s="10">
        <v>557.97</v>
      </c>
      <c r="H88" s="10">
        <f>G88*$I$5+G88</f>
        <v>728.87621100000001</v>
      </c>
      <c r="I88" s="15">
        <f t="shared" ref="I88:I96" si="40">F88*H88</f>
        <v>728.87621100000001</v>
      </c>
      <c r="J88" s="298"/>
      <c r="K88" s="128"/>
      <c r="L88" s="99"/>
      <c r="N88" s="99"/>
    </row>
    <row r="89" spans="1:14" s="6" customFormat="1" ht="30" customHeight="1" x14ac:dyDescent="0.25">
      <c r="A89" s="45" t="s">
        <v>192</v>
      </c>
      <c r="B89" s="129" t="s">
        <v>297</v>
      </c>
      <c r="C89" s="512" t="s">
        <v>298</v>
      </c>
      <c r="D89" s="513"/>
      <c r="E89" s="130" t="s">
        <v>13</v>
      </c>
      <c r="F89" s="7">
        <f>'MC II'!F88</f>
        <v>6</v>
      </c>
      <c r="G89" s="10">
        <v>421.28</v>
      </c>
      <c r="H89" s="10">
        <f t="shared" ref="H89:H100" si="41">G89*$I$5+G89</f>
        <v>550.31806399999994</v>
      </c>
      <c r="I89" s="15">
        <f t="shared" si="40"/>
        <v>3301.9083839999994</v>
      </c>
      <c r="J89" s="298"/>
      <c r="K89" s="128"/>
      <c r="L89" s="99"/>
      <c r="N89" s="99"/>
    </row>
    <row r="90" spans="1:14" s="63" customFormat="1" ht="18.600000000000001" customHeight="1" x14ac:dyDescent="0.25">
      <c r="A90" s="45" t="s">
        <v>193</v>
      </c>
      <c r="B90" s="58" t="s">
        <v>310</v>
      </c>
      <c r="C90" s="516" t="s">
        <v>313</v>
      </c>
      <c r="D90" s="517"/>
      <c r="E90" s="133" t="s">
        <v>13</v>
      </c>
      <c r="F90" s="299">
        <f>'MC II'!F89</f>
        <v>3</v>
      </c>
      <c r="G90" s="10">
        <v>621.94000000000005</v>
      </c>
      <c r="H90" s="61">
        <f t="shared" ref="H90:H91" si="42">G90*$I$5+G90</f>
        <v>812.44022200000006</v>
      </c>
      <c r="I90" s="62">
        <f t="shared" ref="I90:I91" si="43">F90*H90</f>
        <v>2437.3206660000001</v>
      </c>
      <c r="J90" s="300"/>
      <c r="K90" s="134"/>
      <c r="L90" s="135"/>
      <c r="N90" s="135"/>
    </row>
    <row r="91" spans="1:14" s="63" customFormat="1" ht="18.600000000000001" customHeight="1" x14ac:dyDescent="0.25">
      <c r="A91" s="45" t="s">
        <v>194</v>
      </c>
      <c r="B91" s="58" t="s">
        <v>312</v>
      </c>
      <c r="C91" s="516" t="s">
        <v>311</v>
      </c>
      <c r="D91" s="517"/>
      <c r="E91" s="133" t="s">
        <v>13</v>
      </c>
      <c r="F91" s="299">
        <f>'MC II'!F90</f>
        <v>3</v>
      </c>
      <c r="G91" s="10">
        <v>245.22</v>
      </c>
      <c r="H91" s="61">
        <f t="shared" si="42"/>
        <v>320.33088600000002</v>
      </c>
      <c r="I91" s="62">
        <f t="shared" si="43"/>
        <v>960.99265800000012</v>
      </c>
      <c r="J91" s="300"/>
      <c r="K91" s="134"/>
      <c r="L91" s="135"/>
      <c r="N91" s="135"/>
    </row>
    <row r="92" spans="1:14" s="6" customFormat="1" ht="30" customHeight="1" x14ac:dyDescent="0.25">
      <c r="A92" s="45" t="s">
        <v>195</v>
      </c>
      <c r="B92" s="129" t="s">
        <v>101</v>
      </c>
      <c r="C92" s="512" t="s">
        <v>102</v>
      </c>
      <c r="D92" s="513"/>
      <c r="E92" s="130" t="s">
        <v>13</v>
      </c>
      <c r="F92" s="7">
        <f>'MC II'!F91</f>
        <v>5</v>
      </c>
      <c r="G92" s="10">
        <v>535.62</v>
      </c>
      <c r="H92" s="10">
        <f t="shared" si="41"/>
        <v>699.68040599999995</v>
      </c>
      <c r="I92" s="15">
        <f t="shared" si="40"/>
        <v>3498.4020299999997</v>
      </c>
      <c r="J92" s="300"/>
      <c r="K92" s="128"/>
      <c r="L92" s="99"/>
      <c r="N92" s="99"/>
    </row>
    <row r="93" spans="1:14" s="6" customFormat="1" ht="18.600000000000001" customHeight="1" x14ac:dyDescent="0.25">
      <c r="A93" s="45" t="s">
        <v>196</v>
      </c>
      <c r="B93" s="44" t="s">
        <v>103</v>
      </c>
      <c r="C93" s="512" t="s">
        <v>104</v>
      </c>
      <c r="D93" s="513"/>
      <c r="E93" s="131" t="s">
        <v>13</v>
      </c>
      <c r="F93" s="7">
        <f>'MC II'!F92</f>
        <v>5</v>
      </c>
      <c r="G93" s="10">
        <v>38.54</v>
      </c>
      <c r="H93" s="10">
        <f t="shared" si="41"/>
        <v>50.344802000000001</v>
      </c>
      <c r="I93" s="15">
        <f t="shared" si="40"/>
        <v>251.72401000000002</v>
      </c>
      <c r="J93" s="300"/>
      <c r="K93" s="128"/>
      <c r="L93" s="99"/>
      <c r="N93" s="99"/>
    </row>
    <row r="94" spans="1:14" s="6" customFormat="1" ht="49.2" customHeight="1" x14ac:dyDescent="0.25">
      <c r="A94" s="45" t="s">
        <v>197</v>
      </c>
      <c r="B94" s="129" t="s">
        <v>505</v>
      </c>
      <c r="C94" s="512" t="s">
        <v>506</v>
      </c>
      <c r="D94" s="513"/>
      <c r="E94" s="131" t="s">
        <v>13</v>
      </c>
      <c r="F94" s="7">
        <f>'MC II'!F93</f>
        <v>2</v>
      </c>
      <c r="G94" s="10">
        <v>923.36</v>
      </c>
      <c r="H94" s="10">
        <f t="shared" ref="H94:H95" si="44">G94*$I$5+G94</f>
        <v>1206.185168</v>
      </c>
      <c r="I94" s="15">
        <f t="shared" si="40"/>
        <v>2412.370336</v>
      </c>
      <c r="J94" s="300"/>
      <c r="K94" s="128"/>
      <c r="L94" s="99"/>
      <c r="N94" s="99"/>
    </row>
    <row r="95" spans="1:14" s="6" customFormat="1" ht="18.600000000000001" customHeight="1" x14ac:dyDescent="0.25">
      <c r="A95" s="45" t="s">
        <v>198</v>
      </c>
      <c r="B95" s="44" t="s">
        <v>508</v>
      </c>
      <c r="C95" s="512" t="s">
        <v>509</v>
      </c>
      <c r="D95" s="513"/>
      <c r="E95" s="131" t="s">
        <v>13</v>
      </c>
      <c r="F95" s="7">
        <f>'MC II'!F94</f>
        <v>2</v>
      </c>
      <c r="G95" s="10">
        <v>186.56</v>
      </c>
      <c r="H95" s="10">
        <f t="shared" si="44"/>
        <v>243.703328</v>
      </c>
      <c r="I95" s="15">
        <f t="shared" si="40"/>
        <v>487.406656</v>
      </c>
      <c r="J95" s="300"/>
      <c r="K95" s="128"/>
      <c r="L95" s="99"/>
      <c r="N95" s="99"/>
    </row>
    <row r="96" spans="1:14" s="6" customFormat="1" ht="30" customHeight="1" x14ac:dyDescent="0.25">
      <c r="A96" s="45" t="s">
        <v>199</v>
      </c>
      <c r="B96" s="129" t="s">
        <v>510</v>
      </c>
      <c r="C96" s="512" t="s">
        <v>511</v>
      </c>
      <c r="D96" s="513"/>
      <c r="E96" s="131" t="s">
        <v>13</v>
      </c>
      <c r="F96" s="7">
        <f>'MC II'!F95</f>
        <v>7</v>
      </c>
      <c r="G96" s="10">
        <v>219.43</v>
      </c>
      <c r="H96" s="10">
        <f t="shared" si="41"/>
        <v>286.64140900000001</v>
      </c>
      <c r="I96" s="15">
        <f t="shared" si="40"/>
        <v>2006.489863</v>
      </c>
      <c r="J96" s="300"/>
      <c r="K96" s="128"/>
      <c r="L96" s="99"/>
      <c r="N96" s="99"/>
    </row>
    <row r="97" spans="1:14" s="6" customFormat="1" ht="18.600000000000001" customHeight="1" x14ac:dyDescent="0.25">
      <c r="A97" s="45" t="s">
        <v>200</v>
      </c>
      <c r="B97" s="44" t="s">
        <v>306</v>
      </c>
      <c r="C97" s="512" t="s">
        <v>305</v>
      </c>
      <c r="D97" s="513"/>
      <c r="E97" s="130" t="s">
        <v>13</v>
      </c>
      <c r="F97" s="7">
        <f>'MC II'!F96</f>
        <v>5</v>
      </c>
      <c r="G97" s="10">
        <v>62.32</v>
      </c>
      <c r="H97" s="10">
        <f t="shared" ref="H97:H98" si="45">G97*$I$5+G97</f>
        <v>81.408615999999995</v>
      </c>
      <c r="I97" s="15">
        <f t="shared" ref="I97:I98" si="46">F97*H97</f>
        <v>407.04307999999997</v>
      </c>
      <c r="J97" s="298"/>
      <c r="K97" s="128"/>
      <c r="L97" s="99"/>
      <c r="N97" s="99"/>
    </row>
    <row r="98" spans="1:14" s="63" customFormat="1" ht="18.600000000000001" customHeight="1" x14ac:dyDescent="0.25">
      <c r="A98" s="45" t="s">
        <v>201</v>
      </c>
      <c r="B98" s="58" t="s">
        <v>308</v>
      </c>
      <c r="C98" s="516" t="s">
        <v>307</v>
      </c>
      <c r="D98" s="517"/>
      <c r="E98" s="133" t="s">
        <v>13</v>
      </c>
      <c r="F98" s="299">
        <f>'MC II'!F97</f>
        <v>3</v>
      </c>
      <c r="G98" s="10">
        <v>62.32</v>
      </c>
      <c r="H98" s="61">
        <f t="shared" si="45"/>
        <v>81.408615999999995</v>
      </c>
      <c r="I98" s="62">
        <f t="shared" si="46"/>
        <v>244.22584799999998</v>
      </c>
      <c r="J98" s="298"/>
      <c r="K98" s="134"/>
      <c r="L98" s="135"/>
      <c r="N98" s="135"/>
    </row>
    <row r="99" spans="1:14" s="63" customFormat="1" ht="18.600000000000001" customHeight="1" x14ac:dyDescent="0.25">
      <c r="A99" s="45" t="s">
        <v>202</v>
      </c>
      <c r="B99" s="58" t="s">
        <v>319</v>
      </c>
      <c r="C99" s="516" t="s">
        <v>318</v>
      </c>
      <c r="D99" s="517"/>
      <c r="E99" s="133" t="s">
        <v>13</v>
      </c>
      <c r="F99" s="299">
        <f>'MC II'!F98</f>
        <v>10</v>
      </c>
      <c r="G99" s="10">
        <v>60.78</v>
      </c>
      <c r="H99" s="61">
        <f t="shared" ref="H99" si="47">G99*$I$5+G99</f>
        <v>79.39691400000001</v>
      </c>
      <c r="I99" s="62">
        <f t="shared" ref="I99" si="48">F99*H99</f>
        <v>793.96914000000015</v>
      </c>
      <c r="J99" s="298"/>
      <c r="K99" s="134"/>
      <c r="L99" s="135"/>
      <c r="N99" s="135"/>
    </row>
    <row r="100" spans="1:14" s="6" customFormat="1" ht="30" customHeight="1" x14ac:dyDescent="0.25">
      <c r="A100" s="45" t="s">
        <v>203</v>
      </c>
      <c r="B100" s="129" t="s">
        <v>105</v>
      </c>
      <c r="C100" s="512" t="s">
        <v>106</v>
      </c>
      <c r="D100" s="513"/>
      <c r="E100" s="130" t="s">
        <v>13</v>
      </c>
      <c r="F100" s="7">
        <f>'MC II'!F99</f>
        <v>7</v>
      </c>
      <c r="G100" s="10">
        <v>110.57</v>
      </c>
      <c r="H100" s="10">
        <f t="shared" si="41"/>
        <v>144.437591</v>
      </c>
      <c r="I100" s="15">
        <f t="shared" ref="I100" si="49">F100*H100</f>
        <v>1011.063137</v>
      </c>
      <c r="J100" s="298"/>
      <c r="K100" s="128"/>
      <c r="L100" s="99"/>
      <c r="N100" s="99"/>
    </row>
    <row r="101" spans="1:14" s="6" customFormat="1" ht="30" customHeight="1" x14ac:dyDescent="0.25">
      <c r="A101" s="45" t="s">
        <v>309</v>
      </c>
      <c r="B101" s="129" t="s">
        <v>301</v>
      </c>
      <c r="C101" s="512" t="s">
        <v>304</v>
      </c>
      <c r="D101" s="513"/>
      <c r="E101" s="130" t="s">
        <v>13</v>
      </c>
      <c r="F101" s="7">
        <f>'MC II'!F100</f>
        <v>4</v>
      </c>
      <c r="G101" s="10">
        <v>180.88</v>
      </c>
      <c r="H101" s="10">
        <f t="shared" ref="H101:H102" si="50">G101*$I$5+G101</f>
        <v>236.28354400000001</v>
      </c>
      <c r="I101" s="15">
        <f t="shared" ref="I101:I102" si="51">F101*H101</f>
        <v>945.13417600000002</v>
      </c>
      <c r="J101" s="298"/>
      <c r="K101" s="128"/>
      <c r="L101" s="99"/>
      <c r="N101" s="99"/>
    </row>
    <row r="102" spans="1:14" s="6" customFormat="1" ht="30" customHeight="1" x14ac:dyDescent="0.25">
      <c r="A102" s="45" t="s">
        <v>314</v>
      </c>
      <c r="B102" s="129" t="s">
        <v>303</v>
      </c>
      <c r="C102" s="512" t="s">
        <v>302</v>
      </c>
      <c r="D102" s="513"/>
      <c r="E102" s="130" t="s">
        <v>13</v>
      </c>
      <c r="F102" s="7">
        <f>'MC II'!F101</f>
        <v>4</v>
      </c>
      <c r="G102" s="10">
        <v>165.26</v>
      </c>
      <c r="H102" s="10">
        <f t="shared" si="50"/>
        <v>215.87913799999998</v>
      </c>
      <c r="I102" s="15">
        <f t="shared" si="51"/>
        <v>863.51655199999993</v>
      </c>
      <c r="J102" s="298"/>
      <c r="K102" s="128"/>
      <c r="L102" s="99"/>
      <c r="N102" s="99"/>
    </row>
    <row r="103" spans="1:14" s="63" customFormat="1" ht="18" customHeight="1" x14ac:dyDescent="0.25">
      <c r="A103" s="252">
        <v>11</v>
      </c>
      <c r="B103" s="253"/>
      <c r="C103" s="254" t="s">
        <v>107</v>
      </c>
      <c r="D103" s="255"/>
      <c r="E103" s="253"/>
      <c r="F103" s="253"/>
      <c r="G103" s="253"/>
      <c r="H103" s="253"/>
      <c r="I103" s="256">
        <f>SUM(I104:I110)</f>
        <v>9354.9097795899997</v>
      </c>
      <c r="K103" s="134"/>
      <c r="L103" s="135"/>
      <c r="N103" s="135"/>
    </row>
    <row r="104" spans="1:14" s="6" customFormat="1" ht="18.600000000000001" customHeight="1" x14ac:dyDescent="0.25">
      <c r="A104" s="45" t="s">
        <v>182</v>
      </c>
      <c r="B104" s="44" t="s">
        <v>384</v>
      </c>
      <c r="C104" s="512" t="s">
        <v>385</v>
      </c>
      <c r="D104" s="513"/>
      <c r="E104" s="131" t="s">
        <v>9</v>
      </c>
      <c r="F104" s="7">
        <f>'MC II'!F95</f>
        <v>7</v>
      </c>
      <c r="G104" s="10">
        <v>21.99</v>
      </c>
      <c r="H104" s="10">
        <f t="shared" ref="H104:H105" si="52">G104*$I$5+G104</f>
        <v>28.725536999999999</v>
      </c>
      <c r="I104" s="15">
        <f t="shared" ref="I104:I105" si="53">F104*H104</f>
        <v>201.07875899999999</v>
      </c>
      <c r="J104" s="298"/>
      <c r="K104" s="128"/>
      <c r="L104" s="99"/>
      <c r="N104" s="99"/>
    </row>
    <row r="105" spans="1:14" s="6" customFormat="1" ht="18.600000000000001" customHeight="1" x14ac:dyDescent="0.25">
      <c r="A105" s="45" t="s">
        <v>187</v>
      </c>
      <c r="B105" s="44" t="s">
        <v>737</v>
      </c>
      <c r="C105" s="512" t="s">
        <v>738</v>
      </c>
      <c r="D105" s="513"/>
      <c r="E105" s="131" t="s">
        <v>9</v>
      </c>
      <c r="F105" s="7">
        <f>'MC II'!F104</f>
        <v>77.86</v>
      </c>
      <c r="G105" s="10">
        <v>26.62</v>
      </c>
      <c r="H105" s="10">
        <f t="shared" si="52"/>
        <v>34.773706000000004</v>
      </c>
      <c r="I105" s="15">
        <f t="shared" si="53"/>
        <v>2707.4807491600004</v>
      </c>
      <c r="J105" s="298"/>
      <c r="K105" s="128"/>
      <c r="L105" s="99"/>
      <c r="N105" s="99"/>
    </row>
    <row r="106" spans="1:14" s="6" customFormat="1" ht="18.600000000000001" customHeight="1" x14ac:dyDescent="0.25">
      <c r="A106" s="45" t="s">
        <v>188</v>
      </c>
      <c r="B106" s="44" t="s">
        <v>158</v>
      </c>
      <c r="C106" s="512" t="s">
        <v>159</v>
      </c>
      <c r="D106" s="513"/>
      <c r="E106" s="131" t="s">
        <v>9</v>
      </c>
      <c r="F106" s="7">
        <f>'MC II'!F105</f>
        <v>88.42</v>
      </c>
      <c r="G106" s="10">
        <v>27.77</v>
      </c>
      <c r="H106" s="10">
        <f>G106*$I$5+G106</f>
        <v>36.275950999999999</v>
      </c>
      <c r="I106" s="15">
        <f>F106*H106</f>
        <v>3207.5195874199999</v>
      </c>
      <c r="J106" s="298"/>
      <c r="K106" s="128"/>
      <c r="L106" s="99"/>
      <c r="N106" s="99"/>
    </row>
    <row r="107" spans="1:14" s="6" customFormat="1" ht="18.600000000000001" customHeight="1" x14ac:dyDescent="0.25">
      <c r="A107" s="45" t="s">
        <v>189</v>
      </c>
      <c r="B107" s="44" t="s">
        <v>386</v>
      </c>
      <c r="C107" s="512" t="s">
        <v>387</v>
      </c>
      <c r="D107" s="513"/>
      <c r="E107" s="131" t="s">
        <v>9</v>
      </c>
      <c r="F107" s="7">
        <f>'ANEXO MC ESTRUTURA COMPLEMENTAR'!H153</f>
        <v>33.75</v>
      </c>
      <c r="G107" s="10">
        <v>23.09</v>
      </c>
      <c r="H107" s="10">
        <f t="shared" ref="H107" si="54">G107*$I$5+G107</f>
        <v>30.162466999999999</v>
      </c>
      <c r="I107" s="15">
        <f t="shared" ref="I107" si="55">F107*H107</f>
        <v>1017.9832612499999</v>
      </c>
      <c r="J107" s="298"/>
      <c r="K107" s="128"/>
      <c r="L107" s="99"/>
      <c r="N107" s="99"/>
    </row>
    <row r="108" spans="1:14" s="6" customFormat="1" ht="18.600000000000001" customHeight="1" x14ac:dyDescent="0.25">
      <c r="A108" s="45" t="s">
        <v>190</v>
      </c>
      <c r="B108" s="44" t="s">
        <v>160</v>
      </c>
      <c r="C108" s="512" t="s">
        <v>388</v>
      </c>
      <c r="D108" s="513"/>
      <c r="E108" s="131" t="s">
        <v>9</v>
      </c>
      <c r="F108" s="7">
        <f>'ANEXO MC ESTRUTURA COMPLEMENTAR'!H153</f>
        <v>33.75</v>
      </c>
      <c r="G108" s="10">
        <v>15.24</v>
      </c>
      <c r="H108" s="10">
        <f>G108*$I$5+G108</f>
        <v>19.908011999999999</v>
      </c>
      <c r="I108" s="15">
        <f>F108*H108</f>
        <v>671.89540499999998</v>
      </c>
      <c r="J108" s="298"/>
      <c r="K108" s="128"/>
      <c r="L108" s="99"/>
      <c r="N108" s="99"/>
    </row>
    <row r="109" spans="1:14" s="6" customFormat="1" ht="18.600000000000001" customHeight="1" x14ac:dyDescent="0.25">
      <c r="A109" s="45" t="s">
        <v>191</v>
      </c>
      <c r="B109" s="44" t="s">
        <v>108</v>
      </c>
      <c r="C109" s="512" t="s">
        <v>109</v>
      </c>
      <c r="D109" s="513"/>
      <c r="E109" s="131" t="s">
        <v>9</v>
      </c>
      <c r="F109" s="7">
        <f>'MC II'!F108</f>
        <v>22.12</v>
      </c>
      <c r="G109" s="10">
        <v>23.86</v>
      </c>
      <c r="H109" s="10">
        <f>G109*$I$5+G109</f>
        <v>31.168317999999999</v>
      </c>
      <c r="I109" s="15">
        <f>F109*H109</f>
        <v>689.44319415999996</v>
      </c>
      <c r="J109" s="298"/>
      <c r="K109" s="128"/>
      <c r="L109" s="99"/>
      <c r="N109" s="99"/>
    </row>
    <row r="110" spans="1:14" s="6" customFormat="1" ht="18.600000000000001" customHeight="1" x14ac:dyDescent="0.25">
      <c r="A110" s="45" t="s">
        <v>739</v>
      </c>
      <c r="B110" s="44" t="s">
        <v>80</v>
      </c>
      <c r="C110" s="512" t="s">
        <v>81</v>
      </c>
      <c r="D110" s="513"/>
      <c r="E110" s="131" t="s">
        <v>9</v>
      </c>
      <c r="F110" s="7">
        <f>'MC II'!F109</f>
        <v>17.64</v>
      </c>
      <c r="G110" s="10">
        <v>37.299999999999997</v>
      </c>
      <c r="H110" s="10">
        <f t="shared" ref="H110" si="56">G110*$I$5+G110</f>
        <v>48.724989999999998</v>
      </c>
      <c r="I110" s="15">
        <f>F110*H110</f>
        <v>859.50882360000003</v>
      </c>
      <c r="J110" s="298"/>
      <c r="K110" s="128"/>
      <c r="L110" s="99"/>
      <c r="N110" s="99"/>
    </row>
    <row r="111" spans="1:14" s="63" customFormat="1" ht="18" customHeight="1" x14ac:dyDescent="0.25">
      <c r="A111" s="252">
        <v>12</v>
      </c>
      <c r="B111" s="253"/>
      <c r="C111" s="254" t="s">
        <v>171</v>
      </c>
      <c r="D111" s="255"/>
      <c r="E111" s="253"/>
      <c r="F111" s="253"/>
      <c r="G111" s="253"/>
      <c r="H111" s="253"/>
      <c r="I111" s="256">
        <f>SUM(I112:I120)</f>
        <v>33633.558874902963</v>
      </c>
      <c r="K111" s="134"/>
      <c r="L111" s="135"/>
      <c r="N111" s="135"/>
    </row>
    <row r="112" spans="1:14" s="6" customFormat="1" ht="18.600000000000001" customHeight="1" x14ac:dyDescent="0.25">
      <c r="A112" s="45" t="s">
        <v>183</v>
      </c>
      <c r="B112" s="44" t="s">
        <v>330</v>
      </c>
      <c r="C112" s="512" t="s">
        <v>331</v>
      </c>
      <c r="D112" s="513"/>
      <c r="E112" s="131" t="s">
        <v>9</v>
      </c>
      <c r="F112" s="7">
        <f>'MC II'!F111</f>
        <v>78.884</v>
      </c>
      <c r="G112" s="10">
        <v>111.55</v>
      </c>
      <c r="H112" s="10">
        <f t="shared" ref="H112:H119" si="57">G112*$I$5+G112</f>
        <v>145.71776499999999</v>
      </c>
      <c r="I112" s="15">
        <f t="shared" ref="I112:I119" si="58">F112*H112</f>
        <v>11494.800174259999</v>
      </c>
      <c r="J112" s="298"/>
      <c r="K112" s="128"/>
      <c r="L112" s="99"/>
      <c r="N112" s="99"/>
    </row>
    <row r="113" spans="1:14" s="6" customFormat="1" ht="18.600000000000001" customHeight="1" x14ac:dyDescent="0.25">
      <c r="A113" s="45" t="s">
        <v>184</v>
      </c>
      <c r="B113" s="44" t="s">
        <v>332</v>
      </c>
      <c r="C113" s="512" t="s">
        <v>333</v>
      </c>
      <c r="D113" s="513"/>
      <c r="E113" s="131" t="s">
        <v>9</v>
      </c>
      <c r="F113" s="7">
        <f>'MC II'!F112</f>
        <v>78.884</v>
      </c>
      <c r="G113" s="10">
        <v>129.62</v>
      </c>
      <c r="H113" s="10">
        <f t="shared" ref="H113:H116" si="59">G113*$I$5+G113</f>
        <v>169.32260600000001</v>
      </c>
      <c r="I113" s="15">
        <f t="shared" ref="I113:I116" si="60">F113*H113</f>
        <v>13356.844451704001</v>
      </c>
      <c r="J113" s="298"/>
      <c r="K113" s="128"/>
      <c r="L113" s="99"/>
      <c r="N113" s="99"/>
    </row>
    <row r="114" spans="1:14" s="6" customFormat="1" ht="28.8" customHeight="1" x14ac:dyDescent="0.25">
      <c r="A114" s="45" t="s">
        <v>185</v>
      </c>
      <c r="B114" s="44" t="s">
        <v>334</v>
      </c>
      <c r="C114" s="512" t="s">
        <v>335</v>
      </c>
      <c r="D114" s="513"/>
      <c r="E114" s="131" t="s">
        <v>12</v>
      </c>
      <c r="F114" s="7">
        <f>'MC II'!F113</f>
        <v>29</v>
      </c>
      <c r="G114" s="10">
        <v>33.090000000000003</v>
      </c>
      <c r="H114" s="10">
        <f t="shared" si="59"/>
        <v>43.225467000000009</v>
      </c>
      <c r="I114" s="15">
        <f t="shared" si="60"/>
        <v>1253.5385430000003</v>
      </c>
      <c r="J114" s="298"/>
      <c r="K114" s="128"/>
      <c r="L114" s="99"/>
      <c r="N114" s="99"/>
    </row>
    <row r="115" spans="1:14" s="6" customFormat="1" ht="37.200000000000003" customHeight="1" x14ac:dyDescent="0.25">
      <c r="A115" s="45" t="s">
        <v>186</v>
      </c>
      <c r="B115" s="391" t="str">
        <f>'MC II'!B114</f>
        <v>COMP.06</v>
      </c>
      <c r="C115" s="512" t="str">
        <f>'COMP.CUSTO'!C59</f>
        <v>FORNECIMENTO DE ESTRUTURA METÁLICA E ENGRADAMENTO METÁLICO, EM AÇO, PARA TELHA METÁLICA, EXCLUSIVE TELHA, INCLUSIVE FABRICAÇÃO, TRANSPORTE, MONTAGEM E E APLICAÇÃO DE FUNDO PREPARADOR ANTICORROSIVO, UMA (1) DEMÃO E PINTURA ESMALTE, DUAS (2) DEMÃOS</v>
      </c>
      <c r="D115" s="513"/>
      <c r="E115" s="131" t="str">
        <f>'COMP.CUSTO'!D59</f>
        <v>M2</v>
      </c>
      <c r="F115" s="7">
        <f>'MC II'!F114</f>
        <v>2.9700000000000006</v>
      </c>
      <c r="G115" s="10">
        <f>'COMP.CUSTO'!G59</f>
        <v>115.96839208099999</v>
      </c>
      <c r="H115" s="10">
        <f t="shared" ref="H115" si="61">G115*$I$5+G115</f>
        <v>151.48951057541029</v>
      </c>
      <c r="I115" s="15">
        <f t="shared" ref="I115" si="62">F115*H115</f>
        <v>449.92384640896864</v>
      </c>
      <c r="J115" s="298"/>
      <c r="K115" s="128"/>
      <c r="L115" s="99"/>
      <c r="N115" s="99"/>
    </row>
    <row r="116" spans="1:14" s="6" customFormat="1" ht="28.8" customHeight="1" x14ac:dyDescent="0.25">
      <c r="A116" s="45" t="s">
        <v>227</v>
      </c>
      <c r="B116" s="44" t="s">
        <v>336</v>
      </c>
      <c r="C116" s="512" t="s">
        <v>337</v>
      </c>
      <c r="D116" s="513"/>
      <c r="E116" s="131" t="s">
        <v>9</v>
      </c>
      <c r="F116" s="7">
        <f>'MC II'!F115</f>
        <v>2.9700000000000006</v>
      </c>
      <c r="G116" s="10">
        <v>92.03</v>
      </c>
      <c r="H116" s="10">
        <f t="shared" si="59"/>
        <v>120.218789</v>
      </c>
      <c r="I116" s="15">
        <f t="shared" si="60"/>
        <v>357.04980333000009</v>
      </c>
      <c r="J116" s="298"/>
      <c r="K116" s="128"/>
      <c r="L116" s="99"/>
      <c r="N116" s="99"/>
    </row>
    <row r="117" spans="1:14" s="6" customFormat="1" ht="28.8" customHeight="1" x14ac:dyDescent="0.25">
      <c r="A117" s="45" t="s">
        <v>323</v>
      </c>
      <c r="B117" s="44" t="s">
        <v>328</v>
      </c>
      <c r="C117" s="512" t="s">
        <v>329</v>
      </c>
      <c r="D117" s="513"/>
      <c r="E117" s="131" t="s">
        <v>12</v>
      </c>
      <c r="F117" s="7">
        <f>'MC II'!F116</f>
        <v>9.9999999999999982</v>
      </c>
      <c r="G117" s="10">
        <v>24.78</v>
      </c>
      <c r="H117" s="10">
        <f t="shared" si="57"/>
        <v>32.370114000000001</v>
      </c>
      <c r="I117" s="15">
        <f t="shared" si="58"/>
        <v>323.70113999999995</v>
      </c>
      <c r="J117" s="298"/>
      <c r="K117" s="128"/>
      <c r="L117" s="99"/>
      <c r="N117" s="99"/>
    </row>
    <row r="118" spans="1:14" s="6" customFormat="1" ht="18.600000000000001" customHeight="1" x14ac:dyDescent="0.25">
      <c r="A118" s="45" t="s">
        <v>324</v>
      </c>
      <c r="B118" s="44" t="s">
        <v>326</v>
      </c>
      <c r="C118" s="512" t="s">
        <v>327</v>
      </c>
      <c r="D118" s="513"/>
      <c r="E118" s="131" t="s">
        <v>12</v>
      </c>
      <c r="F118" s="7">
        <f>'MC II'!F117</f>
        <v>46.099999999999994</v>
      </c>
      <c r="G118" s="10">
        <v>63.76</v>
      </c>
      <c r="H118" s="10">
        <f t="shared" si="57"/>
        <v>83.289687999999998</v>
      </c>
      <c r="I118" s="15">
        <f t="shared" si="58"/>
        <v>3839.6546167999995</v>
      </c>
      <c r="J118" s="298"/>
      <c r="K118" s="128"/>
      <c r="L118" s="99"/>
      <c r="N118" s="99"/>
    </row>
    <row r="119" spans="1:14" s="6" customFormat="1" ht="28.8" customHeight="1" x14ac:dyDescent="0.25">
      <c r="A119" s="45" t="s">
        <v>325</v>
      </c>
      <c r="B119" s="44" t="s">
        <v>539</v>
      </c>
      <c r="C119" s="512" t="s">
        <v>540</v>
      </c>
      <c r="D119" s="513"/>
      <c r="E119" s="131" t="s">
        <v>12</v>
      </c>
      <c r="F119" s="7">
        <f>'MC II'!F118</f>
        <v>31.5</v>
      </c>
      <c r="G119" s="10">
        <v>58.2</v>
      </c>
      <c r="H119" s="10">
        <f t="shared" si="57"/>
        <v>76.026660000000007</v>
      </c>
      <c r="I119" s="15">
        <f t="shared" si="58"/>
        <v>2394.83979</v>
      </c>
      <c r="J119" s="300"/>
      <c r="K119" s="128"/>
      <c r="L119" s="99"/>
      <c r="N119" s="99"/>
    </row>
    <row r="120" spans="1:14" s="6" customFormat="1" ht="28.8" customHeight="1" x14ac:dyDescent="0.25">
      <c r="A120" s="45" t="s">
        <v>345</v>
      </c>
      <c r="B120" s="44" t="s">
        <v>225</v>
      </c>
      <c r="C120" s="512" t="s">
        <v>226</v>
      </c>
      <c r="D120" s="513"/>
      <c r="E120" s="131" t="s">
        <v>12</v>
      </c>
      <c r="F120" s="7">
        <f>'MC II'!F119</f>
        <v>6.6</v>
      </c>
      <c r="G120" s="10">
        <v>18.93</v>
      </c>
      <c r="H120" s="10">
        <f t="shared" ref="H120" si="63">G120*$I$5+G120</f>
        <v>24.728259000000001</v>
      </c>
      <c r="I120" s="15">
        <f t="shared" ref="I120" si="64">F120*H120</f>
        <v>163.20650939999999</v>
      </c>
      <c r="J120" s="298"/>
      <c r="K120" s="128"/>
      <c r="L120" s="99"/>
      <c r="N120" s="99"/>
    </row>
    <row r="121" spans="1:14" s="6" customFormat="1" ht="18" customHeight="1" x14ac:dyDescent="0.25">
      <c r="A121" s="441"/>
      <c r="B121" s="442"/>
      <c r="C121" s="563" t="s">
        <v>588</v>
      </c>
      <c r="D121" s="564"/>
      <c r="E121" s="443"/>
      <c r="F121" s="443"/>
      <c r="G121" s="443"/>
      <c r="H121" s="443"/>
      <c r="I121" s="444">
        <f>I122+I127+I136+I142</f>
        <v>156552.16430644787</v>
      </c>
    </row>
    <row r="122" spans="1:14" s="6" customFormat="1" ht="18" customHeight="1" x14ac:dyDescent="0.25">
      <c r="A122" s="123">
        <v>13</v>
      </c>
      <c r="B122" s="43"/>
      <c r="C122" s="124" t="s">
        <v>82</v>
      </c>
      <c r="D122" s="125"/>
      <c r="E122" s="43"/>
      <c r="F122" s="126"/>
      <c r="G122" s="43"/>
      <c r="H122" s="43"/>
      <c r="I122" s="127">
        <f>SUM(I123:I126)</f>
        <v>1701.0203587449028</v>
      </c>
      <c r="K122" s="128"/>
      <c r="L122" s="99"/>
      <c r="N122" s="99"/>
    </row>
    <row r="123" spans="1:14" s="6" customFormat="1" ht="19.95" customHeight="1" x14ac:dyDescent="0.25">
      <c r="A123" s="45" t="s">
        <v>174</v>
      </c>
      <c r="B123" s="44" t="s">
        <v>83</v>
      </c>
      <c r="C123" s="400" t="s">
        <v>84</v>
      </c>
      <c r="D123" s="401"/>
      <c r="E123" s="131" t="s">
        <v>9</v>
      </c>
      <c r="F123" s="245">
        <f>'MC II'!F122</f>
        <v>163.92</v>
      </c>
      <c r="G123" s="10">
        <v>0.49</v>
      </c>
      <c r="H123" s="10">
        <f>G123*$I$5+G123</f>
        <v>0.64008699999999996</v>
      </c>
      <c r="I123" s="15">
        <f>F123*H123</f>
        <v>104.92306103999998</v>
      </c>
      <c r="J123" s="297"/>
    </row>
    <row r="124" spans="1:14" s="6" customFormat="1" ht="30" customHeight="1" x14ac:dyDescent="0.25">
      <c r="A124" s="45" t="s">
        <v>538</v>
      </c>
      <c r="B124" s="129" t="s">
        <v>73</v>
      </c>
      <c r="C124" s="512" t="s">
        <v>74</v>
      </c>
      <c r="D124" s="513"/>
      <c r="E124" s="130" t="s">
        <v>33</v>
      </c>
      <c r="F124" s="245">
        <f>'MC II'!F123</f>
        <v>8.1959999999999997</v>
      </c>
      <c r="G124" s="10">
        <v>4.96</v>
      </c>
      <c r="H124" s="10">
        <f>G124*$I$5+G124</f>
        <v>6.4792480000000001</v>
      </c>
      <c r="I124" s="15">
        <f>F124*H124</f>
        <v>53.103916607999999</v>
      </c>
      <c r="J124" s="297"/>
      <c r="K124" s="128"/>
      <c r="L124" s="99"/>
      <c r="N124" s="99"/>
    </row>
    <row r="125" spans="1:14" s="63" customFormat="1" ht="18" customHeight="1" x14ac:dyDescent="0.25">
      <c r="A125" s="45" t="s">
        <v>694</v>
      </c>
      <c r="B125" s="44" t="s">
        <v>286</v>
      </c>
      <c r="C125" s="516" t="s">
        <v>76</v>
      </c>
      <c r="D125" s="517"/>
      <c r="E125" s="59" t="s">
        <v>33</v>
      </c>
      <c r="F125" s="245">
        <f>'MC II'!F124</f>
        <v>11.038500000000001</v>
      </c>
      <c r="G125" s="10">
        <v>66.349999999999994</v>
      </c>
      <c r="H125" s="61">
        <f t="shared" ref="H125:H126" si="65">G125*$I$5+G125</f>
        <v>86.673004999999989</v>
      </c>
      <c r="I125" s="62">
        <f t="shared" ref="I125:I126" si="66">F125*H125</f>
        <v>956.73996569249994</v>
      </c>
      <c r="J125" s="297"/>
    </row>
    <row r="126" spans="1:14" s="63" customFormat="1" ht="18" customHeight="1" x14ac:dyDescent="0.25">
      <c r="A126" s="45" t="s">
        <v>695</v>
      </c>
      <c r="B126" s="58" t="s">
        <v>54</v>
      </c>
      <c r="C126" s="516" t="s">
        <v>55</v>
      </c>
      <c r="D126" s="517" t="s">
        <v>33</v>
      </c>
      <c r="E126" s="59" t="s">
        <v>33</v>
      </c>
      <c r="F126" s="245">
        <f>'MC II'!F125</f>
        <v>10.916790656250001</v>
      </c>
      <c r="G126" s="10">
        <v>41.11</v>
      </c>
      <c r="H126" s="61">
        <f t="shared" si="65"/>
        <v>53.701993000000002</v>
      </c>
      <c r="I126" s="62">
        <f t="shared" si="66"/>
        <v>586.25341540440297</v>
      </c>
      <c r="J126" s="297"/>
    </row>
    <row r="127" spans="1:14" s="63" customFormat="1" ht="18" customHeight="1" x14ac:dyDescent="0.25">
      <c r="A127" s="252">
        <v>14</v>
      </c>
      <c r="B127" s="253"/>
      <c r="C127" s="254" t="s">
        <v>89</v>
      </c>
      <c r="D127" s="255"/>
      <c r="E127" s="253"/>
      <c r="F127" s="253"/>
      <c r="G127" s="253"/>
      <c r="H127" s="253"/>
      <c r="I127" s="256">
        <f>SUM(I128:I135)</f>
        <v>122074.29879472563</v>
      </c>
      <c r="K127" s="134"/>
      <c r="L127" s="135"/>
      <c r="N127" s="135"/>
    </row>
    <row r="128" spans="1:14" s="6" customFormat="1" ht="30.6" customHeight="1" x14ac:dyDescent="0.25">
      <c r="A128" s="45" t="s">
        <v>670</v>
      </c>
      <c r="B128" s="129" t="s">
        <v>592</v>
      </c>
      <c r="C128" s="512" t="s">
        <v>593</v>
      </c>
      <c r="D128" s="513"/>
      <c r="E128" s="133" t="s">
        <v>12</v>
      </c>
      <c r="F128" s="7">
        <f>'MC II'!F127</f>
        <v>744.21</v>
      </c>
      <c r="G128" s="10">
        <v>5.21</v>
      </c>
      <c r="H128" s="61">
        <f t="shared" ref="H128" si="67">G128*$I$5+G128</f>
        <v>6.8058230000000002</v>
      </c>
      <c r="I128" s="62">
        <f t="shared" ref="I128" si="68">F128*H128</f>
        <v>5064.9615348300003</v>
      </c>
      <c r="J128" s="297"/>
      <c r="K128" s="128"/>
      <c r="L128" s="99"/>
      <c r="N128" s="99"/>
    </row>
    <row r="129" spans="1:14" s="63" customFormat="1" ht="18.600000000000001" customHeight="1" x14ac:dyDescent="0.25">
      <c r="A129" s="45" t="s">
        <v>676</v>
      </c>
      <c r="B129" s="58" t="s">
        <v>565</v>
      </c>
      <c r="C129" s="516" t="s">
        <v>566</v>
      </c>
      <c r="D129" s="517"/>
      <c r="E129" s="133" t="s">
        <v>12</v>
      </c>
      <c r="F129" s="7">
        <f>'MC II'!F128</f>
        <v>248.07</v>
      </c>
      <c r="G129" s="10">
        <v>20.51</v>
      </c>
      <c r="H129" s="61">
        <f t="shared" ref="H129:H131" si="69">G129*$I$5+G129</f>
        <v>26.792213000000004</v>
      </c>
      <c r="I129" s="62">
        <f t="shared" ref="I129:I131" si="70">F129*H129</f>
        <v>6646.3442789100009</v>
      </c>
      <c r="J129" s="297"/>
      <c r="K129" s="134"/>
      <c r="L129" s="135"/>
      <c r="N129" s="135"/>
    </row>
    <row r="130" spans="1:14" s="63" customFormat="1" ht="18.600000000000001" customHeight="1" x14ac:dyDescent="0.25">
      <c r="A130" s="45" t="s">
        <v>677</v>
      </c>
      <c r="B130" s="58" t="s">
        <v>590</v>
      </c>
      <c r="C130" s="516" t="s">
        <v>589</v>
      </c>
      <c r="D130" s="517"/>
      <c r="E130" s="133" t="s">
        <v>12</v>
      </c>
      <c r="F130" s="7">
        <f>'MC II'!F129</f>
        <v>27.3</v>
      </c>
      <c r="G130" s="10">
        <v>9.14</v>
      </c>
      <c r="H130" s="61">
        <f t="shared" si="69"/>
        <v>11.939582000000001</v>
      </c>
      <c r="I130" s="62">
        <f t="shared" si="70"/>
        <v>325.95058860000006</v>
      </c>
      <c r="J130" s="297"/>
      <c r="K130" s="134"/>
      <c r="L130" s="135"/>
      <c r="N130" s="135"/>
    </row>
    <row r="131" spans="1:14" s="63" customFormat="1" ht="18.600000000000001" customHeight="1" x14ac:dyDescent="0.25">
      <c r="A131" s="45" t="s">
        <v>678</v>
      </c>
      <c r="B131" s="58" t="s">
        <v>591</v>
      </c>
      <c r="C131" s="516" t="s">
        <v>594</v>
      </c>
      <c r="D131" s="517"/>
      <c r="E131" s="59" t="s">
        <v>33</v>
      </c>
      <c r="F131" s="7">
        <f>'MC II'!F130</f>
        <v>0.27300000000000008</v>
      </c>
      <c r="G131" s="10">
        <v>653.91</v>
      </c>
      <c r="H131" s="61">
        <f t="shared" si="69"/>
        <v>854.20263299999999</v>
      </c>
      <c r="I131" s="62">
        <f t="shared" si="70"/>
        <v>233.19731880900005</v>
      </c>
      <c r="J131" s="297"/>
      <c r="K131" s="134"/>
      <c r="L131" s="135"/>
      <c r="N131" s="135"/>
    </row>
    <row r="132" spans="1:14" s="63" customFormat="1" ht="18.600000000000001" customHeight="1" x14ac:dyDescent="0.25">
      <c r="A132" s="45" t="s">
        <v>679</v>
      </c>
      <c r="B132" s="58" t="s">
        <v>582</v>
      </c>
      <c r="C132" s="516" t="str">
        <f>C67</f>
        <v>LUMINÁRIA ARANDELA RÚSTICA COLONIAL FORNECIMENTO E INSTALAÇÃO INCLUINDO LÂMPADA</v>
      </c>
      <c r="D132" s="517"/>
      <c r="E132" s="59" t="s">
        <v>13</v>
      </c>
      <c r="F132" s="7">
        <f>'MC II'!F131</f>
        <v>7</v>
      </c>
      <c r="G132" s="10">
        <f>G67</f>
        <v>226.94666666666666</v>
      </c>
      <c r="H132" s="61">
        <f t="shared" ref="H132:H133" si="71">G132*$I$5+G132</f>
        <v>296.46043066666664</v>
      </c>
      <c r="I132" s="62">
        <f t="shared" ref="I132:I133" si="72">F132*H132</f>
        <v>2075.2230146666666</v>
      </c>
      <c r="J132" s="297"/>
      <c r="K132" s="134"/>
      <c r="L132" s="135"/>
      <c r="N132" s="135"/>
    </row>
    <row r="133" spans="1:14" s="63" customFormat="1" ht="18.600000000000001" customHeight="1" x14ac:dyDescent="0.25">
      <c r="A133" s="45" t="s">
        <v>680</v>
      </c>
      <c r="B133" s="58" t="s">
        <v>629</v>
      </c>
      <c r="C133" s="516" t="str">
        <f>'COMP.CUSTO'!C67</f>
        <v xml:space="preserve">POSTE COLONIAL FIRENZE  PARA JARDIM DE ALUMÍNIO 02 GLOBOS H= 3,05M ASSENTADO EM PISO, INCUSIVE FORNECIMENTO DE LÂMPADA </v>
      </c>
      <c r="D133" s="517"/>
      <c r="E133" s="59" t="str">
        <f>'COMP.CUSTO'!D67</f>
        <v>UNID.</v>
      </c>
      <c r="F133" s="7">
        <f>'MC II'!F132</f>
        <v>11</v>
      </c>
      <c r="G133" s="10">
        <f>'COMP.CUSTO'!G67</f>
        <v>7084.8214999999991</v>
      </c>
      <c r="H133" s="61">
        <f t="shared" si="71"/>
        <v>9254.9023254499989</v>
      </c>
      <c r="I133" s="62">
        <f t="shared" si="72"/>
        <v>101803.92557994998</v>
      </c>
      <c r="J133" s="297"/>
      <c r="K133" s="134"/>
      <c r="L133" s="135"/>
      <c r="N133" s="135"/>
    </row>
    <row r="134" spans="1:14" s="63" customFormat="1" ht="18.600000000000001" customHeight="1" x14ac:dyDescent="0.25">
      <c r="A134" s="45" t="s">
        <v>681</v>
      </c>
      <c r="B134" s="58" t="s">
        <v>632</v>
      </c>
      <c r="C134" s="516" t="s">
        <v>631</v>
      </c>
      <c r="D134" s="517"/>
      <c r="E134" s="59" t="s">
        <v>13</v>
      </c>
      <c r="F134" s="7">
        <f>'MC II'!F133</f>
        <v>2</v>
      </c>
      <c r="G134" s="10">
        <v>36.31</v>
      </c>
      <c r="H134" s="61">
        <f t="shared" ref="H134" si="73">G134*$I$5+G134</f>
        <v>47.431753</v>
      </c>
      <c r="I134" s="62">
        <f t="shared" ref="I134" si="74">F134*H134</f>
        <v>94.863506000000001</v>
      </c>
      <c r="J134" s="297"/>
      <c r="K134" s="134"/>
      <c r="L134" s="135"/>
      <c r="N134" s="135"/>
    </row>
    <row r="135" spans="1:14" s="63" customFormat="1" ht="18.600000000000001" customHeight="1" x14ac:dyDescent="0.25">
      <c r="A135" s="45" t="s">
        <v>682</v>
      </c>
      <c r="B135" s="58" t="s">
        <v>652</v>
      </c>
      <c r="C135" s="516" t="str">
        <f>'COMP.CUSTO'!C79</f>
        <v>BALIZADOR - LUMINÁRIA LED 12W BLINDADO PARA CHÃO / PISO DE JARDIM INCLUSIVE INSTALAÇÃO</v>
      </c>
      <c r="D135" s="517"/>
      <c r="E135" s="59" t="str">
        <f>'COMP.CUSTO'!D79</f>
        <v>UNID.</v>
      </c>
      <c r="F135" s="7">
        <f>'MC II'!F134</f>
        <v>16</v>
      </c>
      <c r="G135" s="10">
        <f>'COMP.CUSTO'!G79</f>
        <v>278.92869999999999</v>
      </c>
      <c r="H135" s="61">
        <f t="shared" ref="H135" si="75">G135*$I$5+G135</f>
        <v>364.36456081</v>
      </c>
      <c r="I135" s="62">
        <f t="shared" ref="I135" si="76">F135*H135</f>
        <v>5829.83297296</v>
      </c>
      <c r="J135" s="297"/>
      <c r="K135" s="134"/>
      <c r="L135" s="135"/>
      <c r="N135" s="135"/>
    </row>
    <row r="136" spans="1:14" s="6" customFormat="1" ht="18" customHeight="1" x14ac:dyDescent="0.25">
      <c r="A136" s="136">
        <v>15</v>
      </c>
      <c r="B136" s="36"/>
      <c r="C136" s="137" t="s">
        <v>630</v>
      </c>
      <c r="D136" s="138"/>
      <c r="E136" s="36"/>
      <c r="F136" s="36"/>
      <c r="G136" s="36"/>
      <c r="H136" s="36"/>
      <c r="I136" s="41">
        <f>SUM(I137:I141)</f>
        <v>30323.492005817334</v>
      </c>
      <c r="K136" s="128"/>
      <c r="L136" s="99"/>
      <c r="N136" s="99"/>
    </row>
    <row r="137" spans="1:14" s="63" customFormat="1" ht="18.600000000000001" customHeight="1" x14ac:dyDescent="0.25">
      <c r="A137" s="132" t="s">
        <v>671</v>
      </c>
      <c r="B137" s="58" t="s">
        <v>651</v>
      </c>
      <c r="C137" s="516" t="str">
        <f>'COMP.CUSTO'!C87</f>
        <v>RAMPA PARA ACESSO DE DEFICIENTE, EM CONCRETO SIMPLES FCK = 25 MPA, DESEMPENADA, COM PINTURA INDICATIVA, 02 DEMÃOS</v>
      </c>
      <c r="D137" s="517"/>
      <c r="E137" s="133" t="str">
        <f>'COMP.CUSTO'!D87</f>
        <v>UNID.</v>
      </c>
      <c r="F137" s="299">
        <f>'MC II'!F136</f>
        <v>4</v>
      </c>
      <c r="G137" s="10">
        <f>'COMP.CUSTO'!G87</f>
        <v>603.57184000000007</v>
      </c>
      <c r="H137" s="61">
        <f>G137*$I$5+G137</f>
        <v>788.44589459200006</v>
      </c>
      <c r="I137" s="62">
        <f t="shared" ref="I137" si="77">F137*H137</f>
        <v>3153.7835783680002</v>
      </c>
      <c r="J137" s="298"/>
      <c r="K137" s="134"/>
      <c r="L137" s="135"/>
      <c r="N137" s="135"/>
    </row>
    <row r="138" spans="1:14" s="63" customFormat="1" ht="18.600000000000001" customHeight="1" x14ac:dyDescent="0.25">
      <c r="A138" s="132" t="s">
        <v>672</v>
      </c>
      <c r="B138" s="58" t="s">
        <v>63</v>
      </c>
      <c r="C138" s="516" t="s">
        <v>62</v>
      </c>
      <c r="D138" s="517"/>
      <c r="E138" s="133" t="s">
        <v>33</v>
      </c>
      <c r="F138" s="299">
        <f>'MC II'!F137</f>
        <v>8.1959999999999997</v>
      </c>
      <c r="G138" s="10">
        <v>543.87</v>
      </c>
      <c r="H138" s="61">
        <f>G138*$I$5+G138</f>
        <v>710.45738100000005</v>
      </c>
      <c r="I138" s="62">
        <f t="shared" ref="I138" si="78">F138*H138</f>
        <v>5822.9086946759999</v>
      </c>
      <c r="J138" s="298"/>
      <c r="K138" s="134"/>
      <c r="L138" s="135"/>
      <c r="N138" s="135"/>
    </row>
    <row r="139" spans="1:14" s="63" customFormat="1" ht="18.600000000000001" customHeight="1" x14ac:dyDescent="0.25">
      <c r="A139" s="132" t="s">
        <v>673</v>
      </c>
      <c r="B139" s="58" t="s">
        <v>98</v>
      </c>
      <c r="C139" s="516" t="s">
        <v>574</v>
      </c>
      <c r="D139" s="517"/>
      <c r="E139" s="133" t="s">
        <v>9</v>
      </c>
      <c r="F139" s="299">
        <f>'MC II'!F138</f>
        <v>163.92</v>
      </c>
      <c r="G139" s="10">
        <v>34.39</v>
      </c>
      <c r="H139" s="61">
        <f>G139*$I$5+G139</f>
        <v>44.923657000000006</v>
      </c>
      <c r="I139" s="62">
        <f t="shared" ref="I139" si="79">F139*H139</f>
        <v>7363.8858554400003</v>
      </c>
      <c r="J139" s="298"/>
      <c r="K139" s="134"/>
      <c r="L139" s="135"/>
      <c r="N139" s="135"/>
    </row>
    <row r="140" spans="1:14" s="63" customFormat="1" ht="18.600000000000001" customHeight="1" x14ac:dyDescent="0.25">
      <c r="A140" s="132" t="s">
        <v>674</v>
      </c>
      <c r="B140" s="58" t="s">
        <v>667</v>
      </c>
      <c r="C140" s="516" t="str">
        <f>'COMP.CUSTO'!C96</f>
        <v xml:space="preserve">GRAMA SINTÉTICA ARTIFICIAL 20MM COM PROTEÇÃO UV E ANTI-FUNGO PARA PARQUINHO COM AREA DE 163,92M2- FORNECIMENTO E INSTALAÇÃO </v>
      </c>
      <c r="D140" s="517"/>
      <c r="E140" s="133" t="str">
        <f>'COMP.CUSTO'!D96</f>
        <v>CJ</v>
      </c>
      <c r="F140" s="299">
        <f>'MC II'!F139</f>
        <v>1</v>
      </c>
      <c r="G140" s="10">
        <f>'COMP.CUSTO'!G96</f>
        <v>10544.763333333332</v>
      </c>
      <c r="H140" s="61">
        <f>G140*$I$5+G140</f>
        <v>13774.624342333333</v>
      </c>
      <c r="I140" s="62">
        <f t="shared" ref="I140:I141" si="80">F140*H140</f>
        <v>13774.624342333333</v>
      </c>
      <c r="J140" s="298"/>
      <c r="K140" s="134"/>
      <c r="L140" s="135"/>
      <c r="N140" s="135"/>
    </row>
    <row r="141" spans="1:14" s="63" customFormat="1" ht="18.600000000000001" customHeight="1" x14ac:dyDescent="0.25">
      <c r="A141" s="132" t="s">
        <v>675</v>
      </c>
      <c r="B141" s="58" t="s">
        <v>633</v>
      </c>
      <c r="C141" s="516" t="s">
        <v>634</v>
      </c>
      <c r="D141" s="517"/>
      <c r="E141" s="59" t="s">
        <v>12</v>
      </c>
      <c r="F141" s="299">
        <f>'MC II'!F140</f>
        <v>5</v>
      </c>
      <c r="G141" s="10">
        <v>31.89</v>
      </c>
      <c r="H141" s="61">
        <f>G141*$I$5+G141</f>
        <v>41.657907000000002</v>
      </c>
      <c r="I141" s="62">
        <f t="shared" si="80"/>
        <v>208.289535</v>
      </c>
      <c r="J141" s="298"/>
      <c r="K141" s="134"/>
      <c r="L141" s="135"/>
      <c r="N141" s="135"/>
    </row>
    <row r="142" spans="1:14" s="63" customFormat="1" ht="18" customHeight="1" x14ac:dyDescent="0.25">
      <c r="A142" s="123">
        <v>16</v>
      </c>
      <c r="B142" s="265"/>
      <c r="C142" s="266" t="s">
        <v>71</v>
      </c>
      <c r="D142" s="267"/>
      <c r="E142" s="126"/>
      <c r="F142" s="126"/>
      <c r="G142" s="126"/>
      <c r="H142" s="126"/>
      <c r="I142" s="256">
        <f>SUM(I143:I144)</f>
        <v>2453.3531471599999</v>
      </c>
    </row>
    <row r="143" spans="1:14" s="63" customFormat="1" ht="18" customHeight="1" x14ac:dyDescent="0.25">
      <c r="A143" s="45" t="s">
        <v>683</v>
      </c>
      <c r="B143" s="58" t="s">
        <v>43</v>
      </c>
      <c r="C143" s="516" t="s">
        <v>75</v>
      </c>
      <c r="D143" s="517"/>
      <c r="E143" s="59" t="s">
        <v>42</v>
      </c>
      <c r="F143" s="7">
        <f>'MC II'!F142</f>
        <v>1</v>
      </c>
      <c r="G143" s="10">
        <v>1453.94</v>
      </c>
      <c r="H143" s="10">
        <f>G143*$I$5+G143</f>
        <v>1899.2818220000001</v>
      </c>
      <c r="I143" s="62">
        <f>F143*H143</f>
        <v>1899.2818220000001</v>
      </c>
      <c r="J143" s="298"/>
    </row>
    <row r="144" spans="1:14" s="63" customFormat="1" ht="18" customHeight="1" thickBot="1" x14ac:dyDescent="0.3">
      <c r="A144" s="45" t="s">
        <v>684</v>
      </c>
      <c r="B144" s="58" t="s">
        <v>541</v>
      </c>
      <c r="C144" s="516" t="s">
        <v>542</v>
      </c>
      <c r="D144" s="517"/>
      <c r="E144" s="131" t="s">
        <v>9</v>
      </c>
      <c r="F144" s="7">
        <f>'MC II'!F143</f>
        <v>60.68</v>
      </c>
      <c r="G144" s="10">
        <v>6.99</v>
      </c>
      <c r="H144" s="10">
        <f>G144*$I$5+G144</f>
        <v>9.131037000000001</v>
      </c>
      <c r="I144" s="62">
        <f>F144*H144</f>
        <v>554.07132516000001</v>
      </c>
      <c r="J144" s="298"/>
    </row>
    <row r="145" spans="1:11" ht="18" customHeight="1" thickBot="1" x14ac:dyDescent="0.3">
      <c r="A145" s="524" t="s">
        <v>29</v>
      </c>
      <c r="B145" s="525"/>
      <c r="C145" s="525"/>
      <c r="D145" s="525"/>
      <c r="E145" s="525"/>
      <c r="F145" s="525"/>
      <c r="G145" s="525"/>
      <c r="H145" s="525"/>
      <c r="I145" s="46">
        <f>I121+I12+I9</f>
        <v>371445.22906048503</v>
      </c>
    </row>
    <row r="146" spans="1:11" ht="21.75" customHeight="1" x14ac:dyDescent="0.25">
      <c r="A146" s="521"/>
      <c r="B146" s="522"/>
      <c r="C146" s="522"/>
      <c r="D146" s="522"/>
      <c r="E146" s="522"/>
      <c r="F146" s="522"/>
      <c r="G146" s="522"/>
      <c r="H146" s="522"/>
      <c r="I146" s="523"/>
    </row>
    <row r="147" spans="1:11" ht="11.25" customHeight="1" x14ac:dyDescent="0.25">
      <c r="A147" s="89"/>
      <c r="B147" s="519"/>
      <c r="C147" s="519"/>
      <c r="D147" s="84"/>
      <c r="E147" s="1"/>
      <c r="F147" s="520"/>
      <c r="G147" s="520"/>
      <c r="H147" s="11"/>
      <c r="I147" s="90"/>
    </row>
    <row r="148" spans="1:11" x14ac:dyDescent="0.25">
      <c r="A148" s="91"/>
      <c r="B148" s="8" t="s">
        <v>8</v>
      </c>
      <c r="C148" s="8"/>
      <c r="D148" s="8"/>
      <c r="E148" s="2"/>
      <c r="F148" s="518" t="s">
        <v>6</v>
      </c>
      <c r="G148" s="518"/>
      <c r="H148" s="12"/>
      <c r="I148" s="92"/>
    </row>
    <row r="149" spans="1:11" x14ac:dyDescent="0.25">
      <c r="A149" s="93"/>
      <c r="I149" s="94"/>
    </row>
    <row r="150" spans="1:11" ht="11.25" customHeight="1" x14ac:dyDescent="0.25">
      <c r="A150" s="89"/>
      <c r="B150" s="519"/>
      <c r="C150" s="519"/>
      <c r="D150" s="84"/>
      <c r="E150" s="1"/>
      <c r="F150" s="519"/>
      <c r="G150" s="519"/>
      <c r="H150" s="11"/>
      <c r="I150" s="90"/>
    </row>
    <row r="151" spans="1:11" x14ac:dyDescent="0.25">
      <c r="A151" s="91"/>
      <c r="B151" s="8" t="s">
        <v>11</v>
      </c>
      <c r="C151" s="8"/>
      <c r="D151" s="5"/>
      <c r="E151" s="2"/>
      <c r="F151" s="518"/>
      <c r="G151" s="518"/>
      <c r="H151" s="12"/>
      <c r="I151" s="92"/>
    </row>
    <row r="152" spans="1:11" ht="11.25" customHeight="1" x14ac:dyDescent="0.25">
      <c r="A152" s="93"/>
      <c r="I152" s="94"/>
    </row>
    <row r="153" spans="1:11" ht="9.75" customHeight="1" x14ac:dyDescent="0.25">
      <c r="A153" s="93"/>
      <c r="I153" s="94"/>
    </row>
    <row r="154" spans="1:11" ht="14.1" customHeight="1" thickBot="1" x14ac:dyDescent="0.3">
      <c r="A154" s="95"/>
      <c r="B154" s="96"/>
      <c r="C154" s="96"/>
      <c r="D154" s="96"/>
      <c r="E154" s="96"/>
      <c r="F154" s="96"/>
      <c r="G154" s="97"/>
      <c r="H154" s="97"/>
      <c r="I154" s="98"/>
      <c r="K154" s="13">
        <v>201401.94</v>
      </c>
    </row>
    <row r="157" spans="1:11" ht="15.6" x14ac:dyDescent="0.25">
      <c r="H157" s="514"/>
      <c r="I157" s="515"/>
    </row>
    <row r="159" spans="1:11" x14ac:dyDescent="0.25">
      <c r="H159" s="13">
        <v>371445.23</v>
      </c>
    </row>
  </sheetData>
  <mergeCells count="142">
    <mergeCell ref="C130:D130"/>
    <mergeCell ref="C131:D131"/>
    <mergeCell ref="C132:D132"/>
    <mergeCell ref="C133:D133"/>
    <mergeCell ref="C137:D137"/>
    <mergeCell ref="C134:D134"/>
    <mergeCell ref="C15:D15"/>
    <mergeCell ref="C12:D12"/>
    <mergeCell ref="C121:D121"/>
    <mergeCell ref="C124:D124"/>
    <mergeCell ref="C129:D129"/>
    <mergeCell ref="C70:D70"/>
    <mergeCell ref="C60:D60"/>
    <mergeCell ref="C42:D42"/>
    <mergeCell ref="C17:D17"/>
    <mergeCell ref="C62:D62"/>
    <mergeCell ref="C64:D64"/>
    <mergeCell ref="C23:D23"/>
    <mergeCell ref="C26:D26"/>
    <mergeCell ref="C31:D31"/>
    <mergeCell ref="C43:D43"/>
    <mergeCell ref="C33:D33"/>
    <mergeCell ref="C34:D34"/>
    <mergeCell ref="C35:D35"/>
    <mergeCell ref="C36:D36"/>
    <mergeCell ref="C37:D37"/>
    <mergeCell ref="C24:D24"/>
    <mergeCell ref="C128:D128"/>
    <mergeCell ref="A1:I1"/>
    <mergeCell ref="H3:I3"/>
    <mergeCell ref="A4:E4"/>
    <mergeCell ref="F2:I2"/>
    <mergeCell ref="A2:E2"/>
    <mergeCell ref="A3:E3"/>
    <mergeCell ref="F3:G3"/>
    <mergeCell ref="C120:D120"/>
    <mergeCell ref="H5:H6"/>
    <mergeCell ref="I5:I6"/>
    <mergeCell ref="C9:D9"/>
    <mergeCell ref="G5:G6"/>
    <mergeCell ref="A7:I7"/>
    <mergeCell ref="A6:E6"/>
    <mergeCell ref="A5:E5"/>
    <mergeCell ref="F5:F6"/>
    <mergeCell ref="C10:D10"/>
    <mergeCell ref="C41:D41"/>
    <mergeCell ref="C44:D44"/>
    <mergeCell ref="C113:D113"/>
    <mergeCell ref="C114:D114"/>
    <mergeCell ref="C8:D8"/>
    <mergeCell ref="C16:D16"/>
    <mergeCell ref="C53:D53"/>
    <mergeCell ref="C19:D19"/>
    <mergeCell ref="C20:D20"/>
    <mergeCell ref="C21:D21"/>
    <mergeCell ref="C22:D22"/>
    <mergeCell ref="C32:D32"/>
    <mergeCell ref="C47:D47"/>
    <mergeCell ref="C46:D46"/>
    <mergeCell ref="C27:D27"/>
    <mergeCell ref="C91:D91"/>
    <mergeCell ref="C80:D80"/>
    <mergeCell ref="C86:D86"/>
    <mergeCell ref="C92:D92"/>
    <mergeCell ref="C93:D93"/>
    <mergeCell ref="C88:D88"/>
    <mergeCell ref="C89:D89"/>
    <mergeCell ref="C38:D38"/>
    <mergeCell ref="C39:D39"/>
    <mergeCell ref="C40:D40"/>
    <mergeCell ref="C45:D45"/>
    <mergeCell ref="C48:D48"/>
    <mergeCell ref="C49:D49"/>
    <mergeCell ref="C50:D50"/>
    <mergeCell ref="C51:D51"/>
    <mergeCell ref="C52:D52"/>
    <mergeCell ref="A146:I146"/>
    <mergeCell ref="C59:D59"/>
    <mergeCell ref="C94:D94"/>
    <mergeCell ref="C95:D95"/>
    <mergeCell ref="C104:D104"/>
    <mergeCell ref="C66:D66"/>
    <mergeCell ref="C54:D54"/>
    <mergeCell ref="C65:D65"/>
    <mergeCell ref="C116:D116"/>
    <mergeCell ref="C115:D115"/>
    <mergeCell ref="A145:H145"/>
    <mergeCell ref="C143:D143"/>
    <mergeCell ref="C72:D72"/>
    <mergeCell ref="C76:D76"/>
    <mergeCell ref="C100:D100"/>
    <mergeCell ref="C79:D79"/>
    <mergeCell ref="C101:D101"/>
    <mergeCell ref="C58:D58"/>
    <mergeCell ref="B147:C147"/>
    <mergeCell ref="C90:D90"/>
    <mergeCell ref="C71:D71"/>
    <mergeCell ref="C61:D61"/>
    <mergeCell ref="C69:D69"/>
    <mergeCell ref="C75:D75"/>
    <mergeCell ref="C77:D77"/>
    <mergeCell ref="C83:D83"/>
    <mergeCell ref="C74:D74"/>
    <mergeCell ref="C84:D84"/>
    <mergeCell ref="C126:D126"/>
    <mergeCell ref="C102:D102"/>
    <mergeCell ref="C85:D85"/>
    <mergeCell ref="C97:D97"/>
    <mergeCell ref="C98:D98"/>
    <mergeCell ref="C96:D96"/>
    <mergeCell ref="C141:D141"/>
    <mergeCell ref="C135:D135"/>
    <mergeCell ref="C138:D138"/>
    <mergeCell ref="C139:D139"/>
    <mergeCell ref="C125:D125"/>
    <mergeCell ref="C99:D99"/>
    <mergeCell ref="C105:D105"/>
    <mergeCell ref="C140:D140"/>
    <mergeCell ref="C28:D28"/>
    <mergeCell ref="C82:D82"/>
    <mergeCell ref="C29:D29"/>
    <mergeCell ref="H157:I157"/>
    <mergeCell ref="C56:D56"/>
    <mergeCell ref="C57:D57"/>
    <mergeCell ref="C67:D67"/>
    <mergeCell ref="C63:D63"/>
    <mergeCell ref="C118:D118"/>
    <mergeCell ref="C119:D119"/>
    <mergeCell ref="C109:D109"/>
    <mergeCell ref="C112:D112"/>
    <mergeCell ref="C117:D117"/>
    <mergeCell ref="C110:D110"/>
    <mergeCell ref="C81:D81"/>
    <mergeCell ref="C108:D108"/>
    <mergeCell ref="C106:D106"/>
    <mergeCell ref="C107:D107"/>
    <mergeCell ref="F151:G151"/>
    <mergeCell ref="B150:C150"/>
    <mergeCell ref="F148:G148"/>
    <mergeCell ref="F150:G150"/>
    <mergeCell ref="F147:G147"/>
    <mergeCell ref="C144:D144"/>
  </mergeCells>
  <phoneticPr fontId="6" type="noConversion"/>
  <printOptions horizontalCentered="1"/>
  <pageMargins left="0.19685039370078741" right="0" top="0.39370078740157483" bottom="0" header="0" footer="0"/>
  <pageSetup paperSize="9" scale="72" orientation="landscape" r:id="rId1"/>
  <headerFooter alignWithMargins="0"/>
  <rowBreaks count="4" manualBreakCount="4">
    <brk id="37" max="8" man="1"/>
    <brk id="67" max="8" man="1"/>
    <brk id="99" max="8" man="1"/>
    <brk id="135"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6"/>
  <sheetViews>
    <sheetView view="pageBreakPreview" topLeftCell="A4" zoomScaleNormal="100" zoomScaleSheetLayoutView="100" workbookViewId="0">
      <selection activeCell="A6" sqref="A6:B6"/>
    </sheetView>
  </sheetViews>
  <sheetFormatPr defaultRowHeight="13.2" x14ac:dyDescent="0.25"/>
  <cols>
    <col min="1" max="1" width="12.109375" customWidth="1"/>
    <col min="2" max="2" width="65.109375" customWidth="1"/>
    <col min="3" max="3" width="22.33203125" customWidth="1"/>
    <col min="4" max="4" width="19.21875" customWidth="1"/>
    <col min="5" max="8" width="15.88671875" customWidth="1"/>
    <col min="9" max="9" width="12.33203125" customWidth="1"/>
  </cols>
  <sheetData>
    <row r="1" spans="1:9" ht="8.1" customHeight="1" thickBot="1" x14ac:dyDescent="0.3">
      <c r="A1" s="22"/>
      <c r="B1" s="22"/>
      <c r="C1" s="23"/>
      <c r="D1" s="23"/>
      <c r="E1" s="23"/>
      <c r="F1" s="23"/>
      <c r="G1" s="23"/>
      <c r="H1" s="23"/>
      <c r="I1" s="23"/>
    </row>
    <row r="2" spans="1:9" ht="16.2" thickBot="1" x14ac:dyDescent="0.35">
      <c r="A2" s="589" t="s">
        <v>32</v>
      </c>
      <c r="B2" s="590"/>
      <c r="C2" s="590"/>
      <c r="D2" s="590"/>
      <c r="E2" s="590"/>
      <c r="F2" s="590"/>
      <c r="G2" s="590"/>
      <c r="H2" s="590"/>
      <c r="I2" s="591"/>
    </row>
    <row r="3" spans="1:9" ht="5.0999999999999996" customHeight="1" thickBot="1" x14ac:dyDescent="0.3">
      <c r="A3" s="47"/>
      <c r="B3" s="22"/>
      <c r="C3" s="23"/>
      <c r="D3" s="23"/>
      <c r="E3" s="22"/>
      <c r="F3" s="22"/>
      <c r="G3" s="22"/>
      <c r="H3" s="22"/>
      <c r="I3" s="402"/>
    </row>
    <row r="4" spans="1:9" ht="16.5" customHeight="1" thickBot="1" x14ac:dyDescent="0.3">
      <c r="A4" s="592" t="s">
        <v>21</v>
      </c>
      <c r="B4" s="593"/>
      <c r="C4" s="593"/>
      <c r="D4" s="593"/>
      <c r="E4" s="593"/>
      <c r="F4" s="593"/>
      <c r="G4" s="593"/>
      <c r="H4" s="593"/>
      <c r="I4" s="594"/>
    </row>
    <row r="5" spans="1:9" ht="19.95" customHeight="1" x14ac:dyDescent="0.25">
      <c r="A5" s="599" t="str">
        <f>'Modelo Planilha Orcamentaria'!A2:E2</f>
        <v>PREFEITURA: PREFEITURA MUNICIPAL DE BOM JARDIM DE MINAS - MG</v>
      </c>
      <c r="B5" s="600"/>
      <c r="C5" s="88" t="s">
        <v>40</v>
      </c>
      <c r="D5" s="597">
        <f>'Modelo Planilha Orcamentaria'!I145</f>
        <v>371445.22906048503</v>
      </c>
      <c r="E5" s="597"/>
      <c r="F5" s="597"/>
      <c r="G5" s="598"/>
      <c r="H5" s="587" t="str">
        <f>'Modelo Planilha Orcamentaria'!F3</f>
        <v>DATA: 11/02/2025</v>
      </c>
      <c r="I5" s="588"/>
    </row>
    <row r="6" spans="1:9" ht="36.6" customHeight="1" thickBot="1" x14ac:dyDescent="0.3">
      <c r="A6" s="580" t="str">
        <f>'Modelo Planilha Orcamentaria'!A3:E3</f>
        <v>OBRA: REVITALIZAÇÃO, REFORMA E CONSTRUÇÃO DE BANHEIROS PÚBLICOS NA PRAÇA ANTÔNIO JACINTO FARIA - ETAPA 02</v>
      </c>
      <c r="B6" s="581"/>
      <c r="C6" s="595" t="str">
        <f>'Modelo Planilha Orcamentaria'!A4</f>
        <v>LOCAL:  PRAÇA ANTÔNIO JACINTO FARIA  - BAIRRO CENTRO - BOM JARDIM DE MINAS / MG</v>
      </c>
      <c r="D6" s="596"/>
      <c r="E6" s="596"/>
      <c r="F6" s="596"/>
      <c r="G6" s="581"/>
      <c r="H6" s="585" t="s">
        <v>550</v>
      </c>
      <c r="I6" s="586"/>
    </row>
    <row r="7" spans="1:9" x14ac:dyDescent="0.25">
      <c r="A7" s="42" t="s">
        <v>0</v>
      </c>
      <c r="B7" s="35" t="s">
        <v>22</v>
      </c>
      <c r="C7" s="34" t="s">
        <v>23</v>
      </c>
      <c r="D7" s="34" t="s">
        <v>24</v>
      </c>
      <c r="E7" s="35" t="s">
        <v>25</v>
      </c>
      <c r="F7" s="35" t="s">
        <v>26</v>
      </c>
      <c r="G7" s="24" t="s">
        <v>50</v>
      </c>
      <c r="H7" s="35" t="s">
        <v>548</v>
      </c>
      <c r="I7" s="403" t="s">
        <v>549</v>
      </c>
    </row>
    <row r="8" spans="1:9" ht="12.75" customHeight="1" x14ac:dyDescent="0.25">
      <c r="A8" s="565">
        <v>1</v>
      </c>
      <c r="B8" s="582" t="s">
        <v>39</v>
      </c>
      <c r="C8" s="25" t="s">
        <v>27</v>
      </c>
      <c r="D8" s="26">
        <f>D9/$D$43</f>
        <v>2.8405365115840273E-2</v>
      </c>
      <c r="E8" s="27">
        <v>1</v>
      </c>
      <c r="F8" s="27"/>
      <c r="G8" s="27"/>
      <c r="H8" s="27"/>
      <c r="I8" s="404"/>
    </row>
    <row r="9" spans="1:9" x14ac:dyDescent="0.25">
      <c r="A9" s="566"/>
      <c r="B9" s="583"/>
      <c r="C9" s="64" t="s">
        <v>28</v>
      </c>
      <c r="D9" s="113">
        <f>'Modelo Planilha Orcamentaria'!I9</f>
        <v>10551.037352000001</v>
      </c>
      <c r="E9" s="113">
        <f>E8*D9</f>
        <v>10551.037352000001</v>
      </c>
      <c r="F9" s="113"/>
      <c r="G9" s="114"/>
      <c r="H9" s="113"/>
      <c r="I9" s="405"/>
    </row>
    <row r="10" spans="1:9" x14ac:dyDescent="0.25">
      <c r="A10" s="571" t="s">
        <v>704</v>
      </c>
      <c r="B10" s="570"/>
      <c r="C10" s="490"/>
      <c r="D10" s="490"/>
      <c r="E10" s="490"/>
      <c r="F10" s="490"/>
      <c r="G10" s="490"/>
      <c r="H10" s="490"/>
      <c r="I10" s="491"/>
    </row>
    <row r="11" spans="1:9" ht="12.75" customHeight="1" x14ac:dyDescent="0.25">
      <c r="A11" s="584">
        <v>2</v>
      </c>
      <c r="B11" s="582" t="str">
        <f>'Modelo Planilha Orcamentaria'!C13</f>
        <v>MOVIMENTAÇÃO DE TERRA</v>
      </c>
      <c r="C11" s="25" t="s">
        <v>27</v>
      </c>
      <c r="D11" s="26">
        <f>D12/$D$43</f>
        <v>2.2754751833906788E-3</v>
      </c>
      <c r="E11" s="27">
        <v>1</v>
      </c>
      <c r="F11" s="27"/>
      <c r="G11" s="27"/>
      <c r="H11" s="27"/>
      <c r="I11" s="404"/>
    </row>
    <row r="12" spans="1:9" x14ac:dyDescent="0.25">
      <c r="A12" s="566"/>
      <c r="B12" s="568"/>
      <c r="C12" s="28" t="s">
        <v>28</v>
      </c>
      <c r="D12" s="29">
        <f>'Modelo Planilha Orcamentaria'!I13</f>
        <v>845.21440071599989</v>
      </c>
      <c r="E12" s="29">
        <f>E11*D12</f>
        <v>845.21440071599989</v>
      </c>
      <c r="F12" s="29"/>
      <c r="G12" s="29"/>
      <c r="H12" s="29"/>
      <c r="I12" s="406"/>
    </row>
    <row r="13" spans="1:9" ht="12.75" customHeight="1" x14ac:dyDescent="0.25">
      <c r="A13" s="565">
        <v>3</v>
      </c>
      <c r="B13" s="582" t="str">
        <f>'Modelo Planilha Orcamentaria'!C18</f>
        <v>SUPERESTRUTURA E ESTRUTURA</v>
      </c>
      <c r="C13" s="25" t="s">
        <v>27</v>
      </c>
      <c r="D13" s="26">
        <f>D14/$D$43</f>
        <v>8.2238041232299663E-2</v>
      </c>
      <c r="E13" s="27">
        <v>0.4</v>
      </c>
      <c r="F13" s="27">
        <v>0.4</v>
      </c>
      <c r="G13" s="27">
        <v>0.2</v>
      </c>
      <c r="H13" s="27"/>
      <c r="I13" s="404"/>
    </row>
    <row r="14" spans="1:9" x14ac:dyDescent="0.25">
      <c r="A14" s="566"/>
      <c r="B14" s="568"/>
      <c r="C14" s="28" t="s">
        <v>28</v>
      </c>
      <c r="D14" s="29">
        <f>'Modelo Planilha Orcamentaria'!I18</f>
        <v>30546.92806301716</v>
      </c>
      <c r="E14" s="29">
        <f>E13*D14</f>
        <v>12218.771225206865</v>
      </c>
      <c r="F14" s="29">
        <f>F13*D14</f>
        <v>12218.771225206865</v>
      </c>
      <c r="G14" s="29">
        <f>G13*D14</f>
        <v>6109.3856126034325</v>
      </c>
      <c r="H14" s="29"/>
      <c r="I14" s="406"/>
    </row>
    <row r="15" spans="1:9" ht="12.75" customHeight="1" x14ac:dyDescent="0.25">
      <c r="A15" s="565">
        <v>4</v>
      </c>
      <c r="B15" s="582" t="str">
        <f>'Modelo Planilha Orcamentaria'!C25</f>
        <v>ALVENARIA</v>
      </c>
      <c r="C15" s="25" t="s">
        <v>27</v>
      </c>
      <c r="D15" s="26">
        <f>D16/$D$43</f>
        <v>5.4845413934194523E-2</v>
      </c>
      <c r="E15" s="27"/>
      <c r="F15" s="27">
        <v>0.4</v>
      </c>
      <c r="G15" s="27">
        <v>0.6</v>
      </c>
      <c r="H15" s="27"/>
      <c r="I15" s="404"/>
    </row>
    <row r="16" spans="1:9" x14ac:dyDescent="0.25">
      <c r="A16" s="566"/>
      <c r="B16" s="568"/>
      <c r="C16" s="28" t="s">
        <v>28</v>
      </c>
      <c r="D16" s="29">
        <f>'Modelo Planilha Orcamentaria'!I25</f>
        <v>20372.067341704002</v>
      </c>
      <c r="E16" s="29"/>
      <c r="F16" s="29">
        <f>F15*D16</f>
        <v>8148.8269366816012</v>
      </c>
      <c r="G16" s="29">
        <f>G15*D16</f>
        <v>12223.240405022401</v>
      </c>
      <c r="H16" s="29"/>
      <c r="I16" s="406"/>
    </row>
    <row r="17" spans="1:9" ht="12.75" customHeight="1" x14ac:dyDescent="0.25">
      <c r="A17" s="565">
        <v>5</v>
      </c>
      <c r="B17" s="582" t="str">
        <f>'Modelo Planilha Orcamentaria'!C30</f>
        <v>PONTOS DE INSTALAÇÕES HIDROSSANITÁRIAS</v>
      </c>
      <c r="C17" s="25" t="s">
        <v>27</v>
      </c>
      <c r="D17" s="26">
        <f>D18/$D$43</f>
        <v>2.0324945653752487E-2</v>
      </c>
      <c r="E17" s="27"/>
      <c r="F17" s="27">
        <v>0.2</v>
      </c>
      <c r="G17" s="27">
        <v>0.4</v>
      </c>
      <c r="H17" s="27">
        <v>0.4</v>
      </c>
      <c r="I17" s="404"/>
    </row>
    <row r="18" spans="1:9" x14ac:dyDescent="0.25">
      <c r="A18" s="566"/>
      <c r="B18" s="568"/>
      <c r="C18" s="28" t="s">
        <v>28</v>
      </c>
      <c r="D18" s="29">
        <f>'Modelo Planilha Orcamentaria'!I30</f>
        <v>7549.6040940000021</v>
      </c>
      <c r="E18" s="29"/>
      <c r="F18" s="29">
        <f>F17*D18</f>
        <v>1509.9208188000005</v>
      </c>
      <c r="G18" s="29">
        <f>G17*D18</f>
        <v>3019.8416376000009</v>
      </c>
      <c r="H18" s="29">
        <f>H17*D18</f>
        <v>3019.8416376000009</v>
      </c>
      <c r="I18" s="406"/>
    </row>
    <row r="19" spans="1:9" ht="12.75" customHeight="1" x14ac:dyDescent="0.25">
      <c r="A19" s="565">
        <v>6</v>
      </c>
      <c r="B19" s="582" t="str">
        <f>'Modelo Planilha Orcamentaria'!C55</f>
        <v>PONTOS DE INSTALAÇÕES ELÉTRICAS</v>
      </c>
      <c r="C19" s="25" t="s">
        <v>27</v>
      </c>
      <c r="D19" s="26">
        <f>D20/$D$43</f>
        <v>4.3646301942477546E-2</v>
      </c>
      <c r="E19" s="27"/>
      <c r="F19" s="27">
        <v>0.2</v>
      </c>
      <c r="G19" s="27">
        <v>0.3</v>
      </c>
      <c r="H19" s="27">
        <v>0.3</v>
      </c>
      <c r="I19" s="404">
        <v>0.2</v>
      </c>
    </row>
    <row r="20" spans="1:9" x14ac:dyDescent="0.25">
      <c r="A20" s="566"/>
      <c r="B20" s="568"/>
      <c r="C20" s="28" t="s">
        <v>28</v>
      </c>
      <c r="D20" s="29">
        <f>'Modelo Planilha Orcamentaria'!I55</f>
        <v>16212.210622666666</v>
      </c>
      <c r="E20" s="29"/>
      <c r="F20" s="29">
        <f>F19*D20</f>
        <v>3242.4421245333333</v>
      </c>
      <c r="G20" s="29">
        <f>G19*D20</f>
        <v>4863.6631867999995</v>
      </c>
      <c r="H20" s="29">
        <f>H19*D20</f>
        <v>4863.6631867999995</v>
      </c>
      <c r="I20" s="406">
        <f>I19*D20</f>
        <v>3242.4421245333333</v>
      </c>
    </row>
    <row r="21" spans="1:9" ht="12.75" customHeight="1" x14ac:dyDescent="0.25">
      <c r="A21" s="565">
        <v>7</v>
      </c>
      <c r="B21" s="567" t="str">
        <f>'Modelo Planilha Orcamentaria'!C68</f>
        <v xml:space="preserve">REVESTIMENTOS DE PAREDE INT./EXT. E TETO </v>
      </c>
      <c r="C21" s="25" t="s">
        <v>27</v>
      </c>
      <c r="D21" s="26">
        <f>D22/$D$43</f>
        <v>5.3408057669319567E-2</v>
      </c>
      <c r="E21" s="27"/>
      <c r="F21" s="27">
        <v>0.2</v>
      </c>
      <c r="G21" s="27">
        <v>0.3</v>
      </c>
      <c r="H21" s="27">
        <v>0.5</v>
      </c>
      <c r="I21" s="404"/>
    </row>
    <row r="22" spans="1:9" x14ac:dyDescent="0.25">
      <c r="A22" s="566"/>
      <c r="B22" s="568"/>
      <c r="C22" s="64" t="s">
        <v>28</v>
      </c>
      <c r="D22" s="29">
        <f>'Modelo Planilha Orcamentaria'!I68</f>
        <v>19838.168214656002</v>
      </c>
      <c r="E22" s="29"/>
      <c r="F22" s="29">
        <f>F21*D22</f>
        <v>3967.6336429312005</v>
      </c>
      <c r="G22" s="29">
        <f>G21*D22</f>
        <v>5951.4504643968003</v>
      </c>
      <c r="H22" s="29">
        <f>H21*D22</f>
        <v>9919.0841073280008</v>
      </c>
      <c r="I22" s="406"/>
    </row>
    <row r="23" spans="1:9" ht="12.75" customHeight="1" x14ac:dyDescent="0.25">
      <c r="A23" s="565">
        <v>8</v>
      </c>
      <c r="B23" s="567" t="str">
        <f>'Modelo Planilha Orcamentaria'!C73</f>
        <v>REVESTIMENTO DE PISO INT. E EXT.</v>
      </c>
      <c r="C23" s="25" t="s">
        <v>27</v>
      </c>
      <c r="D23" s="26">
        <f>D24/$D$43</f>
        <v>2.5177023057904906E-2</v>
      </c>
      <c r="E23" s="27"/>
      <c r="F23" s="27">
        <v>0.2</v>
      </c>
      <c r="G23" s="27">
        <v>0.3</v>
      </c>
      <c r="H23" s="27">
        <v>0.5</v>
      </c>
      <c r="I23" s="404"/>
    </row>
    <row r="24" spans="1:9" x14ac:dyDescent="0.25">
      <c r="A24" s="566"/>
      <c r="B24" s="568"/>
      <c r="C24" s="64" t="s">
        <v>28</v>
      </c>
      <c r="D24" s="29">
        <f>'Modelo Planilha Orcamentaria'!I73</f>
        <v>9351.8850968046008</v>
      </c>
      <c r="E24" s="29"/>
      <c r="F24" s="29">
        <f>F23*D24</f>
        <v>1870.3770193609203</v>
      </c>
      <c r="G24" s="29">
        <f>G23*D24</f>
        <v>2805.5655290413802</v>
      </c>
      <c r="H24" s="29">
        <f>H23*D24</f>
        <v>4675.9425484023004</v>
      </c>
      <c r="I24" s="406"/>
    </row>
    <row r="25" spans="1:9" ht="12.75" customHeight="1" x14ac:dyDescent="0.25">
      <c r="A25" s="565">
        <v>9</v>
      </c>
      <c r="B25" s="567" t="str">
        <f>'Modelo Planilha Orcamentaria'!C78</f>
        <v>ESQUADRIAS E PEDRAS</v>
      </c>
      <c r="C25" s="25" t="s">
        <v>27</v>
      </c>
      <c r="D25" s="26">
        <f>D26/$D$43</f>
        <v>9.7691490771768391E-2</v>
      </c>
      <c r="E25" s="27"/>
      <c r="F25" s="27">
        <v>0.3</v>
      </c>
      <c r="G25" s="27">
        <v>0.2</v>
      </c>
      <c r="H25" s="27">
        <v>0.2</v>
      </c>
      <c r="I25" s="404">
        <v>0.3</v>
      </c>
    </row>
    <row r="26" spans="1:9" x14ac:dyDescent="0.25">
      <c r="A26" s="566"/>
      <c r="B26" s="568"/>
      <c r="C26" s="64" t="s">
        <v>28</v>
      </c>
      <c r="D26" s="29">
        <f>'Modelo Planilha Orcamentaria'!I78</f>
        <v>36287.038166979772</v>
      </c>
      <c r="E26" s="29"/>
      <c r="F26" s="29">
        <f>F25*D26</f>
        <v>10886.111450093931</v>
      </c>
      <c r="G26" s="29">
        <f>G25*D26</f>
        <v>7257.4076333959547</v>
      </c>
      <c r="H26" s="29">
        <f>H25*D26</f>
        <v>7257.4076333959547</v>
      </c>
      <c r="I26" s="406">
        <f>I25*D26</f>
        <v>10886.111450093931</v>
      </c>
    </row>
    <row r="27" spans="1:9" ht="12.75" customHeight="1" x14ac:dyDescent="0.25">
      <c r="A27" s="565">
        <v>10</v>
      </c>
      <c r="B27" s="567" t="str">
        <f>'Modelo Planilha Orcamentaria'!C87</f>
        <v>LOUÇAS, METAIS E ACESSÓRIOS</v>
      </c>
      <c r="C27" s="25" t="s">
        <v>27</v>
      </c>
      <c r="D27" s="26">
        <f>D28/$D$43</f>
        <v>5.4787196482435359E-2</v>
      </c>
      <c r="E27" s="27"/>
      <c r="F27" s="27"/>
      <c r="G27" s="27">
        <v>0.1</v>
      </c>
      <c r="H27" s="27">
        <v>0.3</v>
      </c>
      <c r="I27" s="404">
        <v>0.6</v>
      </c>
    </row>
    <row r="28" spans="1:9" x14ac:dyDescent="0.25">
      <c r="A28" s="566"/>
      <c r="B28" s="568"/>
      <c r="C28" s="64" t="s">
        <v>28</v>
      </c>
      <c r="D28" s="29">
        <f>'Modelo Planilha Orcamentaria'!I87</f>
        <v>20350.442747000001</v>
      </c>
      <c r="E28" s="29"/>
      <c r="F28" s="29"/>
      <c r="G28" s="29">
        <f>G27*D28</f>
        <v>2035.0442747000002</v>
      </c>
      <c r="H28" s="29">
        <f>H27*D28</f>
        <v>6105.1328241000001</v>
      </c>
      <c r="I28" s="406">
        <f>I27*D28</f>
        <v>12210.2656482</v>
      </c>
    </row>
    <row r="29" spans="1:9" ht="12.75" customHeight="1" x14ac:dyDescent="0.25">
      <c r="A29" s="565">
        <v>11</v>
      </c>
      <c r="B29" s="567" t="str">
        <f>'Modelo Planilha Orcamentaria'!C103</f>
        <v>PINTURA</v>
      </c>
      <c r="C29" s="25" t="s">
        <v>27</v>
      </c>
      <c r="D29" s="26">
        <f>D30/$D$43</f>
        <v>2.5185166069441357E-2</v>
      </c>
      <c r="E29" s="27"/>
      <c r="F29" s="27"/>
      <c r="G29" s="27">
        <v>0.1</v>
      </c>
      <c r="H29" s="27">
        <v>0.2</v>
      </c>
      <c r="I29" s="404">
        <v>0.7</v>
      </c>
    </row>
    <row r="30" spans="1:9" x14ac:dyDescent="0.25">
      <c r="A30" s="566"/>
      <c r="B30" s="568"/>
      <c r="C30" s="64" t="s">
        <v>28</v>
      </c>
      <c r="D30" s="29">
        <f>'Modelo Planilha Orcamentaria'!I103</f>
        <v>9354.9097795899997</v>
      </c>
      <c r="E30" s="29"/>
      <c r="F30" s="29"/>
      <c r="G30" s="29">
        <f>G29*D30</f>
        <v>935.49097795900002</v>
      </c>
      <c r="H30" s="29">
        <f>H29*D30</f>
        <v>1870.981955918</v>
      </c>
      <c r="I30" s="406">
        <f>I29*D30</f>
        <v>6548.4368457129995</v>
      </c>
    </row>
    <row r="31" spans="1:9" ht="12.75" customHeight="1" x14ac:dyDescent="0.25">
      <c r="A31" s="565">
        <v>12</v>
      </c>
      <c r="B31" s="567" t="str">
        <f>'Modelo Planilha Orcamentaria'!C111</f>
        <v xml:space="preserve">COBERTURA </v>
      </c>
      <c r="C31" s="25" t="s">
        <v>27</v>
      </c>
      <c r="D31" s="26">
        <f>D32/$D$43</f>
        <v>9.0547828437516895E-2</v>
      </c>
      <c r="E31" s="27"/>
      <c r="F31" s="27"/>
      <c r="G31" s="27"/>
      <c r="H31" s="27"/>
      <c r="I31" s="404"/>
    </row>
    <row r="32" spans="1:9" x14ac:dyDescent="0.25">
      <c r="A32" s="566"/>
      <c r="B32" s="568"/>
      <c r="C32" s="64" t="s">
        <v>28</v>
      </c>
      <c r="D32" s="29">
        <f>'Modelo Planilha Orcamentaria'!I111</f>
        <v>33633.558874902963</v>
      </c>
      <c r="E32" s="29"/>
      <c r="F32" s="29"/>
      <c r="G32" s="29"/>
      <c r="H32" s="29"/>
      <c r="I32" s="406"/>
    </row>
    <row r="33" spans="1:9" ht="13.2" customHeight="1" x14ac:dyDescent="0.25">
      <c r="A33" s="571" t="s">
        <v>705</v>
      </c>
      <c r="B33" s="570"/>
      <c r="C33" s="569"/>
      <c r="D33" s="570"/>
      <c r="E33" s="569"/>
      <c r="F33" s="570"/>
      <c r="G33" s="569"/>
      <c r="H33" s="570"/>
      <c r="I33" s="492"/>
    </row>
    <row r="34" spans="1:9" ht="12.75" customHeight="1" x14ac:dyDescent="0.25">
      <c r="A34" s="565">
        <v>13</v>
      </c>
      <c r="B34" s="567" t="str">
        <f>'Modelo Planilha Orcamentaria'!C122</f>
        <v>MOVIMENTAÇÃO DE TERRA</v>
      </c>
      <c r="C34" s="25" t="s">
        <v>27</v>
      </c>
      <c r="D34" s="26">
        <f>D35/$D$43</f>
        <v>4.5794648192073392E-3</v>
      </c>
      <c r="E34" s="27">
        <v>1</v>
      </c>
      <c r="F34" s="27"/>
      <c r="G34" s="27"/>
      <c r="H34" s="27"/>
      <c r="I34" s="404"/>
    </row>
    <row r="35" spans="1:9" x14ac:dyDescent="0.25">
      <c r="A35" s="566"/>
      <c r="B35" s="568"/>
      <c r="C35" s="64" t="s">
        <v>28</v>
      </c>
      <c r="D35" s="29">
        <f>'Modelo Planilha Orcamentaria'!I122</f>
        <v>1701.0203587449028</v>
      </c>
      <c r="E35" s="29">
        <f>E34*D35</f>
        <v>1701.0203587449028</v>
      </c>
      <c r="F35" s="29"/>
      <c r="G35" s="29"/>
      <c r="H35" s="29"/>
      <c r="I35" s="406"/>
    </row>
    <row r="36" spans="1:9" ht="12.75" customHeight="1" x14ac:dyDescent="0.25">
      <c r="A36" s="565">
        <v>14</v>
      </c>
      <c r="B36" s="567" t="str">
        <f>'Modelo Planilha Orcamentaria'!C127</f>
        <v>PONTOS DE INSTALAÇÕES ELÉTRICAS</v>
      </c>
      <c r="C36" s="25" t="s">
        <v>27</v>
      </c>
      <c r="D36" s="26">
        <f>D37/$D$43</f>
        <v>0.32864683469887135</v>
      </c>
      <c r="E36" s="27">
        <v>0.2</v>
      </c>
      <c r="F36" s="27">
        <v>0.2</v>
      </c>
      <c r="G36" s="27">
        <v>0.2</v>
      </c>
      <c r="H36" s="27">
        <v>0.2</v>
      </c>
      <c r="I36" s="404">
        <v>0.2</v>
      </c>
    </row>
    <row r="37" spans="1:9" x14ac:dyDescent="0.25">
      <c r="A37" s="566"/>
      <c r="B37" s="568"/>
      <c r="C37" s="64" t="s">
        <v>28</v>
      </c>
      <c r="D37" s="29">
        <f>'Modelo Planilha Orcamentaria'!I127</f>
        <v>122074.29879472563</v>
      </c>
      <c r="E37" s="29">
        <f>E36*D37</f>
        <v>24414.859758945127</v>
      </c>
      <c r="F37" s="29">
        <f>F36*D37</f>
        <v>24414.859758945127</v>
      </c>
      <c r="G37" s="29">
        <f>G36*D37</f>
        <v>24414.859758945127</v>
      </c>
      <c r="H37" s="29">
        <f>H36*D37</f>
        <v>24414.859758945127</v>
      </c>
      <c r="I37" s="406">
        <f>I36*D37</f>
        <v>24414.859758945127</v>
      </c>
    </row>
    <row r="38" spans="1:9" ht="12.75" customHeight="1" x14ac:dyDescent="0.25">
      <c r="A38" s="565">
        <v>15</v>
      </c>
      <c r="B38" s="567" t="str">
        <f>'Modelo Planilha Orcamentaria'!C136</f>
        <v>URBANIZAÇÃO</v>
      </c>
      <c r="C38" s="25" t="s">
        <v>27</v>
      </c>
      <c r="D38" s="26">
        <f>D39/$D$43</f>
        <v>8.1636509593934092E-2</v>
      </c>
      <c r="E38" s="27">
        <v>0.2</v>
      </c>
      <c r="F38" s="27">
        <v>0.2</v>
      </c>
      <c r="G38" s="27">
        <v>0.2</v>
      </c>
      <c r="H38" s="27">
        <v>0.2</v>
      </c>
      <c r="I38" s="404">
        <v>0.2</v>
      </c>
    </row>
    <row r="39" spans="1:9" x14ac:dyDescent="0.25">
      <c r="A39" s="566"/>
      <c r="B39" s="568"/>
      <c r="C39" s="64" t="s">
        <v>28</v>
      </c>
      <c r="D39" s="29">
        <f>'Modelo Planilha Orcamentaria'!I136</f>
        <v>30323.492005817334</v>
      </c>
      <c r="E39" s="29">
        <f>E38*D39</f>
        <v>6064.6984011634668</v>
      </c>
      <c r="F39" s="29">
        <f>F38*D39</f>
        <v>6064.6984011634668</v>
      </c>
      <c r="G39" s="29">
        <f>G38*D39</f>
        <v>6064.6984011634668</v>
      </c>
      <c r="H39" s="29">
        <f>H38*D39</f>
        <v>6064.6984011634668</v>
      </c>
      <c r="I39" s="406">
        <f>I38*D39</f>
        <v>6064.6984011634668</v>
      </c>
    </row>
    <row r="40" spans="1:9" x14ac:dyDescent="0.25">
      <c r="A40" s="565">
        <v>16</v>
      </c>
      <c r="B40" s="567" t="str">
        <f>'Modelo Planilha Orcamentaria'!C142</f>
        <v>SERVIÇOS FINAIS</v>
      </c>
      <c r="C40" s="28" t="s">
        <v>27</v>
      </c>
      <c r="D40" s="26">
        <f>D41/$D$43</f>
        <v>6.604885337645576E-3</v>
      </c>
      <c r="E40" s="27"/>
      <c r="F40" s="27"/>
      <c r="G40" s="27"/>
      <c r="H40" s="27"/>
      <c r="I40" s="404">
        <v>1</v>
      </c>
    </row>
    <row r="41" spans="1:9" x14ac:dyDescent="0.25">
      <c r="A41" s="566"/>
      <c r="B41" s="568"/>
      <c r="C41" s="28" t="s">
        <v>28</v>
      </c>
      <c r="D41" s="29">
        <f>'Modelo Planilha Orcamentaria'!I142</f>
        <v>2453.3531471599999</v>
      </c>
      <c r="E41" s="29"/>
      <c r="F41" s="29"/>
      <c r="G41" s="29"/>
      <c r="H41" s="29"/>
      <c r="I41" s="406">
        <f>I40*D41</f>
        <v>2453.3531471599999</v>
      </c>
    </row>
    <row r="42" spans="1:9" x14ac:dyDescent="0.25">
      <c r="A42" s="573" t="s">
        <v>29</v>
      </c>
      <c r="B42" s="574"/>
      <c r="C42" s="30" t="s">
        <v>27</v>
      </c>
      <c r="D42" s="31">
        <f>D40+D21+D19+D17+D15+D13+D11+D8+D31+D29+D27+D25+D23+D34+D36+D38</f>
        <v>1</v>
      </c>
      <c r="E42" s="31">
        <f>E43/$D$43</f>
        <v>0.15021219046991924</v>
      </c>
      <c r="F42" s="31">
        <f>F43/$D$43</f>
        <v>0.19470876382138019</v>
      </c>
      <c r="G42" s="31">
        <f>G43/$D$43</f>
        <v>0.20374645293749066</v>
      </c>
      <c r="H42" s="31">
        <f>H43/$D$43</f>
        <v>0.18358456837939013</v>
      </c>
      <c r="I42" s="407">
        <f>I43/$D$43</f>
        <v>0.17720019595430286</v>
      </c>
    </row>
    <row r="43" spans="1:9" ht="13.8" thickBot="1" x14ac:dyDescent="0.3">
      <c r="A43" s="575"/>
      <c r="B43" s="576"/>
      <c r="C43" s="32" t="s">
        <v>28</v>
      </c>
      <c r="D43" s="33">
        <f>D41+D22+D20+D18+D16+D14+D12+D9+D32+D30+D28+D26+D24+D35+D37+D39</f>
        <v>371445.22906048503</v>
      </c>
      <c r="E43" s="33">
        <f>E41+E22+E20+E18+E16+E14+E12+E9+E32+E30+E28+E26+E24+E35+E37+E39</f>
        <v>55795.601496776362</v>
      </c>
      <c r="F43" s="33">
        <f>F41+F22+F20+F18+F16+F14+F12+F9+F32+F30+F28+F26+F24+F35+F37+F39</f>
        <v>72323.641377716442</v>
      </c>
      <c r="G43" s="33">
        <f>G41+G22+G20+G18+G16+G14+G12+G9+G32+G30+G28+G26+G24+G35+G37+G39</f>
        <v>75680.647881627548</v>
      </c>
      <c r="H43" s="33">
        <f>H41+H22+H20+H18+H16+H14+H12+H9+H32+H30+H28+H26+H24+H35+H37+H39</f>
        <v>68191.612053652847</v>
      </c>
      <c r="I43" s="493">
        <f>I41+I22+I20+I18+I16+I14+I12+I9+I32+I30+I28+I26+I24+I35+I37+I39</f>
        <v>65820.167375808858</v>
      </c>
    </row>
    <row r="44" spans="1:9" ht="5.0999999999999996" customHeight="1" thickBot="1" x14ac:dyDescent="0.3">
      <c r="A44" s="86"/>
      <c r="B44" s="87"/>
      <c r="C44" s="87"/>
      <c r="D44" s="87"/>
      <c r="E44" s="87"/>
      <c r="F44" s="87"/>
      <c r="G44" s="87"/>
      <c r="H44" s="87"/>
      <c r="I44" s="408"/>
    </row>
    <row r="45" spans="1:9" x14ac:dyDescent="0.25">
      <c r="A45" s="85"/>
      <c r="B45" s="494"/>
      <c r="C45" s="494"/>
      <c r="D45" s="494"/>
      <c r="E45" s="494"/>
      <c r="F45" s="494"/>
      <c r="G45" s="494"/>
      <c r="H45" s="494"/>
      <c r="I45" s="409"/>
    </row>
    <row r="46" spans="1:9" x14ac:dyDescent="0.25">
      <c r="A46" s="65"/>
      <c r="B46" s="66"/>
      <c r="C46" s="495"/>
      <c r="D46" s="579"/>
      <c r="E46" s="579"/>
      <c r="F46" s="496"/>
      <c r="G46" s="496"/>
      <c r="H46" s="496"/>
      <c r="I46" s="410"/>
    </row>
    <row r="47" spans="1:9" x14ac:dyDescent="0.25">
      <c r="A47" s="67"/>
      <c r="B47" s="577"/>
      <c r="C47" s="497"/>
      <c r="D47" s="572" t="s">
        <v>30</v>
      </c>
      <c r="E47" s="572"/>
      <c r="F47" s="498"/>
      <c r="G47" s="498"/>
      <c r="H47" s="498"/>
      <c r="I47" s="411"/>
    </row>
    <row r="48" spans="1:9" x14ac:dyDescent="0.25">
      <c r="A48" s="69"/>
      <c r="B48" s="578"/>
      <c r="C48" s="497"/>
      <c r="D48" s="70"/>
      <c r="E48" s="497"/>
      <c r="F48" s="497"/>
      <c r="G48" s="497"/>
      <c r="H48" s="497"/>
      <c r="I48" s="412"/>
    </row>
    <row r="49" spans="1:9" ht="13.8" thickBot="1" x14ac:dyDescent="0.3">
      <c r="A49" s="71"/>
      <c r="B49" s="72"/>
      <c r="C49" s="73"/>
      <c r="D49" s="73"/>
      <c r="E49" s="72"/>
      <c r="F49" s="72"/>
      <c r="G49" s="72"/>
      <c r="H49" s="72"/>
      <c r="I49" s="413"/>
    </row>
    <row r="50" spans="1:9" x14ac:dyDescent="0.25">
      <c r="A50" s="22"/>
      <c r="B50" s="22"/>
      <c r="C50" s="23"/>
      <c r="D50" s="23"/>
      <c r="E50" s="22"/>
      <c r="F50" s="22"/>
      <c r="G50" s="22"/>
      <c r="H50" s="22"/>
      <c r="I50" s="22"/>
    </row>
    <row r="51" spans="1:9" x14ac:dyDescent="0.25">
      <c r="A51" s="22"/>
      <c r="B51" s="22"/>
      <c r="C51" s="23"/>
      <c r="D51" s="23"/>
      <c r="E51" s="22"/>
      <c r="F51" s="22"/>
      <c r="G51" s="22"/>
      <c r="H51" s="22"/>
      <c r="I51" s="22"/>
    </row>
    <row r="52" spans="1:9" x14ac:dyDescent="0.25">
      <c r="A52" s="22"/>
      <c r="B52" s="22"/>
      <c r="C52" s="23"/>
      <c r="D52" s="23"/>
      <c r="E52" s="22"/>
      <c r="F52" s="22"/>
      <c r="G52" s="22"/>
      <c r="H52" s="22"/>
      <c r="I52" s="22"/>
    </row>
    <row r="53" spans="1:9" x14ac:dyDescent="0.25">
      <c r="A53" s="22"/>
      <c r="B53" s="22"/>
      <c r="C53" s="23"/>
      <c r="D53" s="23"/>
      <c r="E53" s="22"/>
      <c r="F53" s="22"/>
      <c r="G53" s="22"/>
      <c r="H53" s="22"/>
      <c r="I53" s="22"/>
    </row>
    <row r="54" spans="1:9" x14ac:dyDescent="0.25">
      <c r="A54" s="22"/>
      <c r="B54" s="22"/>
      <c r="C54" s="23"/>
      <c r="D54" s="23"/>
      <c r="E54" s="22"/>
      <c r="F54" s="22"/>
      <c r="G54" s="22"/>
      <c r="H54" s="22"/>
      <c r="I54" s="22"/>
    </row>
    <row r="55" spans="1:9" x14ac:dyDescent="0.25">
      <c r="A55" s="22"/>
      <c r="B55" s="22"/>
      <c r="C55" s="23"/>
      <c r="D55" s="23"/>
      <c r="E55" s="22"/>
      <c r="F55" s="22"/>
      <c r="G55" s="22"/>
      <c r="H55" s="22"/>
      <c r="I55" s="22"/>
    </row>
    <row r="56" spans="1:9" x14ac:dyDescent="0.25">
      <c r="A56" s="22"/>
      <c r="B56" s="22"/>
      <c r="C56" s="23"/>
      <c r="D56" s="23"/>
      <c r="E56" s="22"/>
      <c r="F56" s="22"/>
      <c r="G56" s="22"/>
      <c r="H56" s="22"/>
      <c r="I56" s="22"/>
    </row>
  </sheetData>
  <mergeCells count="49">
    <mergeCell ref="H6:I6"/>
    <mergeCell ref="H5:I5"/>
    <mergeCell ref="A2:I2"/>
    <mergeCell ref="A4:I4"/>
    <mergeCell ref="C6:G6"/>
    <mergeCell ref="D5:G5"/>
    <mergeCell ref="A5:B5"/>
    <mergeCell ref="A13:A14"/>
    <mergeCell ref="B13:B14"/>
    <mergeCell ref="B15:B16"/>
    <mergeCell ref="B19:B20"/>
    <mergeCell ref="A17:A18"/>
    <mergeCell ref="B17:B18"/>
    <mergeCell ref="A19:A20"/>
    <mergeCell ref="A15:A16"/>
    <mergeCell ref="A8:A9"/>
    <mergeCell ref="A6:B6"/>
    <mergeCell ref="B8:B9"/>
    <mergeCell ref="A11:A12"/>
    <mergeCell ref="B11:B12"/>
    <mergeCell ref="A10:B10"/>
    <mergeCell ref="D47:E47"/>
    <mergeCell ref="A42:B43"/>
    <mergeCell ref="B47:B48"/>
    <mergeCell ref="D46:E46"/>
    <mergeCell ref="B21:B22"/>
    <mergeCell ref="A21:A22"/>
    <mergeCell ref="C33:D33"/>
    <mergeCell ref="E33:F33"/>
    <mergeCell ref="A29:A30"/>
    <mergeCell ref="B29:B30"/>
    <mergeCell ref="A31:A32"/>
    <mergeCell ref="B31:B32"/>
    <mergeCell ref="A23:A24"/>
    <mergeCell ref="B23:B24"/>
    <mergeCell ref="A25:A26"/>
    <mergeCell ref="B25:B26"/>
    <mergeCell ref="A27:A28"/>
    <mergeCell ref="B27:B28"/>
    <mergeCell ref="G33:H33"/>
    <mergeCell ref="A40:A41"/>
    <mergeCell ref="B40:B41"/>
    <mergeCell ref="A38:A39"/>
    <mergeCell ref="B38:B39"/>
    <mergeCell ref="A34:A35"/>
    <mergeCell ref="B34:B35"/>
    <mergeCell ref="A36:A37"/>
    <mergeCell ref="B36:B37"/>
    <mergeCell ref="A33:B33"/>
  </mergeCells>
  <printOptions horizontalCentered="1"/>
  <pageMargins left="0.39370078740157483" right="0" top="0.39370078740157483" bottom="0" header="0" footer="0"/>
  <pageSetup paperSize="9"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43"/>
  <sheetViews>
    <sheetView view="pageBreakPreview" topLeftCell="A128" zoomScale="80" zoomScaleNormal="100" zoomScaleSheetLayoutView="80" workbookViewId="0">
      <selection activeCell="F140" sqref="F140"/>
    </sheetView>
  </sheetViews>
  <sheetFormatPr defaultRowHeight="13.2" x14ac:dyDescent="0.25"/>
  <cols>
    <col min="1" max="1" width="5.44140625" style="48" bestFit="1" customWidth="1"/>
    <col min="2" max="2" width="17.109375" style="48" customWidth="1"/>
    <col min="3" max="3" width="24.109375" style="48" customWidth="1"/>
    <col min="4" max="4" width="91.5546875" style="48" customWidth="1"/>
    <col min="5" max="5" width="10.109375" style="48" customWidth="1"/>
    <col min="6" max="6" width="15.6640625" style="48" customWidth="1"/>
    <col min="7" max="7" width="59.21875" style="48" customWidth="1"/>
    <col min="8" max="8" width="8.88671875" style="48"/>
    <col min="9" max="9" width="65.33203125" style="48" customWidth="1"/>
    <col min="10" max="256" width="8.88671875" style="48"/>
    <col min="257" max="257" width="5.44140625" style="48" bestFit="1" customWidth="1"/>
    <col min="258" max="258" width="17.109375" style="48" customWidth="1"/>
    <col min="259" max="259" width="24.109375" style="48" customWidth="1"/>
    <col min="260" max="260" width="104.33203125" style="48" customWidth="1"/>
    <col min="261" max="261" width="10.109375" style="48" customWidth="1"/>
    <col min="262" max="262" width="15.6640625" style="48" customWidth="1"/>
    <col min="263" max="263" width="83" style="48" customWidth="1"/>
    <col min="264" max="264" width="8.88671875" style="48"/>
    <col min="265" max="265" width="65.33203125" style="48" customWidth="1"/>
    <col min="266" max="512" width="8.88671875" style="48"/>
    <col min="513" max="513" width="5.44140625" style="48" bestFit="1" customWidth="1"/>
    <col min="514" max="514" width="17.109375" style="48" customWidth="1"/>
    <col min="515" max="515" width="24.109375" style="48" customWidth="1"/>
    <col min="516" max="516" width="104.33203125" style="48" customWidth="1"/>
    <col min="517" max="517" width="10.109375" style="48" customWidth="1"/>
    <col min="518" max="518" width="15.6640625" style="48" customWidth="1"/>
    <col min="519" max="519" width="83" style="48" customWidth="1"/>
    <col min="520" max="520" width="8.88671875" style="48"/>
    <col min="521" max="521" width="65.33203125" style="48" customWidth="1"/>
    <col min="522" max="768" width="8.88671875" style="48"/>
    <col min="769" max="769" width="5.44140625" style="48" bestFit="1" customWidth="1"/>
    <col min="770" max="770" width="17.109375" style="48" customWidth="1"/>
    <col min="771" max="771" width="24.109375" style="48" customWidth="1"/>
    <col min="772" max="772" width="104.33203125" style="48" customWidth="1"/>
    <col min="773" max="773" width="10.109375" style="48" customWidth="1"/>
    <col min="774" max="774" width="15.6640625" style="48" customWidth="1"/>
    <col min="775" max="775" width="83" style="48" customWidth="1"/>
    <col min="776" max="776" width="8.88671875" style="48"/>
    <col min="777" max="777" width="65.33203125" style="48" customWidth="1"/>
    <col min="778" max="1024" width="8.88671875" style="48"/>
    <col min="1025" max="1025" width="5.44140625" style="48" bestFit="1" customWidth="1"/>
    <col min="1026" max="1026" width="17.109375" style="48" customWidth="1"/>
    <col min="1027" max="1027" width="24.109375" style="48" customWidth="1"/>
    <col min="1028" max="1028" width="104.33203125" style="48" customWidth="1"/>
    <col min="1029" max="1029" width="10.109375" style="48" customWidth="1"/>
    <col min="1030" max="1030" width="15.6640625" style="48" customWidth="1"/>
    <col min="1031" max="1031" width="83" style="48" customWidth="1"/>
    <col min="1032" max="1032" width="8.88671875" style="48"/>
    <col min="1033" max="1033" width="65.33203125" style="48" customWidth="1"/>
    <col min="1034" max="1280" width="8.88671875" style="48"/>
    <col min="1281" max="1281" width="5.44140625" style="48" bestFit="1" customWidth="1"/>
    <col min="1282" max="1282" width="17.109375" style="48" customWidth="1"/>
    <col min="1283" max="1283" width="24.109375" style="48" customWidth="1"/>
    <col min="1284" max="1284" width="104.33203125" style="48" customWidth="1"/>
    <col min="1285" max="1285" width="10.109375" style="48" customWidth="1"/>
    <col min="1286" max="1286" width="15.6640625" style="48" customWidth="1"/>
    <col min="1287" max="1287" width="83" style="48" customWidth="1"/>
    <col min="1288" max="1288" width="8.88671875" style="48"/>
    <col min="1289" max="1289" width="65.33203125" style="48" customWidth="1"/>
    <col min="1290" max="1536" width="8.88671875" style="48"/>
    <col min="1537" max="1537" width="5.44140625" style="48" bestFit="1" customWidth="1"/>
    <col min="1538" max="1538" width="17.109375" style="48" customWidth="1"/>
    <col min="1539" max="1539" width="24.109375" style="48" customWidth="1"/>
    <col min="1540" max="1540" width="104.33203125" style="48" customWidth="1"/>
    <col min="1541" max="1541" width="10.109375" style="48" customWidth="1"/>
    <col min="1542" max="1542" width="15.6640625" style="48" customWidth="1"/>
    <col min="1543" max="1543" width="83" style="48" customWidth="1"/>
    <col min="1544" max="1544" width="8.88671875" style="48"/>
    <col min="1545" max="1545" width="65.33203125" style="48" customWidth="1"/>
    <col min="1546" max="1792" width="8.88671875" style="48"/>
    <col min="1793" max="1793" width="5.44140625" style="48" bestFit="1" customWidth="1"/>
    <col min="1794" max="1794" width="17.109375" style="48" customWidth="1"/>
    <col min="1795" max="1795" width="24.109375" style="48" customWidth="1"/>
    <col min="1796" max="1796" width="104.33203125" style="48" customWidth="1"/>
    <col min="1797" max="1797" width="10.109375" style="48" customWidth="1"/>
    <col min="1798" max="1798" width="15.6640625" style="48" customWidth="1"/>
    <col min="1799" max="1799" width="83" style="48" customWidth="1"/>
    <col min="1800" max="1800" width="8.88671875" style="48"/>
    <col min="1801" max="1801" width="65.33203125" style="48" customWidth="1"/>
    <col min="1802" max="2048" width="8.88671875" style="48"/>
    <col min="2049" max="2049" width="5.44140625" style="48" bestFit="1" customWidth="1"/>
    <col min="2050" max="2050" width="17.109375" style="48" customWidth="1"/>
    <col min="2051" max="2051" width="24.109375" style="48" customWidth="1"/>
    <col min="2052" max="2052" width="104.33203125" style="48" customWidth="1"/>
    <col min="2053" max="2053" width="10.109375" style="48" customWidth="1"/>
    <col min="2054" max="2054" width="15.6640625" style="48" customWidth="1"/>
    <col min="2055" max="2055" width="83" style="48" customWidth="1"/>
    <col min="2056" max="2056" width="8.88671875" style="48"/>
    <col min="2057" max="2057" width="65.33203125" style="48" customWidth="1"/>
    <col min="2058" max="2304" width="8.88671875" style="48"/>
    <col min="2305" max="2305" width="5.44140625" style="48" bestFit="1" customWidth="1"/>
    <col min="2306" max="2306" width="17.109375" style="48" customWidth="1"/>
    <col min="2307" max="2307" width="24.109375" style="48" customWidth="1"/>
    <col min="2308" max="2308" width="104.33203125" style="48" customWidth="1"/>
    <col min="2309" max="2309" width="10.109375" style="48" customWidth="1"/>
    <col min="2310" max="2310" width="15.6640625" style="48" customWidth="1"/>
    <col min="2311" max="2311" width="83" style="48" customWidth="1"/>
    <col min="2312" max="2312" width="8.88671875" style="48"/>
    <col min="2313" max="2313" width="65.33203125" style="48" customWidth="1"/>
    <col min="2314" max="2560" width="8.88671875" style="48"/>
    <col min="2561" max="2561" width="5.44140625" style="48" bestFit="1" customWidth="1"/>
    <col min="2562" max="2562" width="17.109375" style="48" customWidth="1"/>
    <col min="2563" max="2563" width="24.109375" style="48" customWidth="1"/>
    <col min="2564" max="2564" width="104.33203125" style="48" customWidth="1"/>
    <col min="2565" max="2565" width="10.109375" style="48" customWidth="1"/>
    <col min="2566" max="2566" width="15.6640625" style="48" customWidth="1"/>
    <col min="2567" max="2567" width="83" style="48" customWidth="1"/>
    <col min="2568" max="2568" width="8.88671875" style="48"/>
    <col min="2569" max="2569" width="65.33203125" style="48" customWidth="1"/>
    <col min="2570" max="2816" width="8.88671875" style="48"/>
    <col min="2817" max="2817" width="5.44140625" style="48" bestFit="1" customWidth="1"/>
    <col min="2818" max="2818" width="17.109375" style="48" customWidth="1"/>
    <col min="2819" max="2819" width="24.109375" style="48" customWidth="1"/>
    <col min="2820" max="2820" width="104.33203125" style="48" customWidth="1"/>
    <col min="2821" max="2821" width="10.109375" style="48" customWidth="1"/>
    <col min="2822" max="2822" width="15.6640625" style="48" customWidth="1"/>
    <col min="2823" max="2823" width="83" style="48" customWidth="1"/>
    <col min="2824" max="2824" width="8.88671875" style="48"/>
    <col min="2825" max="2825" width="65.33203125" style="48" customWidth="1"/>
    <col min="2826" max="3072" width="8.88671875" style="48"/>
    <col min="3073" max="3073" width="5.44140625" style="48" bestFit="1" customWidth="1"/>
    <col min="3074" max="3074" width="17.109375" style="48" customWidth="1"/>
    <col min="3075" max="3075" width="24.109375" style="48" customWidth="1"/>
    <col min="3076" max="3076" width="104.33203125" style="48" customWidth="1"/>
    <col min="3077" max="3077" width="10.109375" style="48" customWidth="1"/>
    <col min="3078" max="3078" width="15.6640625" style="48" customWidth="1"/>
    <col min="3079" max="3079" width="83" style="48" customWidth="1"/>
    <col min="3080" max="3080" width="8.88671875" style="48"/>
    <col min="3081" max="3081" width="65.33203125" style="48" customWidth="1"/>
    <col min="3082" max="3328" width="8.88671875" style="48"/>
    <col min="3329" max="3329" width="5.44140625" style="48" bestFit="1" customWidth="1"/>
    <col min="3330" max="3330" width="17.109375" style="48" customWidth="1"/>
    <col min="3331" max="3331" width="24.109375" style="48" customWidth="1"/>
    <col min="3332" max="3332" width="104.33203125" style="48" customWidth="1"/>
    <col min="3333" max="3333" width="10.109375" style="48" customWidth="1"/>
    <col min="3334" max="3334" width="15.6640625" style="48" customWidth="1"/>
    <col min="3335" max="3335" width="83" style="48" customWidth="1"/>
    <col min="3336" max="3336" width="8.88671875" style="48"/>
    <col min="3337" max="3337" width="65.33203125" style="48" customWidth="1"/>
    <col min="3338" max="3584" width="8.88671875" style="48"/>
    <col min="3585" max="3585" width="5.44140625" style="48" bestFit="1" customWidth="1"/>
    <col min="3586" max="3586" width="17.109375" style="48" customWidth="1"/>
    <col min="3587" max="3587" width="24.109375" style="48" customWidth="1"/>
    <col min="3588" max="3588" width="104.33203125" style="48" customWidth="1"/>
    <col min="3589" max="3589" width="10.109375" style="48" customWidth="1"/>
    <col min="3590" max="3590" width="15.6640625" style="48" customWidth="1"/>
    <col min="3591" max="3591" width="83" style="48" customWidth="1"/>
    <col min="3592" max="3592" width="8.88671875" style="48"/>
    <col min="3593" max="3593" width="65.33203125" style="48" customWidth="1"/>
    <col min="3594" max="3840" width="8.88671875" style="48"/>
    <col min="3841" max="3841" width="5.44140625" style="48" bestFit="1" customWidth="1"/>
    <col min="3842" max="3842" width="17.109375" style="48" customWidth="1"/>
    <col min="3843" max="3843" width="24.109375" style="48" customWidth="1"/>
    <col min="3844" max="3844" width="104.33203125" style="48" customWidth="1"/>
    <col min="3845" max="3845" width="10.109375" style="48" customWidth="1"/>
    <col min="3846" max="3846" width="15.6640625" style="48" customWidth="1"/>
    <col min="3847" max="3847" width="83" style="48" customWidth="1"/>
    <col min="3848" max="3848" width="8.88671875" style="48"/>
    <col min="3849" max="3849" width="65.33203125" style="48" customWidth="1"/>
    <col min="3850" max="4096" width="8.88671875" style="48"/>
    <col min="4097" max="4097" width="5.44140625" style="48" bestFit="1" customWidth="1"/>
    <col min="4098" max="4098" width="17.109375" style="48" customWidth="1"/>
    <col min="4099" max="4099" width="24.109375" style="48" customWidth="1"/>
    <col min="4100" max="4100" width="104.33203125" style="48" customWidth="1"/>
    <col min="4101" max="4101" width="10.109375" style="48" customWidth="1"/>
    <col min="4102" max="4102" width="15.6640625" style="48" customWidth="1"/>
    <col min="4103" max="4103" width="83" style="48" customWidth="1"/>
    <col min="4104" max="4104" width="8.88671875" style="48"/>
    <col min="4105" max="4105" width="65.33203125" style="48" customWidth="1"/>
    <col min="4106" max="4352" width="8.88671875" style="48"/>
    <col min="4353" max="4353" width="5.44140625" style="48" bestFit="1" customWidth="1"/>
    <col min="4354" max="4354" width="17.109375" style="48" customWidth="1"/>
    <col min="4355" max="4355" width="24.109375" style="48" customWidth="1"/>
    <col min="4356" max="4356" width="104.33203125" style="48" customWidth="1"/>
    <col min="4357" max="4357" width="10.109375" style="48" customWidth="1"/>
    <col min="4358" max="4358" width="15.6640625" style="48" customWidth="1"/>
    <col min="4359" max="4359" width="83" style="48" customWidth="1"/>
    <col min="4360" max="4360" width="8.88671875" style="48"/>
    <col min="4361" max="4361" width="65.33203125" style="48" customWidth="1"/>
    <col min="4362" max="4608" width="8.88671875" style="48"/>
    <col min="4609" max="4609" width="5.44140625" style="48" bestFit="1" customWidth="1"/>
    <col min="4610" max="4610" width="17.109375" style="48" customWidth="1"/>
    <col min="4611" max="4611" width="24.109375" style="48" customWidth="1"/>
    <col min="4612" max="4612" width="104.33203125" style="48" customWidth="1"/>
    <col min="4613" max="4613" width="10.109375" style="48" customWidth="1"/>
    <col min="4614" max="4614" width="15.6640625" style="48" customWidth="1"/>
    <col min="4615" max="4615" width="83" style="48" customWidth="1"/>
    <col min="4616" max="4616" width="8.88671875" style="48"/>
    <col min="4617" max="4617" width="65.33203125" style="48" customWidth="1"/>
    <col min="4618" max="4864" width="8.88671875" style="48"/>
    <col min="4865" max="4865" width="5.44140625" style="48" bestFit="1" customWidth="1"/>
    <col min="4866" max="4866" width="17.109375" style="48" customWidth="1"/>
    <col min="4867" max="4867" width="24.109375" style="48" customWidth="1"/>
    <col min="4868" max="4868" width="104.33203125" style="48" customWidth="1"/>
    <col min="4869" max="4869" width="10.109375" style="48" customWidth="1"/>
    <col min="4870" max="4870" width="15.6640625" style="48" customWidth="1"/>
    <col min="4871" max="4871" width="83" style="48" customWidth="1"/>
    <col min="4872" max="4872" width="8.88671875" style="48"/>
    <col min="4873" max="4873" width="65.33203125" style="48" customWidth="1"/>
    <col min="4874" max="5120" width="8.88671875" style="48"/>
    <col min="5121" max="5121" width="5.44140625" style="48" bestFit="1" customWidth="1"/>
    <col min="5122" max="5122" width="17.109375" style="48" customWidth="1"/>
    <col min="5123" max="5123" width="24.109375" style="48" customWidth="1"/>
    <col min="5124" max="5124" width="104.33203125" style="48" customWidth="1"/>
    <col min="5125" max="5125" width="10.109375" style="48" customWidth="1"/>
    <col min="5126" max="5126" width="15.6640625" style="48" customWidth="1"/>
    <col min="5127" max="5127" width="83" style="48" customWidth="1"/>
    <col min="5128" max="5128" width="8.88671875" style="48"/>
    <col min="5129" max="5129" width="65.33203125" style="48" customWidth="1"/>
    <col min="5130" max="5376" width="8.88671875" style="48"/>
    <col min="5377" max="5377" width="5.44140625" style="48" bestFit="1" customWidth="1"/>
    <col min="5378" max="5378" width="17.109375" style="48" customWidth="1"/>
    <col min="5379" max="5379" width="24.109375" style="48" customWidth="1"/>
    <col min="5380" max="5380" width="104.33203125" style="48" customWidth="1"/>
    <col min="5381" max="5381" width="10.109375" style="48" customWidth="1"/>
    <col min="5382" max="5382" width="15.6640625" style="48" customWidth="1"/>
    <col min="5383" max="5383" width="83" style="48" customWidth="1"/>
    <col min="5384" max="5384" width="8.88671875" style="48"/>
    <col min="5385" max="5385" width="65.33203125" style="48" customWidth="1"/>
    <col min="5386" max="5632" width="8.88671875" style="48"/>
    <col min="5633" max="5633" width="5.44140625" style="48" bestFit="1" customWidth="1"/>
    <col min="5634" max="5634" width="17.109375" style="48" customWidth="1"/>
    <col min="5635" max="5635" width="24.109375" style="48" customWidth="1"/>
    <col min="5636" max="5636" width="104.33203125" style="48" customWidth="1"/>
    <col min="5637" max="5637" width="10.109375" style="48" customWidth="1"/>
    <col min="5638" max="5638" width="15.6640625" style="48" customWidth="1"/>
    <col min="5639" max="5639" width="83" style="48" customWidth="1"/>
    <col min="5640" max="5640" width="8.88671875" style="48"/>
    <col min="5641" max="5641" width="65.33203125" style="48" customWidth="1"/>
    <col min="5642" max="5888" width="8.88671875" style="48"/>
    <col min="5889" max="5889" width="5.44140625" style="48" bestFit="1" customWidth="1"/>
    <col min="5890" max="5890" width="17.109375" style="48" customWidth="1"/>
    <col min="5891" max="5891" width="24.109375" style="48" customWidth="1"/>
    <col min="5892" max="5892" width="104.33203125" style="48" customWidth="1"/>
    <col min="5893" max="5893" width="10.109375" style="48" customWidth="1"/>
    <col min="5894" max="5894" width="15.6640625" style="48" customWidth="1"/>
    <col min="5895" max="5895" width="83" style="48" customWidth="1"/>
    <col min="5896" max="5896" width="8.88671875" style="48"/>
    <col min="5897" max="5897" width="65.33203125" style="48" customWidth="1"/>
    <col min="5898" max="6144" width="8.88671875" style="48"/>
    <col min="6145" max="6145" width="5.44140625" style="48" bestFit="1" customWidth="1"/>
    <col min="6146" max="6146" width="17.109375" style="48" customWidth="1"/>
    <col min="6147" max="6147" width="24.109375" style="48" customWidth="1"/>
    <col min="6148" max="6148" width="104.33203125" style="48" customWidth="1"/>
    <col min="6149" max="6149" width="10.109375" style="48" customWidth="1"/>
    <col min="6150" max="6150" width="15.6640625" style="48" customWidth="1"/>
    <col min="6151" max="6151" width="83" style="48" customWidth="1"/>
    <col min="6152" max="6152" width="8.88671875" style="48"/>
    <col min="6153" max="6153" width="65.33203125" style="48" customWidth="1"/>
    <col min="6154" max="6400" width="8.88671875" style="48"/>
    <col min="6401" max="6401" width="5.44140625" style="48" bestFit="1" customWidth="1"/>
    <col min="6402" max="6402" width="17.109375" style="48" customWidth="1"/>
    <col min="6403" max="6403" width="24.109375" style="48" customWidth="1"/>
    <col min="6404" max="6404" width="104.33203125" style="48" customWidth="1"/>
    <col min="6405" max="6405" width="10.109375" style="48" customWidth="1"/>
    <col min="6406" max="6406" width="15.6640625" style="48" customWidth="1"/>
    <col min="6407" max="6407" width="83" style="48" customWidth="1"/>
    <col min="6408" max="6408" width="8.88671875" style="48"/>
    <col min="6409" max="6409" width="65.33203125" style="48" customWidth="1"/>
    <col min="6410" max="6656" width="8.88671875" style="48"/>
    <col min="6657" max="6657" width="5.44140625" style="48" bestFit="1" customWidth="1"/>
    <col min="6658" max="6658" width="17.109375" style="48" customWidth="1"/>
    <col min="6659" max="6659" width="24.109375" style="48" customWidth="1"/>
    <col min="6660" max="6660" width="104.33203125" style="48" customWidth="1"/>
    <col min="6661" max="6661" width="10.109375" style="48" customWidth="1"/>
    <col min="6662" max="6662" width="15.6640625" style="48" customWidth="1"/>
    <col min="6663" max="6663" width="83" style="48" customWidth="1"/>
    <col min="6664" max="6664" width="8.88671875" style="48"/>
    <col min="6665" max="6665" width="65.33203125" style="48" customWidth="1"/>
    <col min="6666" max="6912" width="8.88671875" style="48"/>
    <col min="6913" max="6913" width="5.44140625" style="48" bestFit="1" customWidth="1"/>
    <col min="6914" max="6914" width="17.109375" style="48" customWidth="1"/>
    <col min="6915" max="6915" width="24.109375" style="48" customWidth="1"/>
    <col min="6916" max="6916" width="104.33203125" style="48" customWidth="1"/>
    <col min="6917" max="6917" width="10.109375" style="48" customWidth="1"/>
    <col min="6918" max="6918" width="15.6640625" style="48" customWidth="1"/>
    <col min="6919" max="6919" width="83" style="48" customWidth="1"/>
    <col min="6920" max="6920" width="8.88671875" style="48"/>
    <col min="6921" max="6921" width="65.33203125" style="48" customWidth="1"/>
    <col min="6922" max="7168" width="8.88671875" style="48"/>
    <col min="7169" max="7169" width="5.44140625" style="48" bestFit="1" customWidth="1"/>
    <col min="7170" max="7170" width="17.109375" style="48" customWidth="1"/>
    <col min="7171" max="7171" width="24.109375" style="48" customWidth="1"/>
    <col min="7172" max="7172" width="104.33203125" style="48" customWidth="1"/>
    <col min="7173" max="7173" width="10.109375" style="48" customWidth="1"/>
    <col min="7174" max="7174" width="15.6640625" style="48" customWidth="1"/>
    <col min="7175" max="7175" width="83" style="48" customWidth="1"/>
    <col min="7176" max="7176" width="8.88671875" style="48"/>
    <col min="7177" max="7177" width="65.33203125" style="48" customWidth="1"/>
    <col min="7178" max="7424" width="8.88671875" style="48"/>
    <col min="7425" max="7425" width="5.44140625" style="48" bestFit="1" customWidth="1"/>
    <col min="7426" max="7426" width="17.109375" style="48" customWidth="1"/>
    <col min="7427" max="7427" width="24.109375" style="48" customWidth="1"/>
    <col min="7428" max="7428" width="104.33203125" style="48" customWidth="1"/>
    <col min="7429" max="7429" width="10.109375" style="48" customWidth="1"/>
    <col min="7430" max="7430" width="15.6640625" style="48" customWidth="1"/>
    <col min="7431" max="7431" width="83" style="48" customWidth="1"/>
    <col min="7432" max="7432" width="8.88671875" style="48"/>
    <col min="7433" max="7433" width="65.33203125" style="48" customWidth="1"/>
    <col min="7434" max="7680" width="8.88671875" style="48"/>
    <col min="7681" max="7681" width="5.44140625" style="48" bestFit="1" customWidth="1"/>
    <col min="7682" max="7682" width="17.109375" style="48" customWidth="1"/>
    <col min="7683" max="7683" width="24.109375" style="48" customWidth="1"/>
    <col min="7684" max="7684" width="104.33203125" style="48" customWidth="1"/>
    <col min="7685" max="7685" width="10.109375" style="48" customWidth="1"/>
    <col min="7686" max="7686" width="15.6640625" style="48" customWidth="1"/>
    <col min="7687" max="7687" width="83" style="48" customWidth="1"/>
    <col min="7688" max="7688" width="8.88671875" style="48"/>
    <col min="7689" max="7689" width="65.33203125" style="48" customWidth="1"/>
    <col min="7690" max="7936" width="8.88671875" style="48"/>
    <col min="7937" max="7937" width="5.44140625" style="48" bestFit="1" customWidth="1"/>
    <col min="7938" max="7938" width="17.109375" style="48" customWidth="1"/>
    <col min="7939" max="7939" width="24.109375" style="48" customWidth="1"/>
    <col min="7940" max="7940" width="104.33203125" style="48" customWidth="1"/>
    <col min="7941" max="7941" width="10.109375" style="48" customWidth="1"/>
    <col min="7942" max="7942" width="15.6640625" style="48" customWidth="1"/>
    <col min="7943" max="7943" width="83" style="48" customWidth="1"/>
    <col min="7944" max="7944" width="8.88671875" style="48"/>
    <col min="7945" max="7945" width="65.33203125" style="48" customWidth="1"/>
    <col min="7946" max="8192" width="8.88671875" style="48"/>
    <col min="8193" max="8193" width="5.44140625" style="48" bestFit="1" customWidth="1"/>
    <col min="8194" max="8194" width="17.109375" style="48" customWidth="1"/>
    <col min="8195" max="8195" width="24.109375" style="48" customWidth="1"/>
    <col min="8196" max="8196" width="104.33203125" style="48" customWidth="1"/>
    <col min="8197" max="8197" width="10.109375" style="48" customWidth="1"/>
    <col min="8198" max="8198" width="15.6640625" style="48" customWidth="1"/>
    <col min="8199" max="8199" width="83" style="48" customWidth="1"/>
    <col min="8200" max="8200" width="8.88671875" style="48"/>
    <col min="8201" max="8201" width="65.33203125" style="48" customWidth="1"/>
    <col min="8202" max="8448" width="8.88671875" style="48"/>
    <col min="8449" max="8449" width="5.44140625" style="48" bestFit="1" customWidth="1"/>
    <col min="8450" max="8450" width="17.109375" style="48" customWidth="1"/>
    <col min="8451" max="8451" width="24.109375" style="48" customWidth="1"/>
    <col min="8452" max="8452" width="104.33203125" style="48" customWidth="1"/>
    <col min="8453" max="8453" width="10.109375" style="48" customWidth="1"/>
    <col min="8454" max="8454" width="15.6640625" style="48" customWidth="1"/>
    <col min="8455" max="8455" width="83" style="48" customWidth="1"/>
    <col min="8456" max="8456" width="8.88671875" style="48"/>
    <col min="8457" max="8457" width="65.33203125" style="48" customWidth="1"/>
    <col min="8458" max="8704" width="8.88671875" style="48"/>
    <col min="8705" max="8705" width="5.44140625" style="48" bestFit="1" customWidth="1"/>
    <col min="8706" max="8706" width="17.109375" style="48" customWidth="1"/>
    <col min="8707" max="8707" width="24.109375" style="48" customWidth="1"/>
    <col min="8708" max="8708" width="104.33203125" style="48" customWidth="1"/>
    <col min="8709" max="8709" width="10.109375" style="48" customWidth="1"/>
    <col min="8710" max="8710" width="15.6640625" style="48" customWidth="1"/>
    <col min="8711" max="8711" width="83" style="48" customWidth="1"/>
    <col min="8712" max="8712" width="8.88671875" style="48"/>
    <col min="8713" max="8713" width="65.33203125" style="48" customWidth="1"/>
    <col min="8714" max="8960" width="8.88671875" style="48"/>
    <col min="8961" max="8961" width="5.44140625" style="48" bestFit="1" customWidth="1"/>
    <col min="8962" max="8962" width="17.109375" style="48" customWidth="1"/>
    <col min="8963" max="8963" width="24.109375" style="48" customWidth="1"/>
    <col min="8964" max="8964" width="104.33203125" style="48" customWidth="1"/>
    <col min="8965" max="8965" width="10.109375" style="48" customWidth="1"/>
    <col min="8966" max="8966" width="15.6640625" style="48" customWidth="1"/>
    <col min="8967" max="8967" width="83" style="48" customWidth="1"/>
    <col min="8968" max="8968" width="8.88671875" style="48"/>
    <col min="8969" max="8969" width="65.33203125" style="48" customWidth="1"/>
    <col min="8970" max="9216" width="8.88671875" style="48"/>
    <col min="9217" max="9217" width="5.44140625" style="48" bestFit="1" customWidth="1"/>
    <col min="9218" max="9218" width="17.109375" style="48" customWidth="1"/>
    <col min="9219" max="9219" width="24.109375" style="48" customWidth="1"/>
    <col min="9220" max="9220" width="104.33203125" style="48" customWidth="1"/>
    <col min="9221" max="9221" width="10.109375" style="48" customWidth="1"/>
    <col min="9222" max="9222" width="15.6640625" style="48" customWidth="1"/>
    <col min="9223" max="9223" width="83" style="48" customWidth="1"/>
    <col min="9224" max="9224" width="8.88671875" style="48"/>
    <col min="9225" max="9225" width="65.33203125" style="48" customWidth="1"/>
    <col min="9226" max="9472" width="8.88671875" style="48"/>
    <col min="9473" max="9473" width="5.44140625" style="48" bestFit="1" customWidth="1"/>
    <col min="9474" max="9474" width="17.109375" style="48" customWidth="1"/>
    <col min="9475" max="9475" width="24.109375" style="48" customWidth="1"/>
    <col min="9476" max="9476" width="104.33203125" style="48" customWidth="1"/>
    <col min="9477" max="9477" width="10.109375" style="48" customWidth="1"/>
    <col min="9478" max="9478" width="15.6640625" style="48" customWidth="1"/>
    <col min="9479" max="9479" width="83" style="48" customWidth="1"/>
    <col min="9480" max="9480" width="8.88671875" style="48"/>
    <col min="9481" max="9481" width="65.33203125" style="48" customWidth="1"/>
    <col min="9482" max="9728" width="8.88671875" style="48"/>
    <col min="9729" max="9729" width="5.44140625" style="48" bestFit="1" customWidth="1"/>
    <col min="9730" max="9730" width="17.109375" style="48" customWidth="1"/>
    <col min="9731" max="9731" width="24.109375" style="48" customWidth="1"/>
    <col min="9732" max="9732" width="104.33203125" style="48" customWidth="1"/>
    <col min="9733" max="9733" width="10.109375" style="48" customWidth="1"/>
    <col min="9734" max="9734" width="15.6640625" style="48" customWidth="1"/>
    <col min="9735" max="9735" width="83" style="48" customWidth="1"/>
    <col min="9736" max="9736" width="8.88671875" style="48"/>
    <col min="9737" max="9737" width="65.33203125" style="48" customWidth="1"/>
    <col min="9738" max="9984" width="8.88671875" style="48"/>
    <col min="9985" max="9985" width="5.44140625" style="48" bestFit="1" customWidth="1"/>
    <col min="9986" max="9986" width="17.109375" style="48" customWidth="1"/>
    <col min="9987" max="9987" width="24.109375" style="48" customWidth="1"/>
    <col min="9988" max="9988" width="104.33203125" style="48" customWidth="1"/>
    <col min="9989" max="9989" width="10.109375" style="48" customWidth="1"/>
    <col min="9990" max="9990" width="15.6640625" style="48" customWidth="1"/>
    <col min="9991" max="9991" width="83" style="48" customWidth="1"/>
    <col min="9992" max="9992" width="8.88671875" style="48"/>
    <col min="9993" max="9993" width="65.33203125" style="48" customWidth="1"/>
    <col min="9994" max="10240" width="8.88671875" style="48"/>
    <col min="10241" max="10241" width="5.44140625" style="48" bestFit="1" customWidth="1"/>
    <col min="10242" max="10242" width="17.109375" style="48" customWidth="1"/>
    <col min="10243" max="10243" width="24.109375" style="48" customWidth="1"/>
    <col min="10244" max="10244" width="104.33203125" style="48" customWidth="1"/>
    <col min="10245" max="10245" width="10.109375" style="48" customWidth="1"/>
    <col min="10246" max="10246" width="15.6640625" style="48" customWidth="1"/>
    <col min="10247" max="10247" width="83" style="48" customWidth="1"/>
    <col min="10248" max="10248" width="8.88671875" style="48"/>
    <col min="10249" max="10249" width="65.33203125" style="48" customWidth="1"/>
    <col min="10250" max="10496" width="8.88671875" style="48"/>
    <col min="10497" max="10497" width="5.44140625" style="48" bestFit="1" customWidth="1"/>
    <col min="10498" max="10498" width="17.109375" style="48" customWidth="1"/>
    <col min="10499" max="10499" width="24.109375" style="48" customWidth="1"/>
    <col min="10500" max="10500" width="104.33203125" style="48" customWidth="1"/>
    <col min="10501" max="10501" width="10.109375" style="48" customWidth="1"/>
    <col min="10502" max="10502" width="15.6640625" style="48" customWidth="1"/>
    <col min="10503" max="10503" width="83" style="48" customWidth="1"/>
    <col min="10504" max="10504" width="8.88671875" style="48"/>
    <col min="10505" max="10505" width="65.33203125" style="48" customWidth="1"/>
    <col min="10506" max="10752" width="8.88671875" style="48"/>
    <col min="10753" max="10753" width="5.44140625" style="48" bestFit="1" customWidth="1"/>
    <col min="10754" max="10754" width="17.109375" style="48" customWidth="1"/>
    <col min="10755" max="10755" width="24.109375" style="48" customWidth="1"/>
    <col min="10756" max="10756" width="104.33203125" style="48" customWidth="1"/>
    <col min="10757" max="10757" width="10.109375" style="48" customWidth="1"/>
    <col min="10758" max="10758" width="15.6640625" style="48" customWidth="1"/>
    <col min="10759" max="10759" width="83" style="48" customWidth="1"/>
    <col min="10760" max="10760" width="8.88671875" style="48"/>
    <col min="10761" max="10761" width="65.33203125" style="48" customWidth="1"/>
    <col min="10762" max="11008" width="8.88671875" style="48"/>
    <col min="11009" max="11009" width="5.44140625" style="48" bestFit="1" customWidth="1"/>
    <col min="11010" max="11010" width="17.109375" style="48" customWidth="1"/>
    <col min="11011" max="11011" width="24.109375" style="48" customWidth="1"/>
    <col min="11012" max="11012" width="104.33203125" style="48" customWidth="1"/>
    <col min="11013" max="11013" width="10.109375" style="48" customWidth="1"/>
    <col min="11014" max="11014" width="15.6640625" style="48" customWidth="1"/>
    <col min="11015" max="11015" width="83" style="48" customWidth="1"/>
    <col min="11016" max="11016" width="8.88671875" style="48"/>
    <col min="11017" max="11017" width="65.33203125" style="48" customWidth="1"/>
    <col min="11018" max="11264" width="8.88671875" style="48"/>
    <col min="11265" max="11265" width="5.44140625" style="48" bestFit="1" customWidth="1"/>
    <col min="11266" max="11266" width="17.109375" style="48" customWidth="1"/>
    <col min="11267" max="11267" width="24.109375" style="48" customWidth="1"/>
    <col min="11268" max="11268" width="104.33203125" style="48" customWidth="1"/>
    <col min="11269" max="11269" width="10.109375" style="48" customWidth="1"/>
    <col min="11270" max="11270" width="15.6640625" style="48" customWidth="1"/>
    <col min="11271" max="11271" width="83" style="48" customWidth="1"/>
    <col min="11272" max="11272" width="8.88671875" style="48"/>
    <col min="11273" max="11273" width="65.33203125" style="48" customWidth="1"/>
    <col min="11274" max="11520" width="8.88671875" style="48"/>
    <col min="11521" max="11521" width="5.44140625" style="48" bestFit="1" customWidth="1"/>
    <col min="11522" max="11522" width="17.109375" style="48" customWidth="1"/>
    <col min="11523" max="11523" width="24.109375" style="48" customWidth="1"/>
    <col min="11524" max="11524" width="104.33203125" style="48" customWidth="1"/>
    <col min="11525" max="11525" width="10.109375" style="48" customWidth="1"/>
    <col min="11526" max="11526" width="15.6640625" style="48" customWidth="1"/>
    <col min="11527" max="11527" width="83" style="48" customWidth="1"/>
    <col min="11528" max="11528" width="8.88671875" style="48"/>
    <col min="11529" max="11529" width="65.33203125" style="48" customWidth="1"/>
    <col min="11530" max="11776" width="8.88671875" style="48"/>
    <col min="11777" max="11777" width="5.44140625" style="48" bestFit="1" customWidth="1"/>
    <col min="11778" max="11778" width="17.109375" style="48" customWidth="1"/>
    <col min="11779" max="11779" width="24.109375" style="48" customWidth="1"/>
    <col min="11780" max="11780" width="104.33203125" style="48" customWidth="1"/>
    <col min="11781" max="11781" width="10.109375" style="48" customWidth="1"/>
    <col min="11782" max="11782" width="15.6640625" style="48" customWidth="1"/>
    <col min="11783" max="11783" width="83" style="48" customWidth="1"/>
    <col min="11784" max="11784" width="8.88671875" style="48"/>
    <col min="11785" max="11785" width="65.33203125" style="48" customWidth="1"/>
    <col min="11786" max="12032" width="8.88671875" style="48"/>
    <col min="12033" max="12033" width="5.44140625" style="48" bestFit="1" customWidth="1"/>
    <col min="12034" max="12034" width="17.109375" style="48" customWidth="1"/>
    <col min="12035" max="12035" width="24.109375" style="48" customWidth="1"/>
    <col min="12036" max="12036" width="104.33203125" style="48" customWidth="1"/>
    <col min="12037" max="12037" width="10.109375" style="48" customWidth="1"/>
    <col min="12038" max="12038" width="15.6640625" style="48" customWidth="1"/>
    <col min="12039" max="12039" width="83" style="48" customWidth="1"/>
    <col min="12040" max="12040" width="8.88671875" style="48"/>
    <col min="12041" max="12041" width="65.33203125" style="48" customWidth="1"/>
    <col min="12042" max="12288" width="8.88671875" style="48"/>
    <col min="12289" max="12289" width="5.44140625" style="48" bestFit="1" customWidth="1"/>
    <col min="12290" max="12290" width="17.109375" style="48" customWidth="1"/>
    <col min="12291" max="12291" width="24.109375" style="48" customWidth="1"/>
    <col min="12292" max="12292" width="104.33203125" style="48" customWidth="1"/>
    <col min="12293" max="12293" width="10.109375" style="48" customWidth="1"/>
    <col min="12294" max="12294" width="15.6640625" style="48" customWidth="1"/>
    <col min="12295" max="12295" width="83" style="48" customWidth="1"/>
    <col min="12296" max="12296" width="8.88671875" style="48"/>
    <col min="12297" max="12297" width="65.33203125" style="48" customWidth="1"/>
    <col min="12298" max="12544" width="8.88671875" style="48"/>
    <col min="12545" max="12545" width="5.44140625" style="48" bestFit="1" customWidth="1"/>
    <col min="12546" max="12546" width="17.109375" style="48" customWidth="1"/>
    <col min="12547" max="12547" width="24.109375" style="48" customWidth="1"/>
    <col min="12548" max="12548" width="104.33203125" style="48" customWidth="1"/>
    <col min="12549" max="12549" width="10.109375" style="48" customWidth="1"/>
    <col min="12550" max="12550" width="15.6640625" style="48" customWidth="1"/>
    <col min="12551" max="12551" width="83" style="48" customWidth="1"/>
    <col min="12552" max="12552" width="8.88671875" style="48"/>
    <col min="12553" max="12553" width="65.33203125" style="48" customWidth="1"/>
    <col min="12554" max="12800" width="8.88671875" style="48"/>
    <col min="12801" max="12801" width="5.44140625" style="48" bestFit="1" customWidth="1"/>
    <col min="12802" max="12802" width="17.109375" style="48" customWidth="1"/>
    <col min="12803" max="12803" width="24.109375" style="48" customWidth="1"/>
    <col min="12804" max="12804" width="104.33203125" style="48" customWidth="1"/>
    <col min="12805" max="12805" width="10.109375" style="48" customWidth="1"/>
    <col min="12806" max="12806" width="15.6640625" style="48" customWidth="1"/>
    <col min="12807" max="12807" width="83" style="48" customWidth="1"/>
    <col min="12808" max="12808" width="8.88671875" style="48"/>
    <col min="12809" max="12809" width="65.33203125" style="48" customWidth="1"/>
    <col min="12810" max="13056" width="8.88671875" style="48"/>
    <col min="13057" max="13057" width="5.44140625" style="48" bestFit="1" customWidth="1"/>
    <col min="13058" max="13058" width="17.109375" style="48" customWidth="1"/>
    <col min="13059" max="13059" width="24.109375" style="48" customWidth="1"/>
    <col min="13060" max="13060" width="104.33203125" style="48" customWidth="1"/>
    <col min="13061" max="13061" width="10.109375" style="48" customWidth="1"/>
    <col min="13062" max="13062" width="15.6640625" style="48" customWidth="1"/>
    <col min="13063" max="13063" width="83" style="48" customWidth="1"/>
    <col min="13064" max="13064" width="8.88671875" style="48"/>
    <col min="13065" max="13065" width="65.33203125" style="48" customWidth="1"/>
    <col min="13066" max="13312" width="8.88671875" style="48"/>
    <col min="13313" max="13313" width="5.44140625" style="48" bestFit="1" customWidth="1"/>
    <col min="13314" max="13314" width="17.109375" style="48" customWidth="1"/>
    <col min="13315" max="13315" width="24.109375" style="48" customWidth="1"/>
    <col min="13316" max="13316" width="104.33203125" style="48" customWidth="1"/>
    <col min="13317" max="13317" width="10.109375" style="48" customWidth="1"/>
    <col min="13318" max="13318" width="15.6640625" style="48" customWidth="1"/>
    <col min="13319" max="13319" width="83" style="48" customWidth="1"/>
    <col min="13320" max="13320" width="8.88671875" style="48"/>
    <col min="13321" max="13321" width="65.33203125" style="48" customWidth="1"/>
    <col min="13322" max="13568" width="8.88671875" style="48"/>
    <col min="13569" max="13569" width="5.44140625" style="48" bestFit="1" customWidth="1"/>
    <col min="13570" max="13570" width="17.109375" style="48" customWidth="1"/>
    <col min="13571" max="13571" width="24.109375" style="48" customWidth="1"/>
    <col min="13572" max="13572" width="104.33203125" style="48" customWidth="1"/>
    <col min="13573" max="13573" width="10.109375" style="48" customWidth="1"/>
    <col min="13574" max="13574" width="15.6640625" style="48" customWidth="1"/>
    <col min="13575" max="13575" width="83" style="48" customWidth="1"/>
    <col min="13576" max="13576" width="8.88671875" style="48"/>
    <col min="13577" max="13577" width="65.33203125" style="48" customWidth="1"/>
    <col min="13578" max="13824" width="8.88671875" style="48"/>
    <col min="13825" max="13825" width="5.44140625" style="48" bestFit="1" customWidth="1"/>
    <col min="13826" max="13826" width="17.109375" style="48" customWidth="1"/>
    <col min="13827" max="13827" width="24.109375" style="48" customWidth="1"/>
    <col min="13828" max="13828" width="104.33203125" style="48" customWidth="1"/>
    <col min="13829" max="13829" width="10.109375" style="48" customWidth="1"/>
    <col min="13830" max="13830" width="15.6640625" style="48" customWidth="1"/>
    <col min="13831" max="13831" width="83" style="48" customWidth="1"/>
    <col min="13832" max="13832" width="8.88671875" style="48"/>
    <col min="13833" max="13833" width="65.33203125" style="48" customWidth="1"/>
    <col min="13834" max="14080" width="8.88671875" style="48"/>
    <col min="14081" max="14081" width="5.44140625" style="48" bestFit="1" customWidth="1"/>
    <col min="14082" max="14082" width="17.109375" style="48" customWidth="1"/>
    <col min="14083" max="14083" width="24.109375" style="48" customWidth="1"/>
    <col min="14084" max="14084" width="104.33203125" style="48" customWidth="1"/>
    <col min="14085" max="14085" width="10.109375" style="48" customWidth="1"/>
    <col min="14086" max="14086" width="15.6640625" style="48" customWidth="1"/>
    <col min="14087" max="14087" width="83" style="48" customWidth="1"/>
    <col min="14088" max="14088" width="8.88671875" style="48"/>
    <col min="14089" max="14089" width="65.33203125" style="48" customWidth="1"/>
    <col min="14090" max="14336" width="8.88671875" style="48"/>
    <col min="14337" max="14337" width="5.44140625" style="48" bestFit="1" customWidth="1"/>
    <col min="14338" max="14338" width="17.109375" style="48" customWidth="1"/>
    <col min="14339" max="14339" width="24.109375" style="48" customWidth="1"/>
    <col min="14340" max="14340" width="104.33203125" style="48" customWidth="1"/>
    <col min="14341" max="14341" width="10.109375" style="48" customWidth="1"/>
    <col min="14342" max="14342" width="15.6640625" style="48" customWidth="1"/>
    <col min="14343" max="14343" width="83" style="48" customWidth="1"/>
    <col min="14344" max="14344" width="8.88671875" style="48"/>
    <col min="14345" max="14345" width="65.33203125" style="48" customWidth="1"/>
    <col min="14346" max="14592" width="8.88671875" style="48"/>
    <col min="14593" max="14593" width="5.44140625" style="48" bestFit="1" customWidth="1"/>
    <col min="14594" max="14594" width="17.109375" style="48" customWidth="1"/>
    <col min="14595" max="14595" width="24.109375" style="48" customWidth="1"/>
    <col min="14596" max="14596" width="104.33203125" style="48" customWidth="1"/>
    <col min="14597" max="14597" width="10.109375" style="48" customWidth="1"/>
    <col min="14598" max="14598" width="15.6640625" style="48" customWidth="1"/>
    <col min="14599" max="14599" width="83" style="48" customWidth="1"/>
    <col min="14600" max="14600" width="8.88671875" style="48"/>
    <col min="14601" max="14601" width="65.33203125" style="48" customWidth="1"/>
    <col min="14602" max="14848" width="8.88671875" style="48"/>
    <col min="14849" max="14849" width="5.44140625" style="48" bestFit="1" customWidth="1"/>
    <col min="14850" max="14850" width="17.109375" style="48" customWidth="1"/>
    <col min="14851" max="14851" width="24.109375" style="48" customWidth="1"/>
    <col min="14852" max="14852" width="104.33203125" style="48" customWidth="1"/>
    <col min="14853" max="14853" width="10.109375" style="48" customWidth="1"/>
    <col min="14854" max="14854" width="15.6640625" style="48" customWidth="1"/>
    <col min="14855" max="14855" width="83" style="48" customWidth="1"/>
    <col min="14856" max="14856" width="8.88671875" style="48"/>
    <col min="14857" max="14857" width="65.33203125" style="48" customWidth="1"/>
    <col min="14858" max="15104" width="8.88671875" style="48"/>
    <col min="15105" max="15105" width="5.44140625" style="48" bestFit="1" customWidth="1"/>
    <col min="15106" max="15106" width="17.109375" style="48" customWidth="1"/>
    <col min="15107" max="15107" width="24.109375" style="48" customWidth="1"/>
    <col min="15108" max="15108" width="104.33203125" style="48" customWidth="1"/>
    <col min="15109" max="15109" width="10.109375" style="48" customWidth="1"/>
    <col min="15110" max="15110" width="15.6640625" style="48" customWidth="1"/>
    <col min="15111" max="15111" width="83" style="48" customWidth="1"/>
    <col min="15112" max="15112" width="8.88671875" style="48"/>
    <col min="15113" max="15113" width="65.33203125" style="48" customWidth="1"/>
    <col min="15114" max="15360" width="8.88671875" style="48"/>
    <col min="15361" max="15361" width="5.44140625" style="48" bestFit="1" customWidth="1"/>
    <col min="15362" max="15362" width="17.109375" style="48" customWidth="1"/>
    <col min="15363" max="15363" width="24.109375" style="48" customWidth="1"/>
    <col min="15364" max="15364" width="104.33203125" style="48" customWidth="1"/>
    <col min="15365" max="15365" width="10.109375" style="48" customWidth="1"/>
    <col min="15366" max="15366" width="15.6640625" style="48" customWidth="1"/>
    <col min="15367" max="15367" width="83" style="48" customWidth="1"/>
    <col min="15368" max="15368" width="8.88671875" style="48"/>
    <col min="15369" max="15369" width="65.33203125" style="48" customWidth="1"/>
    <col min="15370" max="15616" width="8.88671875" style="48"/>
    <col min="15617" max="15617" width="5.44140625" style="48" bestFit="1" customWidth="1"/>
    <col min="15618" max="15618" width="17.109375" style="48" customWidth="1"/>
    <col min="15619" max="15619" width="24.109375" style="48" customWidth="1"/>
    <col min="15620" max="15620" width="104.33203125" style="48" customWidth="1"/>
    <col min="15621" max="15621" width="10.109375" style="48" customWidth="1"/>
    <col min="15622" max="15622" width="15.6640625" style="48" customWidth="1"/>
    <col min="15623" max="15623" width="83" style="48" customWidth="1"/>
    <col min="15624" max="15624" width="8.88671875" style="48"/>
    <col min="15625" max="15625" width="65.33203125" style="48" customWidth="1"/>
    <col min="15626" max="15872" width="8.88671875" style="48"/>
    <col min="15873" max="15873" width="5.44140625" style="48" bestFit="1" customWidth="1"/>
    <col min="15874" max="15874" width="17.109375" style="48" customWidth="1"/>
    <col min="15875" max="15875" width="24.109375" style="48" customWidth="1"/>
    <col min="15876" max="15876" width="104.33203125" style="48" customWidth="1"/>
    <col min="15877" max="15877" width="10.109375" style="48" customWidth="1"/>
    <col min="15878" max="15878" width="15.6640625" style="48" customWidth="1"/>
    <col min="15879" max="15879" width="83" style="48" customWidth="1"/>
    <col min="15880" max="15880" width="8.88671875" style="48"/>
    <col min="15881" max="15881" width="65.33203125" style="48" customWidth="1"/>
    <col min="15882" max="16128" width="8.88671875" style="48"/>
    <col min="16129" max="16129" width="5.44140625" style="48" bestFit="1" customWidth="1"/>
    <col min="16130" max="16130" width="17.109375" style="48" customWidth="1"/>
    <col min="16131" max="16131" width="24.109375" style="48" customWidth="1"/>
    <col min="16132" max="16132" width="104.33203125" style="48" customWidth="1"/>
    <col min="16133" max="16133" width="10.109375" style="48" customWidth="1"/>
    <col min="16134" max="16134" width="15.6640625" style="48" customWidth="1"/>
    <col min="16135" max="16135" width="83" style="48" customWidth="1"/>
    <col min="16136" max="16136" width="8.88671875" style="48"/>
    <col min="16137" max="16137" width="65.33203125" style="48" customWidth="1"/>
    <col min="16138" max="16384" width="8.88671875" style="48"/>
  </cols>
  <sheetData>
    <row r="1" spans="1:7" ht="20.100000000000001" customHeight="1" x14ac:dyDescent="0.25">
      <c r="A1" s="607" t="s">
        <v>395</v>
      </c>
      <c r="B1" s="608"/>
      <c r="C1" s="608"/>
      <c r="D1" s="608"/>
      <c r="E1" s="608"/>
      <c r="F1" s="608"/>
      <c r="G1" s="609"/>
    </row>
    <row r="2" spans="1:7" ht="18" customHeight="1" x14ac:dyDescent="0.25">
      <c r="A2" s="610" t="str">
        <f>'Modelo Planilha Orcamentaria'!A2:E2</f>
        <v>PREFEITURA: PREFEITURA MUNICIPAL DE BOM JARDIM DE MINAS - MG</v>
      </c>
      <c r="B2" s="611"/>
      <c r="C2" s="611"/>
      <c r="D2" s="611"/>
      <c r="E2" s="611"/>
      <c r="F2" s="611"/>
      <c r="G2" s="612"/>
    </row>
    <row r="3" spans="1:7" ht="18" customHeight="1" x14ac:dyDescent="0.25">
      <c r="A3" s="610" t="str">
        <f>'Modelo Planilha Orcamentaria'!A3:E3</f>
        <v>OBRA: REVITALIZAÇÃO, REFORMA E CONSTRUÇÃO DE BANHEIROS PÚBLICOS NA PRAÇA ANTÔNIO JACINTO FARIA - ETAPA 02</v>
      </c>
      <c r="B3" s="611"/>
      <c r="C3" s="611"/>
      <c r="D3" s="611"/>
      <c r="E3" s="611"/>
      <c r="F3" s="611"/>
      <c r="G3" s="612"/>
    </row>
    <row r="4" spans="1:7" ht="18" customHeight="1" thickBot="1" x14ac:dyDescent="0.3">
      <c r="A4" s="613" t="str">
        <f>'Modelo Planilha Orcamentaria'!A4:E4</f>
        <v>LOCAL:  PRAÇA ANTÔNIO JACINTO FARIA  - BAIRRO CENTRO - BOM JARDIM DE MINAS / MG</v>
      </c>
      <c r="B4" s="614"/>
      <c r="C4" s="614"/>
      <c r="D4" s="614"/>
      <c r="E4" s="614"/>
      <c r="F4" s="614"/>
      <c r="G4" s="615"/>
    </row>
    <row r="5" spans="1:7" ht="13.8" thickBot="1" x14ac:dyDescent="0.3">
      <c r="A5" s="74" t="s">
        <v>0</v>
      </c>
      <c r="B5" s="49" t="s">
        <v>4</v>
      </c>
      <c r="C5" s="50" t="s">
        <v>1</v>
      </c>
      <c r="D5" s="51"/>
      <c r="E5" s="49" t="s">
        <v>3</v>
      </c>
      <c r="F5" s="49" t="s">
        <v>2</v>
      </c>
      <c r="G5" s="75" t="s">
        <v>46</v>
      </c>
    </row>
    <row r="6" spans="1:7" ht="8.1" customHeight="1" x14ac:dyDescent="0.25">
      <c r="A6" s="76"/>
      <c r="B6" s="52"/>
      <c r="C6" s="52"/>
      <c r="D6" s="52"/>
      <c r="E6" s="52"/>
      <c r="F6" s="52"/>
      <c r="G6" s="77"/>
    </row>
    <row r="7" spans="1:7" ht="19.95" customHeight="1" x14ac:dyDescent="0.25">
      <c r="A7" s="78">
        <v>1</v>
      </c>
      <c r="B7" s="53"/>
      <c r="C7" s="603" t="str">
        <f>'Modelo Planilha Orcamentaria'!C9:D9</f>
        <v xml:space="preserve"> INSTALAÇÕES INICIAIS DA OBRA</v>
      </c>
      <c r="D7" s="604"/>
      <c r="E7" s="53"/>
      <c r="F7" s="53"/>
      <c r="G7" s="79"/>
    </row>
    <row r="8" spans="1:7" ht="40.049999999999997" customHeight="1" x14ac:dyDescent="0.25">
      <c r="A8" s="45" t="s">
        <v>10</v>
      </c>
      <c r="B8" s="129" t="s">
        <v>77</v>
      </c>
      <c r="C8" s="605" t="str">
        <f>'Modelo Planilha Orcamentaria'!C10:D10</f>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
      <c r="D8" s="606"/>
      <c r="E8" s="54" t="str">
        <f>'Modelo Planilha Orcamentaria'!E10</f>
        <v>UNID.</v>
      </c>
      <c r="F8" s="55">
        <v>1</v>
      </c>
      <c r="G8" s="80" t="s">
        <v>79</v>
      </c>
    </row>
    <row r="9" spans="1:7" ht="25.05" customHeight="1" x14ac:dyDescent="0.25">
      <c r="A9" s="45" t="s">
        <v>396</v>
      </c>
      <c r="B9" s="58" t="s">
        <v>397</v>
      </c>
      <c r="C9" s="605" t="str" cm="1">
        <f t="array" ref="C9:D9">'Modelo Planilha Orcamentaria'!C11:D11</f>
        <v>BARRACÃO DE OBRA, EM CHAPA DE COMPENSADO RESINADO, INCLUSIVE INSTALAÇÕES SANITÁRIAS E MOBILIÁRIO - PADRÃO DER-MG</v>
      </c>
      <c r="D9" s="606">
        <v>0</v>
      </c>
      <c r="E9" s="54" t="str">
        <f>'Modelo Planilha Orcamentaria'!E11</f>
        <v>M2</v>
      </c>
      <c r="F9" s="55">
        <v>12</v>
      </c>
      <c r="G9" s="80" t="s">
        <v>399</v>
      </c>
    </row>
    <row r="10" spans="1:7" s="482" customFormat="1" ht="19.95" customHeight="1" x14ac:dyDescent="0.25">
      <c r="A10" s="479"/>
      <c r="B10" s="480"/>
      <c r="C10" s="601" t="str">
        <f>'Modelo Planilha Orcamentaria'!C12:D12</f>
        <v>BANHEIROS PÚBLICOS</v>
      </c>
      <c r="D10" s="602"/>
      <c r="E10" s="480"/>
      <c r="F10" s="480"/>
      <c r="G10" s="481"/>
    </row>
    <row r="11" spans="1:7" ht="19.95" customHeight="1" x14ac:dyDescent="0.25">
      <c r="A11" s="78">
        <v>2</v>
      </c>
      <c r="B11" s="53"/>
      <c r="C11" s="603" t="str">
        <f>'Modelo Planilha Orcamentaria'!C13:D13</f>
        <v>MOVIMENTAÇÃO DE TERRA</v>
      </c>
      <c r="D11" s="604"/>
      <c r="E11" s="53"/>
      <c r="F11" s="53"/>
      <c r="G11" s="79"/>
    </row>
    <row r="12" spans="1:7" ht="25.05" customHeight="1" x14ac:dyDescent="0.25">
      <c r="A12" s="45" t="s">
        <v>38</v>
      </c>
      <c r="B12" s="58" t="s">
        <v>83</v>
      </c>
      <c r="C12" s="605" t="str">
        <f>'Modelo Planilha Orcamentaria'!C14:D14</f>
        <v>DESMATAMENTO, DESTOCAMENTO E LIMPEZA, INCLUSIVE TRANSPORTE ATÉ CINQUENTA (50) METROS</v>
      </c>
      <c r="D12" s="606"/>
      <c r="E12" s="54" t="str">
        <f>'Modelo Planilha Orcamentaria'!E14</f>
        <v>M2</v>
      </c>
      <c r="F12" s="55">
        <f>(8.2*3.7)*2</f>
        <v>60.68</v>
      </c>
      <c r="G12" s="80" t="s">
        <v>543</v>
      </c>
    </row>
    <row r="13" spans="1:7" ht="34.950000000000003" customHeight="1" x14ac:dyDescent="0.25">
      <c r="A13" s="45" t="s">
        <v>41</v>
      </c>
      <c r="B13" s="129" t="s">
        <v>73</v>
      </c>
      <c r="C13" s="605" t="str">
        <f>'Modelo Planilha Orcamentaria'!C15:D15</f>
        <v>REGULARIZAÇÃO MANUAL E COMPACTAÇÃO MECANIZADA DE TERRENO COM PLACA VIBRATÓRIA, EXCLUSIVE DESMATAMENTO, DESTOCAMENTO, LIMPEZA/ROÇADA DO TERRENO</v>
      </c>
      <c r="D13" s="606"/>
      <c r="E13" s="54" t="str">
        <f>'Modelo Planilha Orcamentaria'!E15</f>
        <v>M3</v>
      </c>
      <c r="F13" s="55">
        <f>60.68*0.2</f>
        <v>12.136000000000001</v>
      </c>
      <c r="G13" s="80" t="s">
        <v>544</v>
      </c>
    </row>
    <row r="14" spans="1:7" ht="25.05" customHeight="1" x14ac:dyDescent="0.25">
      <c r="A14" s="45" t="s">
        <v>49</v>
      </c>
      <c r="B14" s="58" t="s">
        <v>286</v>
      </c>
      <c r="C14" s="605" t="str">
        <f>'Modelo Planilha Orcamentaria'!C16:D16</f>
        <v>ESCAVAÇÃO MANUAL DE VALA EM MATERIAL DE 1ª CATEGORIA NA PROFUNDIDADE DE 0 A 1,50 M</v>
      </c>
      <c r="D14" s="606"/>
      <c r="E14" s="54" t="str">
        <f>'Modelo Planilha Orcamentaria'!E16</f>
        <v>M3</v>
      </c>
      <c r="F14" s="55">
        <f>'ANEXO MC ESTRUTURA COMPLEMENTAR'!A51</f>
        <v>6.8529999999999998</v>
      </c>
      <c r="G14" s="80" t="str">
        <f>G17</f>
        <v>DADOS RETIRADOS DE ANEXO V - ANEXO À MEMORIAL DE CÁLCULO</v>
      </c>
    </row>
    <row r="15" spans="1:7" ht="25.05" customHeight="1" x14ac:dyDescent="0.25">
      <c r="A15" s="45" t="s">
        <v>51</v>
      </c>
      <c r="B15" s="58" t="s">
        <v>54</v>
      </c>
      <c r="C15" s="605" t="str">
        <f>'Modelo Planilha Orcamentaria'!C17:D17</f>
        <v>REATERRO MANUAL DE VALA, INCLUSIVE ESPALHAMENTO E COMPACTAÇÃO MECANIZADA COM PLACA VIBRATÓRIA</v>
      </c>
      <c r="D15" s="606"/>
      <c r="E15" s="54" t="str">
        <f>'Modelo Planilha Orcamentaria'!E17</f>
        <v>M3</v>
      </c>
      <c r="F15" s="55">
        <f>'ANEXO MC ESTRUTURA COMPLEMENTAR'!I51</f>
        <v>2.4909999999999997</v>
      </c>
      <c r="G15" s="80" t="str">
        <f>G18</f>
        <v>DADOS RETIRADOS DE ANEXO V - ANEXO À MEMORIAL DE CÁLCULO</v>
      </c>
    </row>
    <row r="16" spans="1:7" ht="19.95" customHeight="1" x14ac:dyDescent="0.25">
      <c r="A16" s="78">
        <v>3</v>
      </c>
      <c r="B16" s="53"/>
      <c r="C16" s="603" t="str">
        <f>'Modelo Planilha Orcamentaria'!C18:D18</f>
        <v>SUPERESTRUTURA E ESTRUTURA</v>
      </c>
      <c r="D16" s="604"/>
      <c r="E16" s="53"/>
      <c r="F16" s="53"/>
      <c r="G16" s="79"/>
    </row>
    <row r="17" spans="1:7" ht="25.05" customHeight="1" x14ac:dyDescent="0.25">
      <c r="A17" s="45" t="s">
        <v>110</v>
      </c>
      <c r="B17" s="58" t="s">
        <v>63</v>
      </c>
      <c r="C17" s="605" t="str">
        <f>'Modelo Planilha Orcamentaria'!C19:D19</f>
        <v>LASTRO DE CONCRETO MAGRO, INCLUSIVE TRANSPORTE, LANÇAMENTO E ADENSAMENTO</v>
      </c>
      <c r="D17" s="606"/>
      <c r="E17" s="54" t="str">
        <f>'Modelo Planilha Orcamentaria'!E19</f>
        <v>M3</v>
      </c>
      <c r="F17" s="55">
        <f>'ANEXO MC ESTRUTURA COMPLEMENTAR'!B51</f>
        <v>0.47500000000000003</v>
      </c>
      <c r="G17" s="80" t="str">
        <f>G24</f>
        <v>DADOS RETIRADOS DE ANEXO V - ANEXO À MEMORIAL DE CÁLCULO</v>
      </c>
    </row>
    <row r="18" spans="1:7" ht="34.950000000000003" customHeight="1" x14ac:dyDescent="0.25">
      <c r="A18" s="45" t="s">
        <v>111</v>
      </c>
      <c r="B18" s="44" t="s">
        <v>56</v>
      </c>
      <c r="C18" s="605" t="str">
        <f>'Modelo Planilha Orcamentaria'!C20:D20</f>
        <v>FORNECIMENTO DE CONCRETO ESTRUTURAL, USINADO BOMBEADO, COM FCK 25 MPA, INCLUSIVE LANÇAMENTO, ADENSAMENTO E ACABAMENTO</v>
      </c>
      <c r="D18" s="606"/>
      <c r="E18" s="54" t="str">
        <f>'Modelo Planilha Orcamentaria'!E20</f>
        <v>M3</v>
      </c>
      <c r="F18" s="55">
        <f>'ANEXO MC ESTRUTURA COMPLEMENTAR'!C51+'ANEXO MC ESTRUTURA COMPLEMENTAR'!D51</f>
        <v>7.5</v>
      </c>
      <c r="G18" s="80" t="str">
        <f>G24</f>
        <v>DADOS RETIRADOS DE ANEXO V - ANEXO À MEMORIAL DE CÁLCULO</v>
      </c>
    </row>
    <row r="19" spans="1:7" ht="25.05" customHeight="1" x14ac:dyDescent="0.25">
      <c r="A19" s="45" t="s">
        <v>112</v>
      </c>
      <c r="B19" s="58" t="s">
        <v>57</v>
      </c>
      <c r="C19" s="605" t="str">
        <f>'Modelo Planilha Orcamentaria'!C21:D21</f>
        <v>CORTE, DOBRA E MONTAGEM DE AÇO CA-50 DIÂMETRO (6,3MM A 12,5MM), INCLUSIVE ESPAÇADOR</v>
      </c>
      <c r="D19" s="606"/>
      <c r="E19" s="54" t="str">
        <f>'Modelo Planilha Orcamentaria'!E21</f>
        <v>KG</v>
      </c>
      <c r="F19" s="55">
        <f>'ANEXO MC ESTRUTURA COMPLEMENTAR'!G51</f>
        <v>260.54200000000003</v>
      </c>
      <c r="G19" s="80" t="str">
        <f>G24</f>
        <v>DADOS RETIRADOS DE ANEXO V - ANEXO À MEMORIAL DE CÁLCULO</v>
      </c>
    </row>
    <row r="20" spans="1:7" ht="25.05" customHeight="1" x14ac:dyDescent="0.25">
      <c r="A20" s="45" t="s">
        <v>113</v>
      </c>
      <c r="B20" s="58" t="s">
        <v>59</v>
      </c>
      <c r="C20" s="605" t="str">
        <f>'Modelo Planilha Orcamentaria'!C22:D22</f>
        <v>CORTE, DOBRA E MONTAGEM DE AÇO CA-60 DIÂMETRO (4,2MM A 5,0MM), INCLUSIVE ESPAÇADOR</v>
      </c>
      <c r="D20" s="606"/>
      <c r="E20" s="54" t="str">
        <f>'Modelo Planilha Orcamentaria'!E22</f>
        <v>KG</v>
      </c>
      <c r="F20" s="55">
        <f>'ANEXO MC ESTRUTURA COMPLEMENTAR'!E51</f>
        <v>114.90863999999998</v>
      </c>
      <c r="G20" s="80" t="str">
        <f>G24</f>
        <v>DADOS RETIRADOS DE ANEXO V - ANEXO À MEMORIAL DE CÁLCULO</v>
      </c>
    </row>
    <row r="21" spans="1:7" ht="25.05" customHeight="1" x14ac:dyDescent="0.25">
      <c r="A21" s="45" t="s">
        <v>114</v>
      </c>
      <c r="B21" s="58" t="s">
        <v>60</v>
      </c>
      <c r="C21" s="605" t="str">
        <f>'Modelo Planilha Orcamentaria'!C23:D23</f>
        <v>FORMA E DESFORMA DE TÁBUA E SARRAFO, REAPROVEITAMENTO (5X), EXCLUSIVE ESCORAMENTO</v>
      </c>
      <c r="D21" s="606"/>
      <c r="E21" s="54" t="str">
        <f>'Modelo Planilha Orcamentaria'!E23</f>
        <v>M2</v>
      </c>
      <c r="F21" s="55">
        <f>'ANEXO MC ESTRUTURA COMPLEMENTAR'!H51</f>
        <v>118.57999999999998</v>
      </c>
      <c r="G21" s="80" t="str">
        <f>G24</f>
        <v>DADOS RETIRADOS DE ANEXO V - ANEXO À MEMORIAL DE CÁLCULO</v>
      </c>
    </row>
    <row r="22" spans="1:7" ht="25.05" customHeight="1" x14ac:dyDescent="0.25">
      <c r="A22" s="45" t="s">
        <v>285</v>
      </c>
      <c r="B22" s="58" t="s">
        <v>172</v>
      </c>
      <c r="C22" s="605" t="str">
        <f>'Modelo Planilha Orcamentaria'!C24:D24</f>
        <v>LAJE 10 CM MACIÇA DE CONCRETO 20 MPa, COM ARMAÇÃO, FÔRMA RESINADA, ESCORAMENTO E DESFORMA</v>
      </c>
      <c r="D22" s="606"/>
      <c r="E22" s="54" t="str">
        <f>'Modelo Planilha Orcamentaria'!E24</f>
        <v>M2</v>
      </c>
      <c r="F22" s="55">
        <f>38.06</f>
        <v>38.06</v>
      </c>
      <c r="G22" s="80" t="s">
        <v>291</v>
      </c>
    </row>
    <row r="23" spans="1:7" ht="19.95" customHeight="1" x14ac:dyDescent="0.25">
      <c r="A23" s="78">
        <v>4</v>
      </c>
      <c r="B23" s="53"/>
      <c r="C23" s="603" t="str">
        <f>'Modelo Planilha Orcamentaria'!C25:D25</f>
        <v>ALVENARIA</v>
      </c>
      <c r="D23" s="604"/>
      <c r="E23" s="53"/>
      <c r="F23" s="53"/>
      <c r="G23" s="79"/>
    </row>
    <row r="24" spans="1:7" ht="34.950000000000003" customHeight="1" x14ac:dyDescent="0.25">
      <c r="A24" s="45" t="s">
        <v>175</v>
      </c>
      <c r="B24" s="129" t="s">
        <v>292</v>
      </c>
      <c r="C24" s="605" t="str">
        <f>'Modelo Planilha Orcamentaria'!C26:D26</f>
        <v>ALVENARIA DE VEDAÇÃO COM TIJOLO MACIÇO REQUEIMADO, ESP. 10CM, COM ACABAMENTO APARENTE, INCLUSIVE ARGAMASSA PARA ASSENTAMENTO</v>
      </c>
      <c r="D24" s="606"/>
      <c r="E24" s="54" t="str">
        <f>'Modelo Planilha Orcamentaria'!E26</f>
        <v>M2</v>
      </c>
      <c r="F24" s="55">
        <f>'ANEXO MC ESTRUTURA COMPLEMENTAR'!H64</f>
        <v>109.65</v>
      </c>
      <c r="G24" s="80" t="s">
        <v>157</v>
      </c>
    </row>
    <row r="25" spans="1:7" ht="25.05" customHeight="1" x14ac:dyDescent="0.25">
      <c r="A25" s="45" t="s">
        <v>349</v>
      </c>
      <c r="B25" s="58" t="s">
        <v>321</v>
      </c>
      <c r="C25" s="605" t="str">
        <f>'Modelo Planilha Orcamentaria'!C27:D27</f>
        <v>ALVENARIA DE VEDAÇÃO COM BLOCO DE CONCRETO, ESP. 9CM, PARA REVESTIMENTO, INCLUSIVE ARGAMASSA PARA ASSENTAMENTO</v>
      </c>
      <c r="D25" s="606"/>
      <c r="E25" s="54" t="str">
        <f>'Modelo Planilha Orcamentaria'!E27</f>
        <v>M2</v>
      </c>
      <c r="F25" s="55">
        <f>'ANEXO MC ESTRUTURA COMPLEMENTAR'!H69</f>
        <v>22.86</v>
      </c>
      <c r="G25" s="80" t="s">
        <v>157</v>
      </c>
    </row>
    <row r="26" spans="1:7" s="399" customFormat="1" ht="34.950000000000003" customHeight="1" x14ac:dyDescent="0.25">
      <c r="A26" s="45" t="s">
        <v>714</v>
      </c>
      <c r="B26" s="391" t="s">
        <v>712</v>
      </c>
      <c r="C26" s="605" t="str">
        <f>'Modelo Planilha Orcamentaria'!C28:D28</f>
        <v>VERGA OU CONTRAVERGA EM CONCRETO ESTRUTURAL PARA VÃOS DE ATÉ 150CM, PREPARADO EM OBRA COM BETONEIRA, CONTROLE "A", COM FCK 20 MPA, MOLDADA IN LOCO, INCLUSIVE ARMAÇÃO</v>
      </c>
      <c r="D26" s="606"/>
      <c r="E26" s="54" t="s">
        <v>33</v>
      </c>
      <c r="F26" s="55">
        <f>((0.9+0.4)*4)*0.1*0.1</f>
        <v>5.2000000000000005E-2</v>
      </c>
      <c r="G26" s="80" t="s">
        <v>730</v>
      </c>
    </row>
    <row r="27" spans="1:7" s="399" customFormat="1" ht="34.950000000000003" customHeight="1" x14ac:dyDescent="0.25">
      <c r="A27" s="45" t="s">
        <v>728</v>
      </c>
      <c r="B27" s="129" t="s">
        <v>726</v>
      </c>
      <c r="C27" s="605" t="str">
        <f>'Modelo Planilha Orcamentaria'!C29:D29</f>
        <v>VERGA OU CONTRAVERGA EM CONCRETO ESTRUTURAL PARA VÃOS ACIMA DE 150CM, PREPARADO EM OBRA COM BETONEIRA, CONTROLE "A", COM FCK 20 MPA, MOLDADA IN LOCO, INCLUSIVE ARMAÇÃO</v>
      </c>
      <c r="D27" s="606"/>
      <c r="E27" s="54" t="s">
        <v>33</v>
      </c>
      <c r="F27" s="55">
        <f>(((1+0.4)*4*2)+((1.5+0.4)*2*2))*0.1*0.1</f>
        <v>0.188</v>
      </c>
      <c r="G27" s="80" t="s">
        <v>729</v>
      </c>
    </row>
    <row r="28" spans="1:7" ht="19.95" customHeight="1" x14ac:dyDescent="0.25">
      <c r="A28" s="78">
        <v>5</v>
      </c>
      <c r="B28" s="53"/>
      <c r="C28" s="603" t="str">
        <f>'Modelo Planilha Orcamentaria'!C30:D30</f>
        <v>PONTOS DE INSTALAÇÕES HIDROSSANITÁRIAS</v>
      </c>
      <c r="D28" s="604"/>
      <c r="E28" s="53"/>
      <c r="F28" s="53"/>
      <c r="G28" s="79"/>
    </row>
    <row r="29" spans="1:7" ht="25.05" customHeight="1" x14ac:dyDescent="0.25">
      <c r="A29" s="45" t="s">
        <v>176</v>
      </c>
      <c r="B29" s="58" t="s">
        <v>228</v>
      </c>
      <c r="C29" s="605" t="str">
        <f>'Modelo Planilha Orcamentaria'!C31:D31</f>
        <v>TUBO, PVC, SOLDÁVEL, DN 20MM, INSTALADO EM RAMAL DE DISTRIBUIÇÃO DE ÁGUA - FORNECIMENTO E INSTALAÇÃO. AF_12/2014</v>
      </c>
      <c r="D29" s="606"/>
      <c r="E29" s="54" t="str">
        <f>'Modelo Planilha Orcamentaria'!E31</f>
        <v>M</v>
      </c>
      <c r="F29" s="55">
        <v>26</v>
      </c>
      <c r="G29" s="80" t="s">
        <v>240</v>
      </c>
    </row>
    <row r="30" spans="1:7" ht="25.05" customHeight="1" x14ac:dyDescent="0.25">
      <c r="A30" s="45" t="s">
        <v>217</v>
      </c>
      <c r="B30" s="58" t="s">
        <v>230</v>
      </c>
      <c r="C30" s="605" t="str">
        <f>'Modelo Planilha Orcamentaria'!C32:D32</f>
        <v>TUBO, PVC, SOLDÁVEL, DN 25MM, INSTALADO EM RAMAL DE DISTRIBUIÇÃO DE ÁGUA - FORNECIMENTO E INSTALAÇÃO. AF_06/2022</v>
      </c>
      <c r="D30" s="606"/>
      <c r="E30" s="54" t="str">
        <f>'Modelo Planilha Orcamentaria'!E32</f>
        <v>M</v>
      </c>
      <c r="F30" s="55">
        <v>1</v>
      </c>
      <c r="G30" s="80" t="str">
        <f t="shared" ref="G30:G38" si="0">G29</f>
        <v>DADOS RETIRADOS DE PROJETO HIDROSSANITÁRIO</v>
      </c>
    </row>
    <row r="31" spans="1:7" ht="25.05" customHeight="1" x14ac:dyDescent="0.25">
      <c r="A31" s="45" t="s">
        <v>218</v>
      </c>
      <c r="B31" s="58" t="s">
        <v>238</v>
      </c>
      <c r="C31" s="605" t="str">
        <f>'Modelo Planilha Orcamentaria'!C33:D33</f>
        <v>TUBO, PVC, SOLDÁVEL, DN 32MM, INSTALADO EM RAMAL DE DISTRIBUIÇÃO DE ÁGUA - FORNECIMENTO E INSTALAÇÃO. AF_06/2022</v>
      </c>
      <c r="D31" s="606"/>
      <c r="E31" s="54" t="str">
        <f>'Modelo Planilha Orcamentaria'!E33</f>
        <v>M</v>
      </c>
      <c r="F31" s="55">
        <v>1</v>
      </c>
      <c r="G31" s="80" t="str">
        <f t="shared" si="0"/>
        <v>DADOS RETIRADOS DE PROJETO HIDROSSANITÁRIO</v>
      </c>
    </row>
    <row r="32" spans="1:7" ht="34.950000000000003" customHeight="1" x14ac:dyDescent="0.25">
      <c r="A32" s="45" t="s">
        <v>219</v>
      </c>
      <c r="B32" s="129" t="s">
        <v>232</v>
      </c>
      <c r="C32" s="605" t="str">
        <f>'Modelo Planilha Orcamentaria'!C34:D34</f>
        <v>TUBO PVC, SERIE NORMAL, ESGOTO PREDIAL, DN 40 MM, FORNECIDO E INSTALADO EM RAMAL DE DESCARGA OU RAMAL DE ESGOTO SANITÁRIO. AF_12/2014</v>
      </c>
      <c r="D32" s="606"/>
      <c r="E32" s="54" t="str">
        <f>'Modelo Planilha Orcamentaria'!E34</f>
        <v>M</v>
      </c>
      <c r="F32" s="55">
        <v>25</v>
      </c>
      <c r="G32" s="80" t="str">
        <f t="shared" si="0"/>
        <v>DADOS RETIRADOS DE PROJETO HIDROSSANITÁRIO</v>
      </c>
    </row>
    <row r="33" spans="1:7" ht="34.950000000000003" customHeight="1" x14ac:dyDescent="0.25">
      <c r="A33" s="45" t="s">
        <v>220</v>
      </c>
      <c r="B33" s="129" t="s">
        <v>239</v>
      </c>
      <c r="C33" s="605" t="str">
        <f>'Modelo Planilha Orcamentaria'!C35:D35</f>
        <v>TUBO PVC, SERIE NORMAL, ESGOTO PREDIAL, DN 50 MM, FORNECIDO E INSTALADO EM RAMAL DE DESCARGA OU RAMAL DE ESGOTO SANITÁRIO. AF_08/2022</v>
      </c>
      <c r="D33" s="606"/>
      <c r="E33" s="54" t="str">
        <f>'Modelo Planilha Orcamentaria'!E35</f>
        <v>M</v>
      </c>
      <c r="F33" s="55">
        <v>6</v>
      </c>
      <c r="G33" s="80" t="str">
        <f t="shared" si="0"/>
        <v>DADOS RETIRADOS DE PROJETO HIDROSSANITÁRIO</v>
      </c>
    </row>
    <row r="34" spans="1:7" ht="34.950000000000003" customHeight="1" x14ac:dyDescent="0.25">
      <c r="A34" s="45" t="s">
        <v>221</v>
      </c>
      <c r="B34" s="129" t="s">
        <v>234</v>
      </c>
      <c r="C34" s="605" t="str">
        <f>'Modelo Planilha Orcamentaria'!C36:D36</f>
        <v>TUBO PVC, SERIE NORMAL, ESGOTO PREDIAL, DN 100 MM, FORNECIDO E INSTALADO EM RAMAL DE DESCARGA OU RAMAL DE ESGOTO SANITÁRIO. AF_12/2014</v>
      </c>
      <c r="D34" s="606"/>
      <c r="E34" s="54" t="str">
        <f>'Modelo Planilha Orcamentaria'!E36</f>
        <v>M</v>
      </c>
      <c r="F34" s="55">
        <v>18</v>
      </c>
      <c r="G34" s="80" t="str">
        <f t="shared" si="0"/>
        <v>DADOS RETIRADOS DE PROJETO HIDROSSANITÁRIO</v>
      </c>
    </row>
    <row r="35" spans="1:7" ht="34.950000000000003" customHeight="1" x14ac:dyDescent="0.25">
      <c r="A35" s="45" t="s">
        <v>222</v>
      </c>
      <c r="B35" s="129" t="s">
        <v>241</v>
      </c>
      <c r="C35" s="605" t="str">
        <f>'Modelo Planilha Orcamentaria'!C37:D37</f>
        <v>JOELHO 90 GRAUS, PVC, SOLDÁVEL, DN 20MM, INSTALADO EM RAMAL OU SUB-RAM UN CR JOELHO 90 GRAUS, PVC, SOLDÁVEL, DN 20MM, INSTALADO EM RAMAL OU SUB-RAMAL DE ÁGUA - FORNECIMENTO E INSTALAÇÃO. AF_12/2014</v>
      </c>
      <c r="D35" s="606"/>
      <c r="E35" s="54" t="str">
        <f>'Modelo Planilha Orcamentaria'!E37</f>
        <v>UNID.</v>
      </c>
      <c r="F35" s="55">
        <v>21</v>
      </c>
      <c r="G35" s="80" t="str">
        <f t="shared" si="0"/>
        <v>DADOS RETIRADOS DE PROJETO HIDROSSANITÁRIO</v>
      </c>
    </row>
    <row r="36" spans="1:7" ht="25.05" customHeight="1" x14ac:dyDescent="0.25">
      <c r="A36" s="45" t="s">
        <v>223</v>
      </c>
      <c r="B36" s="58" t="s">
        <v>243</v>
      </c>
      <c r="C36" s="605" t="str">
        <f>'Modelo Planilha Orcamentaria'!C38:D38</f>
        <v>JOELHO 90 GRAUS, PVC, SOLDÁVEL, DN 25MM, INSTALADO EM RAMAL OU SUB-RAMAL DE ÁGUA - FORNECIMENTO E INSTALAÇÃO. AF_12/2014</v>
      </c>
      <c r="D36" s="606"/>
      <c r="E36" s="54" t="str">
        <f>'Modelo Planilha Orcamentaria'!E38</f>
        <v>UNID.</v>
      </c>
      <c r="F36" s="55">
        <v>1</v>
      </c>
      <c r="G36" s="80" t="str">
        <f t="shared" si="0"/>
        <v>DADOS RETIRADOS DE PROJETO HIDROSSANITÁRIO</v>
      </c>
    </row>
    <row r="37" spans="1:7" ht="34.950000000000003" customHeight="1" x14ac:dyDescent="0.25">
      <c r="A37" s="132" t="s">
        <v>224</v>
      </c>
      <c r="B37" s="58" t="s">
        <v>245</v>
      </c>
      <c r="C37" s="605" t="str">
        <f>'Modelo Planilha Orcamentaria'!C39:D39</f>
        <v>TÊ DE REDUÇÃO, PVC, SOLDÁVEL, DN 32MM X 25MM, INSTALADO EM RAMAL OU SUB-RAMAL DE ÁGUA - FORNECIMENTO E INSTALAÇÃO. AF_06/2022</v>
      </c>
      <c r="D37" s="606"/>
      <c r="E37" s="54" t="str">
        <f>'Modelo Planilha Orcamentaria'!E39</f>
        <v>UNID.</v>
      </c>
      <c r="F37" s="55">
        <v>1</v>
      </c>
      <c r="G37" s="80" t="str">
        <f t="shared" si="0"/>
        <v>DADOS RETIRADOS DE PROJETO HIDROSSANITÁRIO</v>
      </c>
    </row>
    <row r="38" spans="1:7" ht="25.05" customHeight="1" x14ac:dyDescent="0.25">
      <c r="A38" s="45" t="s">
        <v>249</v>
      </c>
      <c r="B38" s="58" t="s">
        <v>247</v>
      </c>
      <c r="C38" s="605" t="str">
        <f>'Modelo Planilha Orcamentaria'!C40:D40</f>
        <v>TE, PVC, SOLDÁVEL, DN 20MM, INSTALADO EM RAMAL DE DISTRIBUIÇÃO DE ÁGUA - FORNECIMENTO E INSTALAÇÃO. AF_06/2022</v>
      </c>
      <c r="D38" s="606"/>
      <c r="E38" s="54" t="str">
        <f>'Modelo Planilha Orcamentaria'!E40</f>
        <v>UNID.</v>
      </c>
      <c r="F38" s="55">
        <v>15</v>
      </c>
      <c r="G38" s="80" t="str">
        <f t="shared" si="0"/>
        <v>DADOS RETIRADOS DE PROJETO HIDROSSANITÁRIO</v>
      </c>
    </row>
    <row r="39" spans="1:7" ht="34.950000000000003" customHeight="1" x14ac:dyDescent="0.25">
      <c r="A39" s="45" t="s">
        <v>256</v>
      </c>
      <c r="B39" s="129" t="s">
        <v>250</v>
      </c>
      <c r="C39" s="605" t="str">
        <f>'Modelo Planilha Orcamentaria'!C41:D41</f>
        <v>JOELHO 45 GRAUS, PVC, SERIE NORMAL, ESGOTO PREDIAL, DN 40 MM, JUNTA SOLDÁVEL, FORNECIDO E INSTALADO EM RAMAL DE DESCARGA OU RAMAL DE ESGOTO SANITÁRIO. AF_08/2022</v>
      </c>
      <c r="D39" s="606"/>
      <c r="E39" s="54" t="str">
        <f>'Modelo Planilha Orcamentaria'!E41</f>
        <v>UNID.</v>
      </c>
      <c r="F39" s="55">
        <v>5</v>
      </c>
      <c r="G39" s="80" t="str">
        <f t="shared" ref="G39:G41" si="1">G38</f>
        <v>DADOS RETIRADOS DE PROJETO HIDROSSANITÁRIO</v>
      </c>
    </row>
    <row r="40" spans="1:7" ht="34.950000000000003" customHeight="1" x14ac:dyDescent="0.25">
      <c r="A40" s="45" t="s">
        <v>257</v>
      </c>
      <c r="B40" s="129" t="s">
        <v>262</v>
      </c>
      <c r="C40" s="605" t="str">
        <f>'Modelo Planilha Orcamentaria'!C42:D42</f>
        <v>JOELHO 45 GRAUS, PVC, SERIE NORMAL, ESGOTO PREDIAL, DN 50 MM, JUNTA ELÁSTICA, FORNECIDO E INSTALADO EM RAMAL DE DESCARGA OU RAMAL DE ESGOTO SANITÁRIO. AF_08/2022</v>
      </c>
      <c r="D40" s="606"/>
      <c r="E40" s="54" t="str">
        <f>'Modelo Planilha Orcamentaria'!E42</f>
        <v>UNID.</v>
      </c>
      <c r="F40" s="55">
        <v>3</v>
      </c>
      <c r="G40" s="80" t="str">
        <f t="shared" si="1"/>
        <v>DADOS RETIRADOS DE PROJETO HIDROSSANITÁRIO</v>
      </c>
    </row>
    <row r="41" spans="1:7" ht="34.950000000000003" customHeight="1" x14ac:dyDescent="0.25">
      <c r="A41" s="45" t="s">
        <v>258</v>
      </c>
      <c r="B41" s="129" t="s">
        <v>354</v>
      </c>
      <c r="C41" s="605" t="str">
        <f>'Modelo Planilha Orcamentaria'!C43:D43</f>
        <v>JOELHO 45 GRAUS, PVC, SERIE NORMAL, ESGOTO PREDIAL, DN 100 MM, JUNTA ELÁSTICA, FORNECIDO E INSTALADO EM RAMAL DE DESCARGA OU RAMAL DE ESGOTO SANITÁRIO. AF_08/2022</v>
      </c>
      <c r="D41" s="606"/>
      <c r="E41" s="54" t="str">
        <f>'Modelo Planilha Orcamentaria'!E43</f>
        <v>UNID.</v>
      </c>
      <c r="F41" s="55">
        <v>1</v>
      </c>
      <c r="G41" s="80" t="str">
        <f t="shared" si="1"/>
        <v>DADOS RETIRADOS DE PROJETO HIDROSSANITÁRIO</v>
      </c>
    </row>
    <row r="42" spans="1:7" ht="34.950000000000003" customHeight="1" x14ac:dyDescent="0.25">
      <c r="A42" s="45" t="s">
        <v>259</v>
      </c>
      <c r="B42" s="129" t="s">
        <v>252</v>
      </c>
      <c r="C42" s="605" t="str">
        <f>'Modelo Planilha Orcamentaria'!C44:D44</f>
        <v>JOELHO 90 GRAUS, PVC, SERIE NORMAL, ESGOTO PREDIAL, DN 40 MM, JUNTA SOLDÁVEL, FORNECIDO E INSTALADO EM RAMAL DE DESCARGA OU RAMAL DE ESGOTO SANITÁRIO. AF_12/2014</v>
      </c>
      <c r="D42" s="606"/>
      <c r="E42" s="54" t="str">
        <f>'Modelo Planilha Orcamentaria'!E44</f>
        <v>UNID.</v>
      </c>
      <c r="F42" s="55">
        <v>8</v>
      </c>
      <c r="G42" s="80" t="str">
        <f>G40</f>
        <v>DADOS RETIRADOS DE PROJETO HIDROSSANITÁRIO</v>
      </c>
    </row>
    <row r="43" spans="1:7" ht="34.950000000000003" customHeight="1" x14ac:dyDescent="0.25">
      <c r="A43" s="45" t="s">
        <v>260</v>
      </c>
      <c r="B43" s="129" t="s">
        <v>254</v>
      </c>
      <c r="C43" s="605" t="str">
        <f>'Modelo Planilha Orcamentaria'!C45:D45</f>
        <v>JOELHO 90 GRAUS, PVC, SERIE NORMAL, ESGOTO PREDIAL, DN 100 MM, JUNTA ELÁSTICA, FORNECIDO E INSTALADO EM RAMAL DE DESCARGA OU RAMAL DE ESGOTO SANITÁRIO. AF_12/2014</v>
      </c>
      <c r="D43" s="606"/>
      <c r="E43" s="54" t="str">
        <f>'Modelo Planilha Orcamentaria'!E45</f>
        <v>UNID.</v>
      </c>
      <c r="F43" s="55">
        <v>8</v>
      </c>
      <c r="G43" s="80" t="str">
        <f>G42</f>
        <v>DADOS RETIRADOS DE PROJETO HIDROSSANITÁRIO</v>
      </c>
    </row>
    <row r="44" spans="1:7" ht="34.950000000000003" customHeight="1" x14ac:dyDescent="0.25">
      <c r="A44" s="45" t="s">
        <v>267</v>
      </c>
      <c r="B44" s="129" t="s">
        <v>358</v>
      </c>
      <c r="C44" s="605" t="str">
        <f>'Modelo Planilha Orcamentaria'!C46:D46</f>
        <v>JUNÇÃO SIMPLES, PVC, SERIE NORMAL, ESGOTO PREDIAL, DN 40 MM, JUNTA SOLDÁVEL, FORNECIDO E INSTALADO EM RAMAL DE DESCARGA OU RAMAL DE ESGOTO SANITÁRIO. AF_08/2022</v>
      </c>
      <c r="D44" s="606"/>
      <c r="E44" s="54" t="str">
        <f>'Modelo Planilha Orcamentaria'!E46</f>
        <v>UNID.</v>
      </c>
      <c r="F44" s="55">
        <v>8</v>
      </c>
      <c r="G44" s="80" t="str">
        <f>G43</f>
        <v>DADOS RETIRADOS DE PROJETO HIDROSSANITÁRIO</v>
      </c>
    </row>
    <row r="45" spans="1:7" ht="34.950000000000003" customHeight="1" x14ac:dyDescent="0.25">
      <c r="A45" s="45" t="s">
        <v>268</v>
      </c>
      <c r="B45" s="129" t="s">
        <v>355</v>
      </c>
      <c r="C45" s="605" t="str">
        <f>'Modelo Planilha Orcamentaria'!C47:D47</f>
        <v>JUNÇÃO SIMPLES, PVC, SERIE NORMAL, ESGOTO PREDIAL, DN 100 X 100 MM, JUNTA ELÁSTICA, FORNECIDO E INSTALADO EM RAMAL DE DESCARGA OU RAMAL DE ESGOTO SANITÁRIO. AF_08/2022</v>
      </c>
      <c r="D45" s="606"/>
      <c r="E45" s="54" t="str">
        <f>'Modelo Planilha Orcamentaria'!E47</f>
        <v>UNID.</v>
      </c>
      <c r="F45" s="55">
        <v>5</v>
      </c>
      <c r="G45" s="80" t="str">
        <f>G44</f>
        <v>DADOS RETIRADOS DE PROJETO HIDROSSANITÁRIO</v>
      </c>
    </row>
    <row r="46" spans="1:7" ht="34.950000000000003" customHeight="1" x14ac:dyDescent="0.25">
      <c r="A46" s="45" t="s">
        <v>269</v>
      </c>
      <c r="B46" s="129" t="s">
        <v>360</v>
      </c>
      <c r="C46" s="605" t="str">
        <f>'Modelo Planilha Orcamentaria'!C48:D48</f>
        <v>JUNÇÃO SIMPLES, PVC, SERIE NORMAL, ESGOTO PREDIAL, DN 100 X 50 MM, JUNTA ELÁSTICA, FORNECIDO E INSTALADO EM PRUMADA DE ESGOTO SANITÁRIO OU VENTILAÇÃO. AF_08/2022</v>
      </c>
      <c r="D46" s="606"/>
      <c r="E46" s="54" t="str">
        <f>'Modelo Planilha Orcamentaria'!E48</f>
        <v>UNID.</v>
      </c>
      <c r="F46" s="55">
        <v>3</v>
      </c>
      <c r="G46" s="80" t="str">
        <f>G45</f>
        <v>DADOS RETIRADOS DE PROJETO HIDROSSANITÁRIO</v>
      </c>
    </row>
    <row r="47" spans="1:7" ht="34.950000000000003" customHeight="1" x14ac:dyDescent="0.25">
      <c r="A47" s="45" t="s">
        <v>270</v>
      </c>
      <c r="B47" s="129" t="s">
        <v>263</v>
      </c>
      <c r="C47" s="605" t="str">
        <f>'Modelo Planilha Orcamentaria'!C49:D49</f>
        <v>LUVA SIMPLES, PVC, SERIE NORMAL, ESGOTO PREDIAL, DN 50 MM, JUNTA ELÁSTICA, FORNECIDO E INSTALADO EM RAMAL DE DESCARGA OU RAMAL DE ESGOTO SANITÁRIO. AF_08/2022</v>
      </c>
      <c r="D47" s="606"/>
      <c r="E47" s="54" t="str">
        <f>'Modelo Planilha Orcamentaria'!E49</f>
        <v>UNID.</v>
      </c>
      <c r="F47" s="55">
        <v>5</v>
      </c>
      <c r="G47" s="80" t="str">
        <f>G46</f>
        <v>DADOS RETIRADOS DE PROJETO HIDROSSANITÁRIO</v>
      </c>
    </row>
    <row r="48" spans="1:7" ht="34.950000000000003" customHeight="1" x14ac:dyDescent="0.25">
      <c r="A48" s="45" t="s">
        <v>271</v>
      </c>
      <c r="B48" s="129" t="s">
        <v>265</v>
      </c>
      <c r="C48" s="605" t="str">
        <f>'Modelo Planilha Orcamentaria'!C50:D50</f>
        <v xml:space="preserve"> LUVA SIMPLES, PVC, SERIE NORMAL, ESGOTO PREDIAL, DN 100 MM, JUNTA ELÁSTICA, FORNECIDO E INSTALADO EM RAMAL DE DESCARGA OU RAMAL DE ESGOTO SANITÁRIO. AF_08/2022</v>
      </c>
      <c r="D48" s="606"/>
      <c r="E48" s="54" t="str">
        <f>'Modelo Planilha Orcamentaria'!E50</f>
        <v>UNID.</v>
      </c>
      <c r="F48" s="55">
        <v>17</v>
      </c>
      <c r="G48" s="80" t="str">
        <f t="shared" ref="G48" si="2">G47</f>
        <v>DADOS RETIRADOS DE PROJETO HIDROSSANITÁRIO</v>
      </c>
    </row>
    <row r="49" spans="1:7" ht="34.950000000000003" customHeight="1" x14ac:dyDescent="0.25">
      <c r="A49" s="45" t="s">
        <v>279</v>
      </c>
      <c r="B49" s="129" t="s">
        <v>272</v>
      </c>
      <c r="C49" s="605" t="str">
        <f>'Modelo Planilha Orcamentaria'!C51:D51</f>
        <v>CAIXA SIFONADA, COM GRELHA QUADRADA, PVC, DN 150 X 150 X 50 MM, JUNTA SOLDÁVEL, FORNECIDA E INSTALADA EM RAMAL DE DESCARGA OU EM RAMAL DE ESGOTO SANITÁRIO. AF_08/2022</v>
      </c>
      <c r="D49" s="606"/>
      <c r="E49" s="54" t="str">
        <f>'Modelo Planilha Orcamentaria'!E51</f>
        <v>UNID.</v>
      </c>
      <c r="F49" s="55">
        <v>5</v>
      </c>
      <c r="G49" s="80" t="str">
        <f>G48</f>
        <v>DADOS RETIRADOS DE PROJETO HIDROSSANITÁRIO</v>
      </c>
    </row>
    <row r="50" spans="1:7" ht="34.950000000000003" customHeight="1" x14ac:dyDescent="0.25">
      <c r="A50" s="45" t="s">
        <v>280</v>
      </c>
      <c r="B50" s="129" t="s">
        <v>274</v>
      </c>
      <c r="C50" s="605" t="str">
        <f>'Modelo Planilha Orcamentaria'!C52:D52</f>
        <v>CAIXA ENTERRADA HIDRÁULICA RETANGULAR EM ALVENARIA COM TIJOLOS CERÂMICOS MACIÇOS, DIMENSÕES INTERNAS: 0,8X0,8X0,6 M PARA REDE DE ESGOTO. AF_ 12/2020</v>
      </c>
      <c r="D50" s="606"/>
      <c r="E50" s="54" t="str">
        <f>'Modelo Planilha Orcamentaria'!E52</f>
        <v>UNID.</v>
      </c>
      <c r="F50" s="55">
        <v>2</v>
      </c>
      <c r="G50" s="80" t="str">
        <f t="shared" ref="G50:G52" si="3">G49</f>
        <v>DADOS RETIRADOS DE PROJETO HIDROSSANITÁRIO</v>
      </c>
    </row>
    <row r="51" spans="1:7" ht="25.05" customHeight="1" x14ac:dyDescent="0.25">
      <c r="A51" s="45" t="s">
        <v>281</v>
      </c>
      <c r="B51" s="58" t="s">
        <v>276</v>
      </c>
      <c r="C51" s="605" t="str">
        <f>'Modelo Planilha Orcamentaria'!C53:D53</f>
        <v>REGISTRO DE ESFERA, TIPO PVC SOLDÁVEL DN 20MM (1/2"),  INCLUSIVE VOLANTE PARA ACIONAMENTO</v>
      </c>
      <c r="D51" s="606"/>
      <c r="E51" s="54" t="str">
        <f>'Modelo Planilha Orcamentaria'!E53</f>
        <v>UNID.</v>
      </c>
      <c r="F51" s="55">
        <v>2</v>
      </c>
      <c r="G51" s="80" t="str">
        <f t="shared" si="3"/>
        <v>DADOS RETIRADOS DE PROJETO HIDROSSANITÁRIO</v>
      </c>
    </row>
    <row r="52" spans="1:7" ht="34.950000000000003" customHeight="1" x14ac:dyDescent="0.25">
      <c r="A52" s="45" t="s">
        <v>282</v>
      </c>
      <c r="B52" s="129" t="s">
        <v>278</v>
      </c>
      <c r="C52" s="605" t="str">
        <f>'Modelo Planilha Orcamentaria'!C54:D54</f>
        <v>CAIXA D´ÁGUA DE POLIETILENO, CAPACIDADE DE 1.000L, INCLUSIVE TAMPA, TORNEIRA DE BOIA, EXTRAVASOR, TUBO DE LIMPEZA E ACESSÓRIOS, EXCLUSIVE TUBULAÇÃO DE ENTRADA/ SAÍDA DE ÁGUA</v>
      </c>
      <c r="D52" s="606"/>
      <c r="E52" s="54" t="str">
        <f>'Modelo Planilha Orcamentaria'!E54</f>
        <v>UNID.</v>
      </c>
      <c r="F52" s="55">
        <v>1</v>
      </c>
      <c r="G52" s="80" t="str">
        <f t="shared" si="3"/>
        <v>DADOS RETIRADOS DE PROJETO HIDROSSANITÁRIO</v>
      </c>
    </row>
    <row r="53" spans="1:7" ht="19.95" customHeight="1" x14ac:dyDescent="0.25">
      <c r="A53" s="78">
        <v>6</v>
      </c>
      <c r="B53" s="53"/>
      <c r="C53" s="603" t="str">
        <f>'Modelo Planilha Orcamentaria'!C55:D55</f>
        <v>PONTOS DE INSTALAÇÕES ELÉTRICAS</v>
      </c>
      <c r="D53" s="604"/>
      <c r="E53" s="53"/>
      <c r="F53" s="53"/>
      <c r="G53" s="79"/>
    </row>
    <row r="54" spans="1:7" ht="34.950000000000003" customHeight="1" x14ac:dyDescent="0.25">
      <c r="A54" s="45" t="s">
        <v>177</v>
      </c>
      <c r="B54" s="129" t="s">
        <v>411</v>
      </c>
      <c r="C54" s="605" t="str">
        <f>'Modelo Planilha Orcamentaria'!C56:D56</f>
        <v>ENTRADA DE ENERGIA AÉREA, TIPO B2, PADRÃO CEMIG, CARGA INSTALADA DE 10,1KW ATÉ 15KW, BIFÁSICO, COM SAÍDA SUBTERRÂNEA, INCLUSIVE POSTE, CAIXA PARA MEDIDOR, DISJUNTOR, BARRAMENTO, ATERRAMENTO E ACESSÓRIOS</v>
      </c>
      <c r="D54" s="606"/>
      <c r="E54" s="54" t="str">
        <f>'Modelo Planilha Orcamentaria'!E56</f>
        <v>UNID.</v>
      </c>
      <c r="F54" s="55">
        <v>1</v>
      </c>
      <c r="G54" s="80" t="s">
        <v>400</v>
      </c>
    </row>
    <row r="55" spans="1:7" s="399" customFormat="1" ht="31.2" customHeight="1" x14ac:dyDescent="0.25">
      <c r="A55" s="45" t="s">
        <v>211</v>
      </c>
      <c r="B55" s="129" t="s">
        <v>561</v>
      </c>
      <c r="C55" s="605" t="str">
        <f>'Modelo Planilha Orcamentaria'!C57:D57</f>
        <v>CABO DE COBRE FLEXÍVEL, CLASSE 5, ISOLAMENTO TIPO LSHF/ATOX, NÃO HALOGENADO, ANTICHAMA, TERMOPLÁSTICO, UNIPOLAR, SEÇÃO 10 MM2, 70°C, 450/750V</v>
      </c>
      <c r="D55" s="606"/>
      <c r="E55" s="54" t="str">
        <f>'Modelo Planilha Orcamentaria'!E57</f>
        <v>M</v>
      </c>
      <c r="F55" s="250">
        <v>30</v>
      </c>
      <c r="G55" s="416" t="s">
        <v>563</v>
      </c>
    </row>
    <row r="56" spans="1:7" ht="25.05" customHeight="1" x14ac:dyDescent="0.25">
      <c r="A56" s="45" t="s">
        <v>212</v>
      </c>
      <c r="B56" s="58" t="s">
        <v>565</v>
      </c>
      <c r="C56" s="605" t="str">
        <f>'Modelo Planilha Orcamentaria'!C58:D58</f>
        <v>ELETRODUTO DE PVC RÍGIDO ROSCÁVEL, DN 25 MM (1"), INCLUSIVE CONEXÕES, SUPORTES E FIXAÇÃO</v>
      </c>
      <c r="D56" s="606"/>
      <c r="E56" s="54" t="str">
        <f>'Modelo Planilha Orcamentaria'!E58</f>
        <v>M</v>
      </c>
      <c r="F56" s="55">
        <f>F55</f>
        <v>30</v>
      </c>
      <c r="G56" s="80" t="s">
        <v>563</v>
      </c>
    </row>
    <row r="57" spans="1:7" ht="31.2" customHeight="1" x14ac:dyDescent="0.25">
      <c r="A57" s="45" t="s">
        <v>213</v>
      </c>
      <c r="B57" s="129" t="s">
        <v>558</v>
      </c>
      <c r="C57" s="616" t="str">
        <f>'Modelo Planilha Orcamentaria'!C59:D59</f>
        <v>CAIXA DE PASSAGEM, DIMENSÃO (30X30)CM, EM CHAPA DE AÇO, TIPO DE EMBUTIR, COM ACABAMENTO EM PINTURA ELETROSTÁTICA E TAMPA CEGA, INCLUSIVE FIXAÇÃO EM ALVENARIA</v>
      </c>
      <c r="D57" s="617"/>
      <c r="E57" s="398" t="str">
        <f>'Modelo Planilha Orcamentaria'!E59</f>
        <v>UNID.</v>
      </c>
      <c r="F57" s="60">
        <v>1</v>
      </c>
      <c r="G57" s="414">
        <v>1</v>
      </c>
    </row>
    <row r="58" spans="1:7" ht="31.2" customHeight="1" x14ac:dyDescent="0.25">
      <c r="A58" s="45" t="s">
        <v>214</v>
      </c>
      <c r="B58" s="129" t="s">
        <v>571</v>
      </c>
      <c r="C58" s="605" t="str">
        <f>'Modelo Planilha Orcamentaria'!C60:D60</f>
        <v>QUADRO DE DISTRIBUIÇÃO DE EMBUTIR EM PVC, PARA 8 DISJUNTORES DIN, INCLUSIVE BARRAMENTOS NEUTRO/TERRA, EXCLUSIVE BARRAMENTO DE FASE</v>
      </c>
      <c r="D58" s="606"/>
      <c r="E58" s="54" t="str">
        <f>'Modelo Planilha Orcamentaria'!E60</f>
        <v>UNID.</v>
      </c>
      <c r="F58" s="7">
        <v>1</v>
      </c>
      <c r="G58" s="415" t="s">
        <v>156</v>
      </c>
    </row>
    <row r="59" spans="1:7" ht="25.05" customHeight="1" x14ac:dyDescent="0.25">
      <c r="A59" s="45" t="s">
        <v>215</v>
      </c>
      <c r="B59" s="58" t="s">
        <v>413</v>
      </c>
      <c r="C59" s="605" t="str">
        <f>'Modelo Planilha Orcamentaria'!C61:D61</f>
        <v>DISJUNTOR BIPOLAR TIPO DIN, CORRENTE NOMINAL DE 63A, FORNECIMENTO E INSTALAÇÃO, INCLUSIVE TERMINAL ILHÓS</v>
      </c>
      <c r="D59" s="606"/>
      <c r="E59" s="54" t="str">
        <f>'Modelo Planilha Orcamentaria'!E61</f>
        <v>UNID.</v>
      </c>
      <c r="F59" s="55">
        <v>1</v>
      </c>
      <c r="G59" s="80" t="s">
        <v>155</v>
      </c>
    </row>
    <row r="60" spans="1:7" ht="34.950000000000003" customHeight="1" x14ac:dyDescent="0.25">
      <c r="A60" s="45" t="s">
        <v>216</v>
      </c>
      <c r="B60" s="58" t="s">
        <v>423</v>
      </c>
      <c r="C60" s="605" t="str">
        <f>'Modelo Planilha Orcamentaria'!C62:D62</f>
        <v>DISJUNTOR MONOPOLAR TIPO DIN, CORRENTE NOMINAL DE 16A, FORNECIMENTO E INSTALAÇÃO, INCLUSIVE TERMINAL ILHÓS</v>
      </c>
      <c r="D60" s="606"/>
      <c r="E60" s="54" t="str">
        <f>'Modelo Planilha Orcamentaria'!E62</f>
        <v>UNID.</v>
      </c>
      <c r="F60" s="55">
        <v>2</v>
      </c>
      <c r="G60" s="80" t="s">
        <v>428</v>
      </c>
    </row>
    <row r="61" spans="1:7" ht="25.05" customHeight="1" x14ac:dyDescent="0.25">
      <c r="A61" s="45" t="s">
        <v>410</v>
      </c>
      <c r="B61" s="58" t="s">
        <v>425</v>
      </c>
      <c r="C61" s="605" t="str">
        <f>'Modelo Planilha Orcamentaria'!C63:D63</f>
        <v>DISJUNTOR MONOPOLAR TIPO DIN, CORRENTE NOMINAL DE 20A, FORNECIMENTO E INSTALAÇÃO, INCLUSIVE TERMINAL ILHÓS</v>
      </c>
      <c r="D61" s="606"/>
      <c r="E61" s="54" t="str">
        <f>'Modelo Planilha Orcamentaria'!E63</f>
        <v>UNID.</v>
      </c>
      <c r="F61" s="55">
        <v>1</v>
      </c>
      <c r="G61" s="80" t="s">
        <v>427</v>
      </c>
    </row>
    <row r="62" spans="1:7" ht="51.6" customHeight="1" x14ac:dyDescent="0.25">
      <c r="A62" s="45" t="s">
        <v>419</v>
      </c>
      <c r="B62" s="129" t="s">
        <v>90</v>
      </c>
      <c r="C62" s="605" t="str">
        <f>'Modelo Planilha Orcamentaria'!C64:D64</f>
        <v>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v>
      </c>
      <c r="D62" s="606"/>
      <c r="E62" s="54" t="str">
        <f>'Modelo Planilha Orcamentaria'!E64</f>
        <v>UNID.</v>
      </c>
      <c r="F62" s="250">
        <v>9</v>
      </c>
      <c r="G62" s="416" t="s">
        <v>719</v>
      </c>
    </row>
    <row r="63" spans="1:7" ht="82.2" customHeight="1" x14ac:dyDescent="0.25">
      <c r="A63" s="45" t="s">
        <v>429</v>
      </c>
      <c r="B63" s="129" t="s">
        <v>416</v>
      </c>
      <c r="C63" s="605" t="str">
        <f>'Modelo Planilha Orcamentaria'!C65:D65</f>
        <v>PONTO DE EMBUTIR PARA UMA (1) TOMADA PADRÃO, TRÊS (3) POLOS (2P+T/10A-250V), COM PLACA 4"X2" DE UM (1) POSTO, COM ELETRODUTO FLEXÍVEL CORRUGADO, ANTI-CHAMA, DN 25MM (3/ 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
      <c r="D63" s="606"/>
      <c r="E63" s="54" t="str">
        <f>'Modelo Planilha Orcamentaria'!E65</f>
        <v>UNID.</v>
      </c>
      <c r="F63" s="250">
        <v>12</v>
      </c>
      <c r="G63" s="416" t="s">
        <v>418</v>
      </c>
    </row>
    <row r="64" spans="1:7" ht="34.950000000000003" customHeight="1" x14ac:dyDescent="0.25">
      <c r="A64" s="45" t="s">
        <v>560</v>
      </c>
      <c r="B64" s="129" t="s">
        <v>378</v>
      </c>
      <c r="C64" s="605" t="str">
        <f>'Modelo Planilha Orcamentaria'!C66:D66</f>
        <v>LUMINÁRIA PLAFON REDONDO DE VIDRO JATEADO REDONDO COMPLETA, DIÂMETRO 25 CM, PARA UMA (1) LÂMPADA LED, POTÊNCIA 15W, BULBO A65, FORNECIMENTO E INSTALAÇÃO, INCLUSIVE BASE E LÂMPADA</v>
      </c>
      <c r="D64" s="606"/>
      <c r="E64" s="54" t="str">
        <f>'Modelo Planilha Orcamentaria'!E66</f>
        <v>UNID.</v>
      </c>
      <c r="F64" s="55">
        <v>9</v>
      </c>
      <c r="G64" s="80" t="s">
        <v>409</v>
      </c>
    </row>
    <row r="65" spans="1:7" ht="25.05" customHeight="1" x14ac:dyDescent="0.25">
      <c r="A65" s="45" t="s">
        <v>564</v>
      </c>
      <c r="B65" s="58" t="s">
        <v>582</v>
      </c>
      <c r="C65" s="605" t="str">
        <f>'Modelo Planilha Orcamentaria'!C67:D67</f>
        <v>LUMINÁRIA ARANDELA RÚSTICA COLONIAL FORNECIMENTO E INSTALAÇÃO INCLUINDO LÂMPADA</v>
      </c>
      <c r="D65" s="606"/>
      <c r="E65" s="54" t="str">
        <f>'Modelo Planilha Orcamentaria'!E67</f>
        <v>UNID.</v>
      </c>
      <c r="F65" s="55">
        <v>16</v>
      </c>
      <c r="G65" s="80" t="s">
        <v>460</v>
      </c>
    </row>
    <row r="66" spans="1:7" ht="19.95" customHeight="1" x14ac:dyDescent="0.25">
      <c r="A66" s="78">
        <v>7</v>
      </c>
      <c r="B66" s="53"/>
      <c r="C66" s="603" t="str">
        <f>'Modelo Planilha Orcamentaria'!C68:D68</f>
        <v xml:space="preserve">REVESTIMENTOS DE PAREDE INT./EXT. E TETO </v>
      </c>
      <c r="D66" s="604"/>
      <c r="E66" s="53"/>
      <c r="F66" s="53"/>
      <c r="G66" s="79"/>
    </row>
    <row r="67" spans="1:7" ht="34.950000000000003" customHeight="1" x14ac:dyDescent="0.25">
      <c r="A67" s="45" t="s">
        <v>178</v>
      </c>
      <c r="B67" s="129" t="s">
        <v>93</v>
      </c>
      <c r="C67" s="605" t="str">
        <f>'Modelo Planilha Orcamentaria'!C69:D69</f>
        <v>CHAPISCO COM ARGAMASSA, TRAÇO 1:3 (CIMENTO E AREIA), ESP . 5MM, APLICADO EM ALVENARIA/ESTRUTURA DE CONCRETO COM COLHER, INCLUSIVE ARGAMASSA COM PREPARO MECANIZADO</v>
      </c>
      <c r="D67" s="606"/>
      <c r="E67" s="54" t="str">
        <f>'Modelo Planilha Orcamentaria'!E69</f>
        <v>M2</v>
      </c>
      <c r="F67" s="55">
        <f>'ANEXO MC ESTRUTURA COMPLEMENTAR'!E99</f>
        <v>151.71200000000002</v>
      </c>
      <c r="G67" s="80" t="str">
        <f>G24</f>
        <v>DADOS RETIRADOS DE ANEXO V - ANEXO À MEMORIAL DE CÁLCULO</v>
      </c>
    </row>
    <row r="68" spans="1:7" ht="34.950000000000003" customHeight="1" x14ac:dyDescent="0.25">
      <c r="A68" s="45" t="s">
        <v>209</v>
      </c>
      <c r="B68" s="129" t="s">
        <v>95</v>
      </c>
      <c r="C68" s="605" t="str">
        <f>'Modelo Planilha Orcamentaria'!C70:D70</f>
        <v>EMBOÇO COM ARGAMASSA, TRAÇO 1:6 (CIMENTO E AREIA), ESP. 20MM, APLICAÇÃO MANUAL, INCLUSIVE ARGAMASSA COM PREPARO MECANIZADO, EXCLUSIVE CHAPISCO</v>
      </c>
      <c r="D68" s="606"/>
      <c r="E68" s="54" t="str">
        <f>'Modelo Planilha Orcamentaria'!E70</f>
        <v>M2</v>
      </c>
      <c r="F68" s="55">
        <f>'ANEXO MC ESTRUTURA COMPLEMENTAR'!E99</f>
        <v>151.71200000000002</v>
      </c>
      <c r="G68" s="80" t="str">
        <f>G67</f>
        <v>DADOS RETIRADOS DE ANEXO V - ANEXO À MEMORIAL DE CÁLCULO</v>
      </c>
    </row>
    <row r="69" spans="1:7" ht="48" customHeight="1" x14ac:dyDescent="0.25">
      <c r="A69" s="45" t="s">
        <v>392</v>
      </c>
      <c r="B69" s="129" t="s">
        <v>382</v>
      </c>
      <c r="C69" s="605" t="str">
        <f>'Modelo Planilha Orcamentaria'!C71:D71</f>
        <v>REVESTIMENTO COM PEDRA SÃO TOMÉ APLICADO EM PAREDE (40X40CM), ESP. 2CM, ACABAMENTO NATURAL, ASSENTAMENTO COM ARGAMASSA INDUSTRIALIZADA, AMBIENTE INTERNO/EXTERNO, ALTURA MÁXIMA DE 3M PARA APLICAÇÃO DA PEDRA, INCLUSIVE REJUNTAMENTO</v>
      </c>
      <c r="D69" s="606"/>
      <c r="E69" s="54" t="str">
        <f>'Modelo Planilha Orcamentaria'!E71</f>
        <v>M2</v>
      </c>
      <c r="F69" s="250">
        <f>'ANEXO MC ESTRUTURA COMPLEMENTAR'!G99</f>
        <v>49.5</v>
      </c>
      <c r="G69" s="416" t="str">
        <f>G68</f>
        <v>DADOS RETIRADOS DE ANEXO V - ANEXO À MEMORIAL DE CÁLCULO</v>
      </c>
    </row>
    <row r="70" spans="1:7" ht="25.05" customHeight="1" x14ac:dyDescent="0.25">
      <c r="A70" s="132" t="s">
        <v>210</v>
      </c>
      <c r="B70" s="129" t="s">
        <v>459</v>
      </c>
      <c r="C70" s="605" t="str">
        <f>'Modelo Planilha Orcamentaria'!C72:D72</f>
        <v>REVESTIMENTO DE GESSO EM TETO, ESP. 5MM, APLICAÇÃO MANUAL, INCLUSIVE ACABAMENTO SARRAFEADO</v>
      </c>
      <c r="D70" s="606"/>
      <c r="E70" s="54" t="str">
        <f>'Modelo Planilha Orcamentaria'!E72</f>
        <v>M2</v>
      </c>
      <c r="F70" s="7">
        <f>'ANEXO MC ESTRUTURA COMPLEMENTAR'!H99</f>
        <v>37.125</v>
      </c>
      <c r="G70" s="415" t="str">
        <f>G69</f>
        <v>DADOS RETIRADOS DE ANEXO V - ANEXO À MEMORIAL DE CÁLCULO</v>
      </c>
    </row>
    <row r="71" spans="1:7" ht="19.95" customHeight="1" x14ac:dyDescent="0.25">
      <c r="A71" s="78">
        <v>8</v>
      </c>
      <c r="B71" s="53"/>
      <c r="C71" s="603" t="str">
        <f>'Modelo Planilha Orcamentaria'!C73:D73</f>
        <v>REVESTIMENTO DE PISO INT. E EXT.</v>
      </c>
      <c r="D71" s="604"/>
      <c r="E71" s="53"/>
      <c r="F71" s="53"/>
      <c r="G71" s="79"/>
    </row>
    <row r="72" spans="1:7" ht="34.950000000000003" customHeight="1" x14ac:dyDescent="0.25">
      <c r="A72" s="132" t="s">
        <v>179</v>
      </c>
      <c r="B72" s="58" t="s">
        <v>98</v>
      </c>
      <c r="C72" s="605" t="str">
        <f>'Modelo Planilha Orcamentaria'!C74:D74</f>
        <v>CONTRAPISO DESEMPENADO COM ARGAMASSA, TRAÇO 1:3 (CIMENTO E AREIA), ESP. 20MM, INCLUSIVE ARGAMASSA COM PREPARO MECANIZADO</v>
      </c>
      <c r="D72" s="606"/>
      <c r="E72" s="54" t="str">
        <f>'Modelo Planilha Orcamentaria'!E74</f>
        <v>M2</v>
      </c>
      <c r="F72" s="55">
        <f>'ANEXO MC ESTRUTURA COMPLEMENTAR'!E119</f>
        <v>37.766000000000005</v>
      </c>
      <c r="G72" s="80" t="str">
        <f>G31</f>
        <v>DADOS RETIRADOS DE PROJETO HIDROSSANITÁRIO</v>
      </c>
    </row>
    <row r="73" spans="1:7" ht="34.950000000000003" customHeight="1" x14ac:dyDescent="0.25">
      <c r="A73" s="45" t="s">
        <v>207</v>
      </c>
      <c r="B73" s="129" t="s">
        <v>169</v>
      </c>
      <c r="C73" s="605" t="str">
        <f>'Modelo Planilha Orcamentaria'!C75:D75</f>
        <v>REVESTIMENTO COM PORCELANATO APLICADO EM PISO, ACABAMENTO POLÍDO, AMBIENTE INTERNO, PADRÃO EXTRA, BORDA RETIFICADA, DIMENSÃO DA PEÇA (60X60CM), ASSENTAMENTO COM ARGAMASSA INDUSTRIALIZADA, INCLUSIVE REJUNTAMENTO</v>
      </c>
      <c r="D73" s="606"/>
      <c r="E73" s="54" t="str">
        <f>'Modelo Planilha Orcamentaria'!E75</f>
        <v>M2</v>
      </c>
      <c r="F73" s="250">
        <f>'ANEXO MC ESTRUTURA COMPLEMENTAR'!G119</f>
        <v>43.127400000000009</v>
      </c>
      <c r="G73" s="80" t="str">
        <f>G32</f>
        <v>DADOS RETIRADOS DE PROJETO HIDROSSANITÁRIO</v>
      </c>
    </row>
    <row r="74" spans="1:7" ht="25.05" customHeight="1" x14ac:dyDescent="0.25">
      <c r="A74" s="132" t="s">
        <v>208</v>
      </c>
      <c r="B74" s="58" t="s">
        <v>478</v>
      </c>
      <c r="C74" s="605" t="str">
        <f>'Modelo Planilha Orcamentaria'!C76:D76</f>
        <v>PASSEIOS DE CONCRETO E = 6 CM, FCK = 10 MPA, JUNTA SECA</v>
      </c>
      <c r="D74" s="606"/>
      <c r="E74" s="54" t="str">
        <f>'Modelo Planilha Orcamentaria'!E76</f>
        <v>M2</v>
      </c>
      <c r="F74" s="250">
        <f>'ANEXO MC ESTRUTURA COMPLEMENTAR'!I119</f>
        <v>22.42</v>
      </c>
      <c r="G74" s="80" t="str">
        <f>G33</f>
        <v>DADOS RETIRADOS DE PROJETO HIDROSSANITÁRIO</v>
      </c>
    </row>
    <row r="75" spans="1:7" ht="25.05" customHeight="1" x14ac:dyDescent="0.25">
      <c r="A75" s="132" t="s">
        <v>480</v>
      </c>
      <c r="B75" s="58" t="s">
        <v>481</v>
      </c>
      <c r="C75" s="605" t="str">
        <f>'Modelo Planilha Orcamentaria'!C77:D77</f>
        <v>PLANTIO DE GRAMA SÃO CARLOS EM PLACAS, INCLUSIVE TERRA VEGETAL E CONSERVAÇÃO POR TRINTA (30) DIAS</v>
      </c>
      <c r="D75" s="606"/>
      <c r="E75" s="54" t="str">
        <f>'Modelo Planilha Orcamentaria'!E77</f>
        <v>M2</v>
      </c>
      <c r="F75" s="250">
        <f>'ANEXO MC ESTRUTURA COMPLEMENTAR'!J119</f>
        <v>10.494</v>
      </c>
      <c r="G75" s="80" t="str">
        <f>G34</f>
        <v>DADOS RETIRADOS DE PROJETO HIDROSSANITÁRIO</v>
      </c>
    </row>
    <row r="76" spans="1:7" ht="19.95" customHeight="1" x14ac:dyDescent="0.25">
      <c r="A76" s="78">
        <v>9</v>
      </c>
      <c r="B76" s="53"/>
      <c r="C76" s="603" t="str">
        <f>'Modelo Planilha Orcamentaria'!C78:D78</f>
        <v>ESQUADRIAS E PEDRAS</v>
      </c>
      <c r="D76" s="604"/>
      <c r="E76" s="53"/>
      <c r="F76" s="53"/>
      <c r="G76" s="79"/>
    </row>
    <row r="77" spans="1:7" ht="41.4" customHeight="1" x14ac:dyDescent="0.25">
      <c r="A77" s="132" t="s">
        <v>180</v>
      </c>
      <c r="B77" s="129" t="s">
        <v>483</v>
      </c>
      <c r="C77" s="605" t="str">
        <f>'Modelo Planilha Orcamentaria'!C79:D79</f>
        <v>PORTA DE MADEIRA COMPLETA, DIMENSÃO (90X210)CM, TIPO DE ABRIR, UMA (1) FOLHA, ACABAMENTO NATURAL PARA PINTURA/ VERNIZ, TIPO PRANCHETA/SARRAFEADA, COM PROTEÇÃO INFERIOR EM REVESTIMENTO DE LAMINADO MELAMÍNICO NAS DUAS (2) FACES, INCLUSIVE MARCO, ALIZAR E FERRAGENS, EXCLUSIVE PINTURA/VERNIZ</v>
      </c>
      <c r="D77" s="606"/>
      <c r="E77" s="54" t="str">
        <f>'Modelo Planilha Orcamentaria'!E79</f>
        <v>UNID.</v>
      </c>
      <c r="F77" s="250">
        <v>4</v>
      </c>
      <c r="G77" s="416" t="s">
        <v>718</v>
      </c>
    </row>
    <row r="78" spans="1:7" ht="34.950000000000003" customHeight="1" x14ac:dyDescent="0.25">
      <c r="A78" s="45" t="s">
        <v>204</v>
      </c>
      <c r="B78" s="129" t="s">
        <v>361</v>
      </c>
      <c r="C78" s="605" t="str">
        <f>'Modelo Planilha Orcamentaria'!C80:D80</f>
        <v>PORTA METÁLICA PARA SANITÁRIO EM CHAPA GALVANIZADA, ESP. 1,25MM (GSG-18), DIMENSÃO (60X150)CM, TIPO DE ABRIR, UMA (1) FOLHA, INCLUSIVE BATENTE, ESTRUTURA EM METALON (20X30)MM, DOBRADIÇA E TRANQUETA, EXCLUSIVE PINTURA</v>
      </c>
      <c r="D78" s="606"/>
      <c r="E78" s="54" t="str">
        <f>'Modelo Planilha Orcamentaria'!E80</f>
        <v>UNID.</v>
      </c>
      <c r="F78" s="250">
        <v>4</v>
      </c>
      <c r="G78" s="416" t="s">
        <v>320</v>
      </c>
    </row>
    <row r="79" spans="1:7" ht="34.950000000000003" customHeight="1" x14ac:dyDescent="0.25">
      <c r="A79" s="45" t="s">
        <v>205</v>
      </c>
      <c r="B79" s="129" t="s">
        <v>362</v>
      </c>
      <c r="C79" s="605" t="str">
        <f>'Modelo Planilha Orcamentaria'!C81:D81</f>
        <v>PORTA METÁLICA PARA SANITÁRIO EM CHAPA GALVANIZADA, ESP. 1,25MM (GSG-18), DIMENSÃO (80X150)CM, TIPO DE ABRIR, UMA (1) FOLHA, INCLUSIVE BATENTE, ESTRUTURA EM METALON (20X30)MM, DOBRADIÇA E TRANQUETA, EXCLUSIVE PINTURA</v>
      </c>
      <c r="D79" s="606"/>
      <c r="E79" s="54" t="str">
        <f>'Modelo Planilha Orcamentaria'!E81</f>
        <v>UNID.</v>
      </c>
      <c r="F79" s="250">
        <v>2</v>
      </c>
      <c r="G79" s="416" t="s">
        <v>317</v>
      </c>
    </row>
    <row r="80" spans="1:7" ht="34.950000000000003" customHeight="1" x14ac:dyDescent="0.25">
      <c r="A80" s="45" t="s">
        <v>206</v>
      </c>
      <c r="B80" s="129" t="str">
        <f>'Modelo Planilha Orcamentaria'!B82</f>
        <v>COMP. 02</v>
      </c>
      <c r="C80" s="605" t="str">
        <f>'Modelo Planilha Orcamentaria'!C82:D82</f>
        <v xml:space="preserve">JANELA DE MADEIRA - CEDRINHO/ANGELIM OU EQUIVALENTE DA REGIÃO - DE ABRIR COM 2 FOLHAS EM GUILHOTINAS PARA VIDRO, COM BATENTE, ALIZAR E FERRAGENS. INCLUSIVE VIDROS COMUM ESP. 4 MM, ACABAMENTO E CONTRAMARCO. FORNECIMENTO E INSTALAÇÃO. </v>
      </c>
      <c r="D80" s="606"/>
      <c r="E80" s="54" t="str">
        <f>'Modelo Planilha Orcamentaria'!E82</f>
        <v>M2</v>
      </c>
      <c r="F80" s="250">
        <f>(1*0.5*3)+(1.5*0.5*2)</f>
        <v>3</v>
      </c>
      <c r="G80" s="416" t="s">
        <v>716</v>
      </c>
    </row>
    <row r="81" spans="1:7" ht="79.8" customHeight="1" x14ac:dyDescent="0.25">
      <c r="A81" s="45" t="s">
        <v>485</v>
      </c>
      <c r="B81" s="129" t="s">
        <v>584</v>
      </c>
      <c r="C81" s="605" t="str">
        <f>'COMP.CUSTO'!C27</f>
        <v>PEITORIL / SOLEIRA DE GRANITO, NA COR AMARELO ORNAMENTAL, COM PINGADEIRA, ESP. 3CM, ACABAMENTO POLIDO, ASSENTAMENTO COM ARGAMASSA INDUSTRIALIZADA, INCLUSIVE REJUNTAMENTO</v>
      </c>
      <c r="D81" s="606"/>
      <c r="E81" s="54" t="str">
        <f>'COMP.CUSTO'!D27</f>
        <v>M2</v>
      </c>
      <c r="F81" s="250">
        <f>(1*0.15*3)+(1.5*0.15*2)+(0.9*0.15*4)</f>
        <v>1.44</v>
      </c>
      <c r="G81" s="416" t="s">
        <v>717</v>
      </c>
    </row>
    <row r="82" spans="1:7" ht="93.6" customHeight="1" x14ac:dyDescent="0.25">
      <c r="A82" s="45" t="s">
        <v>715</v>
      </c>
      <c r="B82" s="58" t="s">
        <v>583</v>
      </c>
      <c r="C82" s="605" t="str">
        <f>'Modelo Planilha Orcamentaria'!C84:D84</f>
        <v>BANCADA EM GRANITO AMARELO ORNAMENTAL E = 3 CM, APOIADA EM CONSOLE DE METALON 20 X 30 MM</v>
      </c>
      <c r="D82" s="606"/>
      <c r="E82" s="54" t="str">
        <f>'Modelo Planilha Orcamentaria'!E84</f>
        <v>M2</v>
      </c>
      <c r="F82" s="7">
        <f>(((2.2*0.6*1)+(2.2*0.1*1)+(0.6*0.1*1)+(2.2*0.07*1)+(0.6*0.07*1))*2)+(1.2*0.6)+(1.2*0.1)+(0.6*0.1*2)+(1.2*0.07)</f>
        <v>4.6360000000000001</v>
      </c>
      <c r="G82" s="415" t="s">
        <v>732</v>
      </c>
    </row>
    <row r="83" spans="1:7" ht="25.05" customHeight="1" x14ac:dyDescent="0.25">
      <c r="A83" s="45" t="s">
        <v>733</v>
      </c>
      <c r="B83" s="44" t="s">
        <v>299</v>
      </c>
      <c r="C83" s="605" t="str">
        <f>'Modelo Planilha Orcamentaria'!C85:D85</f>
        <v xml:space="preserve">FURO DE BOJO EM BANCADA DE GRANITO/MÁRMORE, INCLUSIVE COLAGEM COM MASSA PLÁSTICA </v>
      </c>
      <c r="D83" s="606"/>
      <c r="E83" s="54" t="str">
        <f>'Modelo Planilha Orcamentaria'!E85</f>
        <v>UNID.</v>
      </c>
      <c r="F83" s="250">
        <v>6</v>
      </c>
      <c r="G83" s="416" t="s">
        <v>315</v>
      </c>
    </row>
    <row r="84" spans="1:7" ht="63" customHeight="1" x14ac:dyDescent="0.25">
      <c r="A84" s="45" t="s">
        <v>740</v>
      </c>
      <c r="B84" s="129" t="s">
        <v>585</v>
      </c>
      <c r="C84" s="616" t="str">
        <f>'COMP.CUSTO'!C46</f>
        <v>DIVISÓRIA EM GRANITO AMARELO ORNAMENTAL, ESP. 3CM, INCLUSIVE INSTALAÇÃO, FERRAGENS EM LATÃO CROMADO E ACESSÓRIOS</v>
      </c>
      <c r="D84" s="617"/>
      <c r="E84" s="398" t="str">
        <f>'Modelo Planilha Orcamentaria'!E86</f>
        <v>M2</v>
      </c>
      <c r="F84" s="251">
        <f>(0.3*2)+((2.35*2)+(0.4*3)+(0.2+2.8))*2</f>
        <v>18.400000000000002</v>
      </c>
      <c r="G84" s="417" t="s">
        <v>731</v>
      </c>
    </row>
    <row r="86" spans="1:7" ht="15" customHeight="1" x14ac:dyDescent="0.25">
      <c r="A86" s="40">
        <v>10</v>
      </c>
      <c r="B86" s="36"/>
      <c r="C86" s="603" t="str">
        <f>'Modelo Planilha Orcamentaria'!C87:D87</f>
        <v>LOUÇAS, METAIS E ACESSÓRIOS</v>
      </c>
      <c r="D86" s="604"/>
      <c r="E86" s="53"/>
      <c r="F86" s="53"/>
      <c r="G86" s="79"/>
    </row>
    <row r="87" spans="1:7" ht="46.2" customHeight="1" x14ac:dyDescent="0.25">
      <c r="A87" s="45" t="s">
        <v>181</v>
      </c>
      <c r="B87" s="129" t="s">
        <v>100</v>
      </c>
      <c r="C87" s="605" t="str">
        <f>'Modelo Planilha Orcamentaria'!C88:D88</f>
        <v>LAVATÓRIO DE LOUÇA BRANCA COM COLUNA SUSPENSA, TAMANHO MÉDIO, INCLUSIVE ACESSÓRIOS DE FIXAÇÃO, VÁLVULA DE ESCOAMENTO DE METAL COM ACABAMENTO CROMADO, SIFÃO DE METAL TIPO COPO COM ACABAMENTO CROMADO, FORNECIMENTO, INSTALAÇÃO E REJUNTAMENTO, EXCLUSIVE TORNEIRA E ENGATE FLEXÍVEL</v>
      </c>
      <c r="D87" s="606"/>
      <c r="E87" s="54" t="str">
        <f>'Modelo Planilha Orcamentaria'!E88</f>
        <v>UNID.</v>
      </c>
      <c r="F87" s="250">
        <v>1</v>
      </c>
      <c r="G87" s="416" t="s">
        <v>487</v>
      </c>
    </row>
    <row r="88" spans="1:7" ht="34.950000000000003" customHeight="1" x14ac:dyDescent="0.25">
      <c r="A88" s="45" t="s">
        <v>192</v>
      </c>
      <c r="B88" s="129" t="s">
        <v>297</v>
      </c>
      <c r="C88" s="605" t="str">
        <f>'Modelo Planilha Orcamentaria'!C89:D89</f>
        <v>CUBA DE LOUÇA BRANCA DE EMBUTIR, FORMATO OVAL, INCLUSIVE VÁLVULA DE ESCOAMENTO DE METAL COM ACABAMENTO CROMADO, SIFÃO DE METAL TIPO COPO COM ACABAMENTO CROMADO, FORNECIMENTO E INSTALAÇÃO</v>
      </c>
      <c r="D88" s="606"/>
      <c r="E88" s="54" t="str">
        <f>'Modelo Planilha Orcamentaria'!E89</f>
        <v>UNID.</v>
      </c>
      <c r="F88" s="250">
        <v>6</v>
      </c>
      <c r="G88" s="416" t="s">
        <v>315</v>
      </c>
    </row>
    <row r="89" spans="1:7" ht="25.05" customHeight="1" x14ac:dyDescent="0.25">
      <c r="A89" s="45" t="s">
        <v>193</v>
      </c>
      <c r="B89" s="44" t="s">
        <v>310</v>
      </c>
      <c r="C89" s="605" t="str">
        <f>'Modelo Planilha Orcamentaria'!C90:D90</f>
        <v>MICTÓRIO SIFONADO DE LOUÇA BRANCA, INCLUSIVE ENGATE FLEXÍVEL, EXCLUSIVE VÁLVULA DE DESCARGA</v>
      </c>
      <c r="D89" s="606"/>
      <c r="E89" s="54" t="str">
        <f>'Modelo Planilha Orcamentaria'!E90</f>
        <v>UNID.</v>
      </c>
      <c r="F89" s="250">
        <v>3</v>
      </c>
      <c r="G89" s="416" t="s">
        <v>316</v>
      </c>
    </row>
    <row r="90" spans="1:7" ht="25.05" customHeight="1" x14ac:dyDescent="0.25">
      <c r="A90" s="45" t="s">
        <v>194</v>
      </c>
      <c r="B90" s="44" t="s">
        <v>312</v>
      </c>
      <c r="C90" s="605" t="str">
        <f>'Modelo Planilha Orcamentaria'!C91:D91</f>
        <v>VÁLVULA DE DESCARGA METÁLICA PARA MICTÓRIO COM FECHAMENTO AUTOMÁTICO, EXCLUSIVE MICTÓRIO</v>
      </c>
      <c r="D90" s="606"/>
      <c r="E90" s="54" t="str">
        <f>'Modelo Planilha Orcamentaria'!E91</f>
        <v>UNID.</v>
      </c>
      <c r="F90" s="250">
        <v>3</v>
      </c>
      <c r="G90" s="416" t="s">
        <v>316</v>
      </c>
    </row>
    <row r="91" spans="1:7" ht="34.950000000000003" customHeight="1" x14ac:dyDescent="0.25">
      <c r="A91" s="45" t="s">
        <v>195</v>
      </c>
      <c r="B91" s="129" t="s">
        <v>101</v>
      </c>
      <c r="C91" s="605" t="str">
        <f>'Modelo Planilha Orcamentaria'!C92:D92</f>
        <v>BACIA SANITÁRIA (VASO) DE LOUÇA COM CAIXA ACOPLADA, COR BRANCA, INCLUSIVE ACESSÓRIOS DE FIXAÇÃO/VEDAÇÃO, ENGATE FLEXÍVEL METÁLICO, FORNECIMENTO, INSTALAÇÃO E REJUNTAMENTO</v>
      </c>
      <c r="D91" s="606"/>
      <c r="E91" s="54" t="str">
        <f>'Modelo Planilha Orcamentaria'!E92</f>
        <v>UNID.</v>
      </c>
      <c r="F91" s="250">
        <v>5</v>
      </c>
      <c r="G91" s="416" t="s">
        <v>507</v>
      </c>
    </row>
    <row r="92" spans="1:7" ht="25.05" customHeight="1" x14ac:dyDescent="0.25">
      <c r="A92" s="45" t="s">
        <v>196</v>
      </c>
      <c r="B92" s="44" t="s">
        <v>103</v>
      </c>
      <c r="C92" s="605" t="str">
        <f>'Modelo Planilha Orcamentaria'!C93:D93</f>
        <v>ASSENTO BRANCO PARA VASO</v>
      </c>
      <c r="D92" s="606"/>
      <c r="E92" s="54" t="str">
        <f>'Modelo Planilha Orcamentaria'!E93</f>
        <v>UNID.</v>
      </c>
      <c r="F92" s="250">
        <v>5</v>
      </c>
      <c r="G92" s="416" t="s">
        <v>507</v>
      </c>
    </row>
    <row r="93" spans="1:7" ht="64.2" customHeight="1" x14ac:dyDescent="0.25">
      <c r="A93" s="45" t="s">
        <v>197</v>
      </c>
      <c r="B93" s="129" t="s">
        <v>505</v>
      </c>
      <c r="C93" s="605" t="str">
        <f>'Modelo Planilha Orcamentaria'!C94:D94</f>
        <v>BACIA SANITÁRIA (VASO) DE LOUÇA CONVENCIONAL, ACESSÍVEL (PCR/PMR), COR BRANCA, COM INSTALAÇÃO DE SÓCULO NA BASE DA BACIA ACOMPANHANDO A PROJEÇÃO DA BASE, NÃO ULTRAPASSANDO ALTURA DE 5CM, ALTURA MÁXIMA DE 46CM (BACIA+ASSENTO), INCLUSIVE ACESSÓRIOS DE FIXAÇÃO/ VEDAÇÃO, VÁLVULA DE DESCARGA METÁLICA COM ACIONAMENTO DUPLO, TUBO DE LIGAÇÃO DE LATÃO COM CANOPLA, FORNECIMENTO, INSTALAÇÃO E REJUNTAMENTO, EXCLUSIVE ASSENTO</v>
      </c>
      <c r="D93" s="606"/>
      <c r="E93" s="54" t="str">
        <f>'Modelo Planilha Orcamentaria'!E94</f>
        <v>UNID.</v>
      </c>
      <c r="F93" s="250">
        <v>2</v>
      </c>
      <c r="G93" s="416" t="s">
        <v>317</v>
      </c>
    </row>
    <row r="94" spans="1:7" ht="25.05" customHeight="1" x14ac:dyDescent="0.25">
      <c r="A94" s="45" t="s">
        <v>198</v>
      </c>
      <c r="B94" s="44" t="s">
        <v>508</v>
      </c>
      <c r="C94" s="605" t="str">
        <f>'Modelo Planilha Orcamentaria'!C95:D95</f>
        <v>ASSENTO PARA VASO PNE (NBR 9050)</v>
      </c>
      <c r="D94" s="606"/>
      <c r="E94" s="54" t="str">
        <f>'Modelo Planilha Orcamentaria'!E95</f>
        <v>UNID.</v>
      </c>
      <c r="F94" s="250">
        <v>2</v>
      </c>
      <c r="G94" s="416" t="s">
        <v>317</v>
      </c>
    </row>
    <row r="95" spans="1:7" ht="34.950000000000003" customHeight="1" x14ac:dyDescent="0.25">
      <c r="A95" s="45" t="s">
        <v>199</v>
      </c>
      <c r="B95" s="129" t="s">
        <v>510</v>
      </c>
      <c r="C95" s="605" t="str">
        <f>'Modelo Planilha Orcamentaria'!C96:D96</f>
        <v>TORNEIRA METÁLICA PARA LAVATÓRIO, FECHAMENTO AUTOMÁTICO, ACABAMENTO CROMADO, COM AREJADOR, APLICAÇÃO DE MESA, INCLUSIVE ENGATE FLEXÍVEL METÁLICO, FORNECIMENTO E INSTALAÇÃO</v>
      </c>
      <c r="D95" s="606"/>
      <c r="E95" s="54" t="str">
        <f>'Modelo Planilha Orcamentaria'!E96</f>
        <v>UNID.</v>
      </c>
      <c r="F95" s="250">
        <v>7</v>
      </c>
      <c r="G95" s="416" t="s">
        <v>512</v>
      </c>
    </row>
    <row r="96" spans="1:7" ht="25.05" customHeight="1" x14ac:dyDescent="0.25">
      <c r="A96" s="45" t="s">
        <v>200</v>
      </c>
      <c r="B96" s="44" t="s">
        <v>306</v>
      </c>
      <c r="C96" s="605" t="str">
        <f>'Modelo Planilha Orcamentaria'!C97:D97</f>
        <v>SABONETEIRA PLASTICA TIPO DISPENSER PARA SABONETE LIQUIDO COM RESERVATORIO 800 ML</v>
      </c>
      <c r="D96" s="606"/>
      <c r="E96" s="54" t="str">
        <f>'Modelo Planilha Orcamentaria'!E97</f>
        <v>UNID.</v>
      </c>
      <c r="F96" s="250">
        <v>5</v>
      </c>
      <c r="G96" s="416" t="s">
        <v>507</v>
      </c>
    </row>
    <row r="97" spans="1:7" ht="25.05" customHeight="1" x14ac:dyDescent="0.25">
      <c r="A97" s="45" t="s">
        <v>201</v>
      </c>
      <c r="B97" s="58" t="s">
        <v>308</v>
      </c>
      <c r="C97" s="605" t="str">
        <f>'Modelo Planilha Orcamentaria'!C98:D98</f>
        <v>DISPENSER PARA GEL/ÁLCOOL COM RESERVATORIO 800 ML</v>
      </c>
      <c r="D97" s="606"/>
      <c r="E97" s="54" t="str">
        <f>'Modelo Planilha Orcamentaria'!E98</f>
        <v>UNID.</v>
      </c>
      <c r="F97" s="250">
        <v>3</v>
      </c>
      <c r="G97" s="416" t="s">
        <v>513</v>
      </c>
    </row>
    <row r="98" spans="1:7" ht="61.2" customHeight="1" x14ac:dyDescent="0.25">
      <c r="A98" s="45" t="s">
        <v>202</v>
      </c>
      <c r="B98" s="58" t="s">
        <v>319</v>
      </c>
      <c r="C98" s="605" t="str">
        <f>'Modelo Planilha Orcamentaria'!C99:D99</f>
        <v>PAPELEIRA PLASTICA TIPO DISPENSER PARA PAPEL HIGIENICO ROLAO</v>
      </c>
      <c r="D98" s="606"/>
      <c r="E98" s="54" t="str">
        <f>'Modelo Planilha Orcamentaria'!E99</f>
        <v>UNID.</v>
      </c>
      <c r="F98" s="250">
        <f>7+3</f>
        <v>10</v>
      </c>
      <c r="G98" s="416" t="s">
        <v>514</v>
      </c>
    </row>
    <row r="99" spans="1:7" ht="34.950000000000003" customHeight="1" x14ac:dyDescent="0.25">
      <c r="A99" s="45" t="s">
        <v>203</v>
      </c>
      <c r="B99" s="129" t="s">
        <v>105</v>
      </c>
      <c r="C99" s="605" t="str">
        <f>'Modelo Planilha Orcamentaria'!C100:D100</f>
        <v>ESPELHO CRISTAL, DIMENSÃO (40X60)CM, COM ESP. 4MM, EM ACABAMENTO LAPIDADO, INCLUSIVE FIXAÇÃO COM PARAFUSO TIPO FINESSON, FORNECIMENTO E INSTALAÇÃO</v>
      </c>
      <c r="D99" s="606"/>
      <c r="E99" s="54" t="str">
        <f>'Modelo Planilha Orcamentaria'!E100</f>
        <v>UNID.</v>
      </c>
      <c r="F99" s="250">
        <v>7</v>
      </c>
      <c r="G99" s="416" t="s">
        <v>512</v>
      </c>
    </row>
    <row r="100" spans="1:7" ht="34.950000000000003" customHeight="1" x14ac:dyDescent="0.25">
      <c r="A100" s="45" t="s">
        <v>309</v>
      </c>
      <c r="B100" s="129" t="s">
        <v>301</v>
      </c>
      <c r="C100" s="605" t="str">
        <f>'Modelo Planilha Orcamentaria'!C101:D101</f>
        <v>BARRA DE APOIO EM AÇO INOX POLIDO RETA, DN 1.1/4" (31,75MM), PARA ACESSIBILIDADE (PMR/PCR), COMPRIMENTO 90CM, INSTALADO EM PAREDE, INCLUSIVE FORNECIMENTO, INSTALAÇÃO E ACESSÓRIOS PARA FIXAÇÃO</v>
      </c>
      <c r="D100" s="606"/>
      <c r="E100" s="54" t="str">
        <f>'Modelo Planilha Orcamentaria'!E101</f>
        <v>UNID.</v>
      </c>
      <c r="F100" s="250">
        <v>4</v>
      </c>
      <c r="G100" s="416" t="s">
        <v>320</v>
      </c>
    </row>
    <row r="101" spans="1:7" ht="34.950000000000003" customHeight="1" x14ac:dyDescent="0.25">
      <c r="A101" s="45" t="s">
        <v>314</v>
      </c>
      <c r="B101" s="129" t="s">
        <v>303</v>
      </c>
      <c r="C101" s="605" t="str">
        <f>'Modelo Planilha Orcamentaria'!C102:D102</f>
        <v>BARRA DE APOIO EM AÇO INOX POLIDO RETA, DN 1.1/4" (31,75MM) , PARA ACESSIBILIDADE (PMR/PCR), COMPRIMENTO 40CM, INSTALADO EM PORTA/PAREDE, INCLUSIVE FORNECIMENTO, INSTALAÇÃO E ACESSÓRIOS PARA FIXAÇÃO</v>
      </c>
      <c r="D101" s="606"/>
      <c r="E101" s="54" t="str">
        <f>'Modelo Planilha Orcamentaria'!E102</f>
        <v>UNID.</v>
      </c>
      <c r="F101" s="250">
        <v>4</v>
      </c>
      <c r="G101" s="416" t="s">
        <v>320</v>
      </c>
    </row>
    <row r="102" spans="1:7" ht="15" customHeight="1" x14ac:dyDescent="0.25">
      <c r="A102" s="40">
        <v>11</v>
      </c>
      <c r="B102" s="36"/>
      <c r="C102" s="603" t="str">
        <f>'Modelo Planilha Orcamentaria'!C103:D103</f>
        <v>PINTURA</v>
      </c>
      <c r="D102" s="604"/>
      <c r="E102" s="53"/>
      <c r="F102" s="53"/>
      <c r="G102" s="79"/>
    </row>
    <row r="103" spans="1:7" ht="25.05" customHeight="1" x14ac:dyDescent="0.25">
      <c r="A103" s="45" t="s">
        <v>182</v>
      </c>
      <c r="B103" s="44" t="s">
        <v>384</v>
      </c>
      <c r="C103" s="605" t="str" cm="1">
        <f t="array" ref="C103:D103">'Modelo Planilha Orcamentaria'!C104:D104</f>
        <v>PINTURA COM VERNIZ ACRÍLICO EM ALVENARIA OU CONCRETO, DUAS (2) DEMÃOS, INCLUSIVE PREPARAÇÃO DA SUPERFÍCIE COM LIXAMENTO</v>
      </c>
      <c r="D103" s="606">
        <v>0</v>
      </c>
      <c r="E103" s="54" t="str">
        <f>'Modelo Planilha Orcamentaria'!E104</f>
        <v>M2</v>
      </c>
      <c r="F103" s="250">
        <f>'ANEXO MC ESTRUTURA COMPLEMENTAR'!E153</f>
        <v>245.61</v>
      </c>
      <c r="G103" s="416" t="s">
        <v>157</v>
      </c>
    </row>
    <row r="104" spans="1:7" ht="25.05" customHeight="1" x14ac:dyDescent="0.25">
      <c r="A104" s="45" t="s">
        <v>187</v>
      </c>
      <c r="B104" s="44" t="s">
        <v>737</v>
      </c>
      <c r="C104" s="605" t="str" cm="1">
        <f t="array" ref="C104:D104">'Modelo Planilha Orcamentaria'!C105:D105</f>
        <v>PINTURA COM TEXTURA ACRÍLICA COM DESEMPENADEIRA DE AÇO, EXCLUSIVE SELADOR ACRÍLICO/FUNDO PREPARADOR</v>
      </c>
      <c r="D104" s="606">
        <v>0</v>
      </c>
      <c r="E104" s="54" t="str">
        <f>'Modelo Planilha Orcamentaria'!E105</f>
        <v>M2</v>
      </c>
      <c r="F104" s="250">
        <f>'ANEXO MC ESTRUTURA COMPLEMENTAR'!F153</f>
        <v>77.86</v>
      </c>
      <c r="G104" s="416" t="s">
        <v>157</v>
      </c>
    </row>
    <row r="105" spans="1:7" ht="25.05" customHeight="1" x14ac:dyDescent="0.25">
      <c r="A105" s="45" t="s">
        <v>188</v>
      </c>
      <c r="B105" s="44" t="s">
        <v>158</v>
      </c>
      <c r="C105" s="605" t="str">
        <f>'Modelo Planilha Orcamentaria'!C106:D106</f>
        <v>PINTURA ACRÍLICA EM PAREDE, DUAS (2) DEMÃOS, INCLUSIVE UMA (1) DEMÃO DE MASSA CORRIDA (PVA), EXCLUSIVE SELADOR ACRÍLICO</v>
      </c>
      <c r="D105" s="606"/>
      <c r="E105" s="54" t="str">
        <f>'Modelo Planilha Orcamentaria'!E106</f>
        <v>M2</v>
      </c>
      <c r="F105" s="250">
        <f>'ANEXO MC ESTRUTURA COMPLEMENTAR'!G153</f>
        <v>88.42</v>
      </c>
      <c r="G105" s="416" t="str">
        <f>G103</f>
        <v>DADOS RETIRADOS DE ANEXO V - ANEXO À MEMORIAL DE CÁLCULO</v>
      </c>
    </row>
    <row r="106" spans="1:7" ht="25.05" customHeight="1" x14ac:dyDescent="0.25">
      <c r="A106" s="45" t="s">
        <v>189</v>
      </c>
      <c r="B106" s="44" t="s">
        <v>386</v>
      </c>
      <c r="C106" s="605" t="str">
        <f>'Modelo Planilha Orcamentaria'!C107:D107</f>
        <v>EMASSAMENTO EM TETO COM MASSA ACRÍLICA, UMA (1) DEMÃO, INCLUSIVE LIXAMENTO PARA PINTURA</v>
      </c>
      <c r="D106" s="606"/>
      <c r="E106" s="54" t="str">
        <f>'Modelo Planilha Orcamentaria'!E107</f>
        <v>M2</v>
      </c>
      <c r="F106" s="250">
        <f>'ANEXO MC ESTRUTURA COMPLEMENTAR'!H153</f>
        <v>33.75</v>
      </c>
      <c r="G106" s="416" t="str">
        <f>G105</f>
        <v>DADOS RETIRADOS DE ANEXO V - ANEXO À MEMORIAL DE CÁLCULO</v>
      </c>
    </row>
    <row r="107" spans="1:7" ht="25.05" customHeight="1" x14ac:dyDescent="0.25">
      <c r="A107" s="45" t="s">
        <v>190</v>
      </c>
      <c r="B107" s="44" t="s">
        <v>160</v>
      </c>
      <c r="C107" s="605" t="str">
        <f>'Modelo Planilha Orcamentaria'!C108:D108</f>
        <v>PINTURA LÁTEX (PVA) EM TETO, DUAS (2) DEMÃOS, EXCLUSIVE SELADOR ACRÍLICO E MASSA ACRÍLICA/CORRIDA (PVA)</v>
      </c>
      <c r="D107" s="606"/>
      <c r="E107" s="54" t="str">
        <f>'Modelo Planilha Orcamentaria'!E108</f>
        <v>M2</v>
      </c>
      <c r="F107" s="250">
        <f>'ANEXO MC ESTRUTURA COMPLEMENTAR'!H153</f>
        <v>33.75</v>
      </c>
      <c r="G107" s="416" t="str">
        <f>G106</f>
        <v>DADOS RETIRADOS DE ANEXO V - ANEXO À MEMORIAL DE CÁLCULO</v>
      </c>
    </row>
    <row r="108" spans="1:7" ht="34.950000000000003" customHeight="1" x14ac:dyDescent="0.25">
      <c r="A108" s="45" t="s">
        <v>191</v>
      </c>
      <c r="B108" s="44" t="s">
        <v>108</v>
      </c>
      <c r="C108" s="605" t="str">
        <f>'Modelo Planilha Orcamentaria'!C109:D109</f>
        <v>PINTURA COM VERNIZ SINTÉTICO MARÍTIMO EM ESQUADRIAS DE MADEIRA, DUAS (2) DEMÃOS, ACABAMENTO TIPO ACETINADO ( BRILHO SÚTIL)</v>
      </c>
      <c r="D108" s="606"/>
      <c r="E108" s="54" t="str">
        <f>'Modelo Planilha Orcamentaria'!E109</f>
        <v>M2</v>
      </c>
      <c r="F108" s="250">
        <f>'ANEXO MC ESTRUTURA COMPLEMENTAR'!K153</f>
        <v>22.12</v>
      </c>
      <c r="G108" s="416" t="s">
        <v>394</v>
      </c>
    </row>
    <row r="109" spans="1:7" ht="34.950000000000003" customHeight="1" x14ac:dyDescent="0.25">
      <c r="A109" s="45" t="s">
        <v>739</v>
      </c>
      <c r="B109" s="44" t="s">
        <v>80</v>
      </c>
      <c r="C109" s="605" t="str">
        <f>'Modelo Planilha Orcamentaria'!C110:D110</f>
        <v>PINTURA ESMALTE EM ESTRUTURA METÁLICA, DUAS (2) DEMÃOS, INCLUSIVE UMA (1) DEMÃO FUNDO ANTICORROSIVO</v>
      </c>
      <c r="D109" s="606"/>
      <c r="E109" s="54" t="str">
        <f>'Modelo Planilha Orcamentaria'!E110</f>
        <v>M2</v>
      </c>
      <c r="F109" s="250">
        <f>'ANEXO MC ESTRUTURA COMPLEMENTAR'!L153</f>
        <v>17.64</v>
      </c>
      <c r="G109" s="416" t="s">
        <v>393</v>
      </c>
    </row>
    <row r="110" spans="1:7" ht="15" customHeight="1" x14ac:dyDescent="0.25">
      <c r="A110" s="40">
        <v>12</v>
      </c>
      <c r="B110" s="36"/>
      <c r="C110" s="603" t="str">
        <f>'Modelo Planilha Orcamentaria'!C111:D111</f>
        <v xml:space="preserve">COBERTURA </v>
      </c>
      <c r="D110" s="604"/>
      <c r="E110" s="53"/>
      <c r="F110" s="53"/>
      <c r="G110" s="79"/>
    </row>
    <row r="111" spans="1:7" ht="34.950000000000003" customHeight="1" x14ac:dyDescent="0.25">
      <c r="A111" s="45" t="s">
        <v>183</v>
      </c>
      <c r="B111" s="44" t="s">
        <v>330</v>
      </c>
      <c r="C111" s="605" t="str">
        <f>'Modelo Planilha Orcamentaria'!C112:D112</f>
        <v>ENGRADAMENTO EM MADEIRA PARAJU OU EQUIVALENTE, PARA TELHAS CERÂMICAS OU DE CONCRETO, EXCLUSIVE TELHAS</v>
      </c>
      <c r="D111" s="606"/>
      <c r="E111" s="54" t="str">
        <f>'Modelo Planilha Orcamentaria'!E112</f>
        <v>M2</v>
      </c>
      <c r="F111" s="60">
        <f>(8.2*3.7*1.3)*2</f>
        <v>78.884</v>
      </c>
      <c r="G111" s="414" t="s">
        <v>534</v>
      </c>
    </row>
    <row r="112" spans="1:7" ht="34.950000000000003" customHeight="1" x14ac:dyDescent="0.25">
      <c r="A112" s="45" t="s">
        <v>184</v>
      </c>
      <c r="B112" s="44" t="s">
        <v>332</v>
      </c>
      <c r="C112" s="605" t="str">
        <f>'Modelo Planilha Orcamentaria'!C113:D113</f>
        <v>COBERTURA EM TELHA CERÂMICA, TIPO COLONIAL, INCLUSIVE FIXAÇÃO, EXCLUSIVE ENGRADAMENTO E MANTA ISOLANTE/ TÉRMICA</v>
      </c>
      <c r="D112" s="606"/>
      <c r="E112" s="54" t="str">
        <f>'Modelo Planilha Orcamentaria'!E113</f>
        <v>M2</v>
      </c>
      <c r="F112" s="60">
        <f>F111</f>
        <v>78.884</v>
      </c>
      <c r="G112" s="414" t="str">
        <f>G111</f>
        <v xml:space="preserve">8,20 x 3,70 x 2,00 x 30,00% &gt; COMP. X LARG. X QUANT. X INCLINAÇÃO - TELHADO INDICADO EM PROJETO </v>
      </c>
    </row>
    <row r="113" spans="1:7" ht="34.950000000000003" customHeight="1" x14ac:dyDescent="0.25">
      <c r="A113" s="45" t="s">
        <v>185</v>
      </c>
      <c r="B113" s="44" t="s">
        <v>334</v>
      </c>
      <c r="C113" s="605" t="str">
        <f>'Modelo Planilha Orcamentaria'!C114:D114</f>
        <v>CUMEEIRA PARA TELHA CERÂMICA, INCLUSIVE EMBOÇAMENTO COM ARGAMASSA, TRAÇO 1:2:9 (CIMENTO, CAL E AREIA), COM PREPARO MECANIZADO</v>
      </c>
      <c r="D113" s="606"/>
      <c r="E113" s="54" t="str">
        <f>'Modelo Planilha Orcamentaria'!E114</f>
        <v>M</v>
      </c>
      <c r="F113" s="60">
        <f>(2.5+2.5+2.5+2.5+4.5)*2</f>
        <v>29</v>
      </c>
      <c r="G113" s="414" t="s">
        <v>535</v>
      </c>
    </row>
    <row r="114" spans="1:7" ht="47.4" customHeight="1" x14ac:dyDescent="0.25">
      <c r="A114" s="45" t="s">
        <v>186</v>
      </c>
      <c r="B114" s="391" t="s">
        <v>586</v>
      </c>
      <c r="C114" s="605" t="str">
        <f>'Modelo Planilha Orcamentaria'!C115:D115</f>
        <v>FORNECIMENTO DE ESTRUTURA METÁLICA E ENGRADAMENTO METÁLICO, EM AÇO, PARA TELHA METÁLICA, EXCLUSIVE TELHA, INCLUSIVE FABRICAÇÃO, TRANSPORTE, MONTAGEM E E APLICAÇÃO DE FUNDO PREPARADOR ANTICORROSIVO, UMA (1) DEMÃO E PINTURA ESMALTE, DUAS (2) DEMÃOS</v>
      </c>
      <c r="D114" s="606"/>
      <c r="E114" s="54" t="str">
        <f>'Modelo Planilha Orcamentaria'!E115</f>
        <v>M2</v>
      </c>
      <c r="F114" s="60">
        <f>1.8*1.5*1.1</f>
        <v>2.9700000000000006</v>
      </c>
      <c r="G114" s="414" t="s">
        <v>346</v>
      </c>
    </row>
    <row r="115" spans="1:7" ht="34.950000000000003" customHeight="1" x14ac:dyDescent="0.25">
      <c r="A115" s="45" t="s">
        <v>227</v>
      </c>
      <c r="B115" s="44" t="s">
        <v>336</v>
      </c>
      <c r="C115" s="605" t="str">
        <f>'Modelo Planilha Orcamentaria'!C116:D116</f>
        <v>COBERTURA EM TELHA METÁLICA GALVANIZADA TRAPEZOIDAL, TIPO SIMPLES, ESP. 0,50MM, ACABAMENTO NATURAL, INCLUSIVE ACESSÓRIOS PARA FIXAÇÃO, FORNECIMENTO E INSTALAÇÃO</v>
      </c>
      <c r="D115" s="606"/>
      <c r="E115" s="54" t="str">
        <f>'Modelo Planilha Orcamentaria'!E116</f>
        <v>M2</v>
      </c>
      <c r="F115" s="60">
        <f>F114</f>
        <v>2.9700000000000006</v>
      </c>
      <c r="G115" s="414" t="str">
        <f>G114</f>
        <v xml:space="preserve">1,80 x 1,50 x 10,00% &gt; COMP. X LARG. X INCLINAÇÃO - TELHADO INDICADO EM PROJETO </v>
      </c>
    </row>
    <row r="116" spans="1:7" ht="34.950000000000003" customHeight="1" x14ac:dyDescent="0.25">
      <c r="A116" s="45" t="s">
        <v>323</v>
      </c>
      <c r="B116" s="44" t="s">
        <v>328</v>
      </c>
      <c r="C116" s="605" t="str">
        <f>'Modelo Planilha Orcamentaria'!C117:D117</f>
        <v>RUFO E CONTRARRUFO EM CHAPA GALVANIZADA, ESP. 0,5MM (GSG-26), COM DESENVOLVIMENTO DE 15CM, INCLUSIVE IÇAMENTO MANUAL VERTICAL</v>
      </c>
      <c r="D116" s="606"/>
      <c r="E116" s="54" t="str">
        <f>'Modelo Planilha Orcamentaria'!E117</f>
        <v>M</v>
      </c>
      <c r="F116" s="60">
        <f>1.8+1.8+1.5+1.5+1.7+1.7</f>
        <v>9.9999999999999982</v>
      </c>
      <c r="G116" s="414" t="s">
        <v>348</v>
      </c>
    </row>
    <row r="117" spans="1:7" ht="34.950000000000003" customHeight="1" x14ac:dyDescent="0.25">
      <c r="A117" s="45" t="s">
        <v>324</v>
      </c>
      <c r="B117" s="44" t="s">
        <v>326</v>
      </c>
      <c r="C117" s="605" t="str">
        <f>'Modelo Planilha Orcamentaria'!C118:D118</f>
        <v>CALHA EM CHAPA GALVANIZADA, ESP. 0,8MM (GSG-22), COM DESENVOLVIMENTO DE 40CM, INCLUSIVE IÇAMENTO MANUAL VERTICAL</v>
      </c>
      <c r="D117" s="606"/>
      <c r="E117" s="54" t="str">
        <f>'Modelo Planilha Orcamentaria'!E118</f>
        <v>M</v>
      </c>
      <c r="F117" s="60">
        <f>1.5+(8.2*2)+((8.2-1.5)*2)+(3.7*4)</f>
        <v>46.099999999999994</v>
      </c>
      <c r="G117" s="414" t="s">
        <v>536</v>
      </c>
    </row>
    <row r="118" spans="1:7" ht="34.950000000000003" customHeight="1" x14ac:dyDescent="0.25">
      <c r="A118" s="45" t="s">
        <v>325</v>
      </c>
      <c r="B118" s="44" t="s">
        <v>539</v>
      </c>
      <c r="C118" s="605" t="str">
        <f>'Modelo Planilha Orcamentaria'!C119:D119</f>
        <v>CONDUTOR DE ÁGUAS PLUVIAIS RETANGULAR EM AÇO GALVANIZADO, DIMENSÃO (43X85)MM, , ESP. 0,43MM (GSG-28), INCLUSIVE CONEXÕES E SUPORTES</v>
      </c>
      <c r="D118" s="606"/>
      <c r="E118" s="54" t="str">
        <f>'Modelo Planilha Orcamentaria'!E119</f>
        <v>M</v>
      </c>
      <c r="F118" s="60">
        <f>3.5*9</f>
        <v>31.5</v>
      </c>
      <c r="G118" s="414" t="s">
        <v>537</v>
      </c>
    </row>
    <row r="119" spans="1:7" ht="34.950000000000003" customHeight="1" x14ac:dyDescent="0.25">
      <c r="A119" s="45" t="s">
        <v>345</v>
      </c>
      <c r="B119" s="44" t="s">
        <v>225</v>
      </c>
      <c r="C119" s="605" t="str">
        <f>'Modelo Planilha Orcamentaria'!C120:D120</f>
        <v>PINGADEIRA COM DIMENSÃO (20X5)CM, MOLDADO "IN-LOCO", EM CONCRETO NÃO ESTRUTURAL, PREPARADO EM OBRA COM BETONEIRA, COM FCK 15MPA, INCLUSIVE LANÇAMENTO, ADENSAMENTO, ACABAMENTO E ARMAÇÃO</v>
      </c>
      <c r="D119" s="606"/>
      <c r="E119" s="54" t="str">
        <f>'Modelo Planilha Orcamentaria'!E120</f>
        <v>M</v>
      </c>
      <c r="F119" s="60">
        <f>1.8+1.8+1.5+1.5</f>
        <v>6.6</v>
      </c>
      <c r="G119" s="414" t="s">
        <v>347</v>
      </c>
    </row>
    <row r="120" spans="1:7" s="482" customFormat="1" ht="19.95" customHeight="1" x14ac:dyDescent="0.25">
      <c r="A120" s="479"/>
      <c r="B120" s="480"/>
      <c r="C120" s="601" t="str">
        <f>'Modelo Planilha Orcamentaria'!C121:D121</f>
        <v>URBANIZAÇÃO DA PRAÇA</v>
      </c>
      <c r="D120" s="602"/>
      <c r="E120" s="480"/>
      <c r="F120" s="480"/>
      <c r="G120" s="481"/>
    </row>
    <row r="121" spans="1:7" ht="19.95" customHeight="1" x14ac:dyDescent="0.25">
      <c r="A121" s="123">
        <v>13</v>
      </c>
      <c r="B121" s="43"/>
      <c r="C121" s="603" t="str">
        <f>'Modelo Planilha Orcamentaria'!C122:D122</f>
        <v>MOVIMENTAÇÃO DE TERRA</v>
      </c>
      <c r="D121" s="604"/>
      <c r="E121" s="53"/>
      <c r="F121" s="53"/>
      <c r="G121" s="79"/>
    </row>
    <row r="122" spans="1:7" ht="25.05" customHeight="1" x14ac:dyDescent="0.25">
      <c r="A122" s="45" t="s">
        <v>174</v>
      </c>
      <c r="B122" s="44" t="s">
        <v>83</v>
      </c>
      <c r="C122" s="605" t="str">
        <f>'Modelo Planilha Orcamentaria'!C123:D123</f>
        <v>DESMATAMENTO, DESTOCAMENTO E LIMPEZA, INCLUSIVE TRANSPORTE ATÉ CINQUENTA (50) METROS</v>
      </c>
      <c r="D122" s="606"/>
      <c r="E122" s="54" t="str">
        <f>'Modelo Planilha Orcamentaria'!E123</f>
        <v>M2</v>
      </c>
      <c r="F122" s="60">
        <f>163.92</f>
        <v>163.92</v>
      </c>
      <c r="G122" s="414" t="s">
        <v>687</v>
      </c>
    </row>
    <row r="123" spans="1:7" ht="34.950000000000003" customHeight="1" x14ac:dyDescent="0.25">
      <c r="A123" s="45" t="s">
        <v>538</v>
      </c>
      <c r="B123" s="129" t="s">
        <v>73</v>
      </c>
      <c r="C123" s="605" t="str">
        <f>'Modelo Planilha Orcamentaria'!C124:D124</f>
        <v>REGULARIZAÇÃO MANUAL E COMPACTAÇÃO MECANIZADA DE TERRENO COM PLACA VIBRATÓRIA, EXCLUSIVE DESMATAMENTO, DESTOCAMENTO, LIMPEZA/ROÇADA DO TERRENO</v>
      </c>
      <c r="D123" s="606"/>
      <c r="E123" s="54" t="str">
        <f>'Modelo Planilha Orcamentaria'!E124</f>
        <v>M3</v>
      </c>
      <c r="F123" s="60">
        <f>163.92*0.05</f>
        <v>8.1959999999999997</v>
      </c>
      <c r="G123" s="414" t="s">
        <v>686</v>
      </c>
    </row>
    <row r="124" spans="1:7" ht="34.950000000000003" customHeight="1" x14ac:dyDescent="0.25">
      <c r="A124" s="45" t="s">
        <v>694</v>
      </c>
      <c r="B124" s="44" t="s">
        <v>286</v>
      </c>
      <c r="C124" s="605" t="str">
        <f>'Modelo Planilha Orcamentaria'!C125:D125</f>
        <v>ESCAVAÇÃO MANUAL DE VALA EM MATERIAL DE 1ª CATEGORIA NA PROFUNDIDADE DE 0 A 1,50 M</v>
      </c>
      <c r="D124" s="606"/>
      <c r="E124" s="54" t="str">
        <f>'Modelo Planilha Orcamentaria'!E125</f>
        <v>M3</v>
      </c>
      <c r="F124" s="60">
        <f>220.77*0.5*0.1</f>
        <v>11.038500000000001</v>
      </c>
      <c r="G124" s="414" t="s">
        <v>741</v>
      </c>
    </row>
    <row r="125" spans="1:7" ht="34.950000000000003" customHeight="1" x14ac:dyDescent="0.25">
      <c r="A125" s="45" t="s">
        <v>695</v>
      </c>
      <c r="B125" s="58" t="s">
        <v>54</v>
      </c>
      <c r="C125" s="605" t="str">
        <f>'Modelo Planilha Orcamentaria'!C126:D126</f>
        <v>REATERRO MANUAL DE VALA, INCLUSIVE ESPALHAMENTO E COMPACTAÇÃO MECANIZADA COM PLACA VIBRATÓRIA</v>
      </c>
      <c r="D125" s="606"/>
      <c r="E125" s="54" t="str">
        <f>'Modelo Planilha Orcamentaria'!E126</f>
        <v>M3</v>
      </c>
      <c r="F125" s="60">
        <f>F124-((3.14*((0.025/2)^2)*220.77)+((3.14*(0.025/2)^2)*27.3))</f>
        <v>10.916790656250001</v>
      </c>
      <c r="G125" s="414" t="s">
        <v>743</v>
      </c>
    </row>
    <row r="126" spans="1:7" ht="19.95" customHeight="1" x14ac:dyDescent="0.25">
      <c r="A126" s="252">
        <v>14</v>
      </c>
      <c r="B126" s="253"/>
      <c r="C126" s="603" t="str">
        <f>'Modelo Planilha Orcamentaria'!C127:D127</f>
        <v>PONTOS DE INSTALAÇÕES ELÉTRICAS</v>
      </c>
      <c r="D126" s="604"/>
      <c r="E126" s="53"/>
      <c r="F126" s="53"/>
      <c r="G126" s="79"/>
    </row>
    <row r="127" spans="1:7" ht="34.950000000000003" customHeight="1" x14ac:dyDescent="0.25">
      <c r="A127" s="45" t="s">
        <v>670</v>
      </c>
      <c r="B127" s="129" t="s">
        <v>592</v>
      </c>
      <c r="C127" s="605" t="str">
        <f>'Modelo Planilha Orcamentaria'!C128:D128</f>
        <v>CABO DE COBRE FLEXÍVEL, CLASSE 5, ISOLAMENTO TIPO LSHF/ ATOX, NÃO HALOGENADO, ANTICHAMA, TERMOPLÁSTICO, UNIPOLAR, SEÇÃO 4 MM2, 70°C, 450/750V</v>
      </c>
      <c r="D127" s="606"/>
      <c r="E127" s="54" t="str">
        <f>'Modelo Planilha Orcamentaria'!E128</f>
        <v>M</v>
      </c>
      <c r="F127" s="60">
        <f>248.07*3</f>
        <v>744.21</v>
      </c>
      <c r="G127" s="414" t="s">
        <v>700</v>
      </c>
    </row>
    <row r="128" spans="1:7" ht="25.05" customHeight="1" x14ac:dyDescent="0.25">
      <c r="A128" s="45" t="s">
        <v>676</v>
      </c>
      <c r="B128" s="58" t="s">
        <v>565</v>
      </c>
      <c r="C128" s="605" t="str">
        <f>'Modelo Planilha Orcamentaria'!C129:D129</f>
        <v>ELETRODUTO DE PVC RÍGIDO ROSCÁVEL, DN 25 MM (1"), INCLUSIVE CONEXÕES, SUPORTES E FIXAÇÃO</v>
      </c>
      <c r="D128" s="606"/>
      <c r="E128" s="54" t="str">
        <f>'Modelo Planilha Orcamentaria'!E129</f>
        <v>M</v>
      </c>
      <c r="F128" s="60">
        <v>248.07</v>
      </c>
      <c r="G128" s="414" t="s">
        <v>699</v>
      </c>
    </row>
    <row r="129" spans="1:7" ht="25.05" customHeight="1" x14ac:dyDescent="0.25">
      <c r="A129" s="45" t="s">
        <v>677</v>
      </c>
      <c r="B129" s="58" t="s">
        <v>590</v>
      </c>
      <c r="C129" s="605" t="str">
        <f>'Modelo Planilha Orcamentaria'!C130:D130</f>
        <v>RASGO EM CONCRETO PARA PASSAGEM DE ELETRODUTO/ TUBULAÇÃO, DIÂMETROS DE 15MM A 25MM (1/2" A 1"), EXCLUSIVE ENCHIMENTO</v>
      </c>
      <c r="D129" s="606"/>
      <c r="E129" s="54" t="str">
        <f>'Modelo Planilha Orcamentaria'!E130</f>
        <v>M</v>
      </c>
      <c r="F129" s="60">
        <v>27.3</v>
      </c>
      <c r="G129" s="414" t="s">
        <v>696</v>
      </c>
    </row>
    <row r="130" spans="1:7" ht="34.950000000000003" customHeight="1" x14ac:dyDescent="0.25">
      <c r="A130" s="45" t="s">
        <v>678</v>
      </c>
      <c r="B130" s="58" t="s">
        <v>591</v>
      </c>
      <c r="C130" s="605" t="str">
        <f>'Modelo Planilha Orcamentaria'!C131:D131</f>
        <v>ENVELOPE DE CONCRETO PARA PROTEÇÃO DE TUBOS DE PVC ENTERRADO - CONCRETO TIPO A FCK = 13,5 MPA</v>
      </c>
      <c r="D130" s="606"/>
      <c r="E130" s="54" t="str">
        <f>'Modelo Planilha Orcamentaria'!E131</f>
        <v>M3</v>
      </c>
      <c r="F130" s="60">
        <f>F129*0.1*0.1</f>
        <v>0.27300000000000008</v>
      </c>
      <c r="G130" s="414" t="s">
        <v>742</v>
      </c>
    </row>
    <row r="131" spans="1:7" ht="25.05" customHeight="1" x14ac:dyDescent="0.25">
      <c r="A131" s="45" t="s">
        <v>679</v>
      </c>
      <c r="B131" s="58" t="s">
        <v>582</v>
      </c>
      <c r="C131" s="605" t="str">
        <f>'Modelo Planilha Orcamentaria'!C132:D132</f>
        <v>LUMINÁRIA ARANDELA RÚSTICA COLONIAL FORNECIMENTO E INSTALAÇÃO INCLUINDO LÂMPADA</v>
      </c>
      <c r="D131" s="606"/>
      <c r="E131" s="54" t="str">
        <f>'Modelo Planilha Orcamentaria'!E132</f>
        <v>UNID.</v>
      </c>
      <c r="F131" s="60">
        <v>7</v>
      </c>
      <c r="G131" s="414" t="s">
        <v>698</v>
      </c>
    </row>
    <row r="132" spans="1:7" ht="25.05" customHeight="1" x14ac:dyDescent="0.25">
      <c r="A132" s="45" t="s">
        <v>680</v>
      </c>
      <c r="B132" s="58" t="s">
        <v>629</v>
      </c>
      <c r="C132" s="605" t="str">
        <f>'Modelo Planilha Orcamentaria'!C133:D133</f>
        <v xml:space="preserve">POSTE COLONIAL FIRENZE  PARA JARDIM DE ALUMÍNIO 02 GLOBOS H= 3,05M ASSENTADO EM PISO, INCUSIVE FORNECIMENTO DE LÂMPADA </v>
      </c>
      <c r="D132" s="606"/>
      <c r="E132" s="54" t="str">
        <f>'Modelo Planilha Orcamentaria'!E133</f>
        <v>UNID.</v>
      </c>
      <c r="F132" s="60">
        <v>11</v>
      </c>
      <c r="G132" s="414" t="s">
        <v>697</v>
      </c>
    </row>
    <row r="133" spans="1:7" ht="25.05" customHeight="1" x14ac:dyDescent="0.25">
      <c r="A133" s="45" t="s">
        <v>681</v>
      </c>
      <c r="B133" s="58" t="s">
        <v>632</v>
      </c>
      <c r="C133" s="605" t="str">
        <f>'Modelo Planilha Orcamentaria'!C134:D134</f>
        <v>RELÉ FOTOELÉTRICO PARA COMANDO DE ILUMINAÇÃO EXTERNA 1000 W - FORNECIMENTO E INSTALAÇÃO. AF_08/2020</v>
      </c>
      <c r="D133" s="606"/>
      <c r="E133" s="54" t="str">
        <f>'Modelo Planilha Orcamentaria'!E134</f>
        <v>UNID.</v>
      </c>
      <c r="F133" s="60">
        <v>2</v>
      </c>
      <c r="G133" s="414" t="s">
        <v>692</v>
      </c>
    </row>
    <row r="134" spans="1:7" ht="25.05" customHeight="1" x14ac:dyDescent="0.25">
      <c r="A134" s="45" t="s">
        <v>682</v>
      </c>
      <c r="B134" s="58" t="s">
        <v>652</v>
      </c>
      <c r="C134" s="605" t="str">
        <f>'Modelo Planilha Orcamentaria'!C135:D135</f>
        <v>BALIZADOR - LUMINÁRIA LED 12W BLINDADO PARA CHÃO / PISO DE JARDIM INCLUSIVE INSTALAÇÃO</v>
      </c>
      <c r="D134" s="606"/>
      <c r="E134" s="54" t="str">
        <f>'Modelo Planilha Orcamentaria'!E135</f>
        <v>UNID.</v>
      </c>
      <c r="F134" s="60">
        <v>16</v>
      </c>
      <c r="G134" s="414" t="s">
        <v>693</v>
      </c>
    </row>
    <row r="135" spans="1:7" ht="19.95" customHeight="1" x14ac:dyDescent="0.25">
      <c r="A135" s="136">
        <v>15</v>
      </c>
      <c r="B135" s="36"/>
      <c r="C135" s="603" t="str">
        <f>'Modelo Planilha Orcamentaria'!C136:D136</f>
        <v>URBANIZAÇÃO</v>
      </c>
      <c r="D135" s="604"/>
      <c r="E135" s="53"/>
      <c r="F135" s="53"/>
      <c r="G135" s="79"/>
    </row>
    <row r="136" spans="1:7" ht="25.05" customHeight="1" x14ac:dyDescent="0.25">
      <c r="A136" s="132" t="s">
        <v>671</v>
      </c>
      <c r="B136" s="58" t="s">
        <v>651</v>
      </c>
      <c r="C136" s="605" t="str">
        <f>'Modelo Planilha Orcamentaria'!C137:D137</f>
        <v>RAMPA PARA ACESSO DE DEFICIENTE, EM CONCRETO SIMPLES FCK = 25 MPA, DESEMPENADA, COM PINTURA INDICATIVA, 02 DEMÃOS</v>
      </c>
      <c r="D136" s="606"/>
      <c r="E136" s="54" t="str">
        <f>'Modelo Planilha Orcamentaria'!E137</f>
        <v>UNID.</v>
      </c>
      <c r="F136" s="60">
        <v>4</v>
      </c>
      <c r="G136" s="414" t="s">
        <v>685</v>
      </c>
    </row>
    <row r="137" spans="1:7" ht="25.05" customHeight="1" x14ac:dyDescent="0.25">
      <c r="A137" s="132" t="s">
        <v>672</v>
      </c>
      <c r="B137" s="58" t="s">
        <v>63</v>
      </c>
      <c r="C137" s="605" t="str">
        <f>'Modelo Planilha Orcamentaria'!C138:D138</f>
        <v>LASTRO DE CONCRETO MAGRO, INCLUSIVE TRANSPORTE, LANÇAMENTO E ADENSAMENTO</v>
      </c>
      <c r="D137" s="606"/>
      <c r="E137" s="54" t="str">
        <f>'Modelo Planilha Orcamentaria'!E138</f>
        <v>M3</v>
      </c>
      <c r="F137" s="60">
        <f>163.92*0.05</f>
        <v>8.1959999999999997</v>
      </c>
      <c r="G137" s="414" t="s">
        <v>686</v>
      </c>
    </row>
    <row r="138" spans="1:7" ht="33.6" customHeight="1" x14ac:dyDescent="0.25">
      <c r="A138" s="132" t="s">
        <v>673</v>
      </c>
      <c r="B138" s="58" t="s">
        <v>98</v>
      </c>
      <c r="C138" s="605" t="str">
        <f>'Modelo Planilha Orcamentaria'!C139:D139</f>
        <v>CONTRAPISO DESEMPENADO COM ARGAMASSA, TRAÇO 1:3 (CIMENTO E AREIA), ESP. 20MM, INCLUSIVE ARGAMASSA COM PREPARO MECANIZADO</v>
      </c>
      <c r="D138" s="606"/>
      <c r="E138" s="54" t="str">
        <f>'Modelo Planilha Orcamentaria'!E139</f>
        <v>M2</v>
      </c>
      <c r="F138" s="60">
        <f>163.92</f>
        <v>163.92</v>
      </c>
      <c r="G138" s="414" t="s">
        <v>687</v>
      </c>
    </row>
    <row r="139" spans="1:7" ht="34.950000000000003" customHeight="1" x14ac:dyDescent="0.25">
      <c r="A139" s="132" t="s">
        <v>674</v>
      </c>
      <c r="B139" s="58" t="s">
        <v>667</v>
      </c>
      <c r="C139" s="605" t="str">
        <f>'Modelo Planilha Orcamentaria'!C140:D140</f>
        <v xml:space="preserve">GRAMA SINTÉTICA ARTIFICIAL 20MM COM PROTEÇÃO UV E ANTI-FUNGO PARA PARQUINHO COM AREA DE 163,92M2- FORNECIMENTO E INSTALAÇÃO </v>
      </c>
      <c r="D139" s="606"/>
      <c r="E139" s="54" t="str">
        <f>'Modelo Planilha Orcamentaria'!E140</f>
        <v>CJ</v>
      </c>
      <c r="F139" s="60">
        <v>1</v>
      </c>
      <c r="G139" s="414" t="s">
        <v>688</v>
      </c>
    </row>
    <row r="140" spans="1:7" ht="25.05" customHeight="1" x14ac:dyDescent="0.25">
      <c r="A140" s="132" t="s">
        <v>675</v>
      </c>
      <c r="B140" s="58" t="s">
        <v>633</v>
      </c>
      <c r="C140" s="605" t="str">
        <f>'Modelo Planilha Orcamentaria'!C141:D141</f>
        <v>BUZINOTE DE DRENAGEM, PARA LAJES, EM TUBO DE PVC COM DIÂMETRO DE 50MM (2"), INCLUSIVE DEMOLIÇÃO EM CONCRETO E ALVENARIA</v>
      </c>
      <c r="D140" s="606"/>
      <c r="E140" s="54" t="str">
        <f>'Modelo Planilha Orcamentaria'!E141</f>
        <v>M</v>
      </c>
      <c r="F140" s="60">
        <v>5</v>
      </c>
      <c r="G140" s="414" t="s">
        <v>689</v>
      </c>
    </row>
    <row r="141" spans="1:7" ht="13.8" x14ac:dyDescent="0.25">
      <c r="A141" s="123">
        <v>16</v>
      </c>
      <c r="B141" s="265"/>
      <c r="C141" s="56" t="str">
        <f>'Modelo Planilha Orcamentaria'!C142:D142</f>
        <v>SERVIÇOS FINAIS</v>
      </c>
      <c r="D141" s="57"/>
      <c r="E141" s="53"/>
      <c r="F141" s="53"/>
      <c r="G141" s="79"/>
    </row>
    <row r="142" spans="1:7" ht="25.05" customHeight="1" x14ac:dyDescent="0.25">
      <c r="A142" s="132" t="s">
        <v>683</v>
      </c>
      <c r="B142" s="58" t="s">
        <v>43</v>
      </c>
      <c r="C142" s="605" t="str">
        <f>'Modelo Planilha Orcamentaria'!C143:D143</f>
        <v>PLACA DE ALUMÍNIO FUNDIDO, DIMENSÃO (85X50)CM, PARA INAUGURAÇÃO, INCLUSIVE FIXAÇÃO</v>
      </c>
      <c r="D142" s="606"/>
      <c r="E142" s="54" t="str">
        <f>'Modelo Planilha Orcamentaria'!E143</f>
        <v>CJ</v>
      </c>
      <c r="F142" s="60">
        <v>1</v>
      </c>
      <c r="G142" s="414" t="s">
        <v>72</v>
      </c>
    </row>
    <row r="143" spans="1:7" ht="25.05" customHeight="1" x14ac:dyDescent="0.25">
      <c r="A143" s="132" t="s">
        <v>684</v>
      </c>
      <c r="B143" s="58" t="s">
        <v>541</v>
      </c>
      <c r="C143" s="605" t="str">
        <f>'Modelo Planilha Orcamentaria'!C144:D144</f>
        <v>LIMPEZA FINAL PARA ENTREGA DA OBRA</v>
      </c>
      <c r="D143" s="606"/>
      <c r="E143" s="54" t="str">
        <f>'Modelo Planilha Orcamentaria'!E144</f>
        <v>M2</v>
      </c>
      <c r="F143" s="60">
        <f>(8.2*3.7)*2</f>
        <v>60.68</v>
      </c>
      <c r="G143" s="414" t="s">
        <v>543</v>
      </c>
    </row>
  </sheetData>
  <mergeCells count="139">
    <mergeCell ref="C143:D143"/>
    <mergeCell ref="C119:D119"/>
    <mergeCell ref="C83:D83"/>
    <mergeCell ref="C84:D84"/>
    <mergeCell ref="C86:D86"/>
    <mergeCell ref="C87:D87"/>
    <mergeCell ref="C88:D88"/>
    <mergeCell ref="C102:D102"/>
    <mergeCell ref="C91:D91"/>
    <mergeCell ref="C92:D92"/>
    <mergeCell ref="C95:D95"/>
    <mergeCell ref="C96:D96"/>
    <mergeCell ref="C101:D101"/>
    <mergeCell ref="C97:D97"/>
    <mergeCell ref="C113:D113"/>
    <mergeCell ref="C142:D142"/>
    <mergeCell ref="C99:D99"/>
    <mergeCell ref="C118:D118"/>
    <mergeCell ref="C111:D111"/>
    <mergeCell ref="C112:D112"/>
    <mergeCell ref="C117:D117"/>
    <mergeCell ref="C105:D105"/>
    <mergeCell ref="C106:D106"/>
    <mergeCell ref="C110:D110"/>
    <mergeCell ref="C107:D107"/>
    <mergeCell ref="C90:D90"/>
    <mergeCell ref="C89:D89"/>
    <mergeCell ref="C98:D98"/>
    <mergeCell ref="C114:D114"/>
    <mergeCell ref="C115:D115"/>
    <mergeCell ref="C116:D116"/>
    <mergeCell ref="C108:D108"/>
    <mergeCell ref="C81:D81"/>
    <mergeCell ref="C93:D93"/>
    <mergeCell ref="C109:D109"/>
    <mergeCell ref="C94:D94"/>
    <mergeCell ref="C103:D103"/>
    <mergeCell ref="C100:D100"/>
    <mergeCell ref="C82:D82"/>
    <mergeCell ref="C78:D78"/>
    <mergeCell ref="C66:D66"/>
    <mergeCell ref="C67:D67"/>
    <mergeCell ref="C68:D68"/>
    <mergeCell ref="C69:D69"/>
    <mergeCell ref="C71:D71"/>
    <mergeCell ref="C75:D75"/>
    <mergeCell ref="C77:D77"/>
    <mergeCell ref="C80:D80"/>
    <mergeCell ref="C45:D45"/>
    <mergeCell ref="C57:D57"/>
    <mergeCell ref="C59:D59"/>
    <mergeCell ref="C60:D60"/>
    <mergeCell ref="C72:D72"/>
    <mergeCell ref="C74:D74"/>
    <mergeCell ref="C73:D73"/>
    <mergeCell ref="C70:D70"/>
    <mergeCell ref="C79:D79"/>
    <mergeCell ref="C52:D52"/>
    <mergeCell ref="C48:D48"/>
    <mergeCell ref="C49:D49"/>
    <mergeCell ref="C50:D50"/>
    <mergeCell ref="C62:D62"/>
    <mergeCell ref="C63:D63"/>
    <mergeCell ref="C64:D64"/>
    <mergeCell ref="C58:D58"/>
    <mergeCell ref="C53:D53"/>
    <mergeCell ref="C56:D56"/>
    <mergeCell ref="C8:D8"/>
    <mergeCell ref="C14:D14"/>
    <mergeCell ref="C15:D15"/>
    <mergeCell ref="A1:G1"/>
    <mergeCell ref="A2:G2"/>
    <mergeCell ref="A3:G3"/>
    <mergeCell ref="A4:G4"/>
    <mergeCell ref="C7:D7"/>
    <mergeCell ref="C13:D13"/>
    <mergeCell ref="C12:D12"/>
    <mergeCell ref="C9:D9"/>
    <mergeCell ref="C11:D11"/>
    <mergeCell ref="C10:D10"/>
    <mergeCell ref="C29:D29"/>
    <mergeCell ref="C30:D30"/>
    <mergeCell ref="C34:D34"/>
    <mergeCell ref="C35:D35"/>
    <mergeCell ref="C36:D36"/>
    <mergeCell ref="C37:D37"/>
    <mergeCell ref="C38:D38"/>
    <mergeCell ref="C31:D31"/>
    <mergeCell ref="C32:D32"/>
    <mergeCell ref="C16:D16"/>
    <mergeCell ref="C17:D17"/>
    <mergeCell ref="C18:D18"/>
    <mergeCell ref="C19:D19"/>
    <mergeCell ref="C20:D20"/>
    <mergeCell ref="C21:D21"/>
    <mergeCell ref="C23:D23"/>
    <mergeCell ref="C24:D24"/>
    <mergeCell ref="C28:D28"/>
    <mergeCell ref="C26:D26"/>
    <mergeCell ref="C22:D22"/>
    <mergeCell ref="C25:D25"/>
    <mergeCell ref="C27:D27"/>
    <mergeCell ref="C140:D140"/>
    <mergeCell ref="C124:D124"/>
    <mergeCell ref="C125:D125"/>
    <mergeCell ref="C130:D130"/>
    <mergeCell ref="C131:D131"/>
    <mergeCell ref="C132:D132"/>
    <mergeCell ref="C133:D133"/>
    <mergeCell ref="C134:D134"/>
    <mergeCell ref="C135:D135"/>
    <mergeCell ref="C136:D136"/>
    <mergeCell ref="C139:D139"/>
    <mergeCell ref="C137:D137"/>
    <mergeCell ref="C138:D138"/>
    <mergeCell ref="C120:D120"/>
    <mergeCell ref="C121:D121"/>
    <mergeCell ref="C122:D122"/>
    <mergeCell ref="C123:D123"/>
    <mergeCell ref="C126:D126"/>
    <mergeCell ref="C127:D127"/>
    <mergeCell ref="C128:D128"/>
    <mergeCell ref="C129:D129"/>
    <mergeCell ref="C33:D33"/>
    <mergeCell ref="C104:D104"/>
    <mergeCell ref="C39:D39"/>
    <mergeCell ref="C40:D40"/>
    <mergeCell ref="C51:D51"/>
    <mergeCell ref="C41:D41"/>
    <mergeCell ref="C46:D46"/>
    <mergeCell ref="C47:D47"/>
    <mergeCell ref="C42:D42"/>
    <mergeCell ref="C43:D43"/>
    <mergeCell ref="C76:D76"/>
    <mergeCell ref="C54:D54"/>
    <mergeCell ref="C65:D65"/>
    <mergeCell ref="C55:D55"/>
    <mergeCell ref="C61:D61"/>
    <mergeCell ref="C44:D44"/>
  </mergeCells>
  <phoneticPr fontId="47" type="noConversion"/>
  <printOptions horizontalCentered="1"/>
  <pageMargins left="0" right="0" top="0.19685039370078741" bottom="0" header="0" footer="0"/>
  <pageSetup paperSize="9" scale="62" orientation="landscape" r:id="rId1"/>
  <rowBreaks count="4" manualBreakCount="4">
    <brk id="37" max="6" man="1"/>
    <brk id="65" max="6" man="1"/>
    <brk id="91" max="6" man="1"/>
    <brk id="119"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27"/>
  <sheetViews>
    <sheetView view="pageBreakPreview" topLeftCell="A116" zoomScale="85" zoomScaleNormal="100" zoomScaleSheetLayoutView="85" workbookViewId="0">
      <selection activeCell="F153" sqref="F153"/>
    </sheetView>
  </sheetViews>
  <sheetFormatPr defaultColWidth="9.109375" defaultRowHeight="14.4" x14ac:dyDescent="0.3"/>
  <cols>
    <col min="1" max="7" width="18.6640625" style="139" customWidth="1"/>
    <col min="8" max="8" width="20.21875" style="139" customWidth="1"/>
    <col min="9" max="9" width="18.6640625" style="139" customWidth="1"/>
    <col min="10" max="10" width="16" style="139" customWidth="1"/>
    <col min="11" max="11" width="24.109375" style="139" customWidth="1"/>
    <col min="12" max="12" width="20.21875" style="139" customWidth="1"/>
    <col min="13" max="13" width="19.6640625" style="139" customWidth="1"/>
    <col min="14" max="14" width="17.6640625" style="139" customWidth="1"/>
    <col min="15" max="15" width="13.109375" style="139" customWidth="1"/>
    <col min="16" max="16" width="14.6640625" style="139" customWidth="1"/>
    <col min="17" max="257" width="9.109375" style="139"/>
    <col min="258" max="268" width="18.6640625" style="139" customWidth="1"/>
    <col min="269" max="269" width="19.6640625" style="139" customWidth="1"/>
    <col min="270" max="270" width="17.6640625" style="139" customWidth="1"/>
    <col min="271" max="271" width="13.109375" style="139" customWidth="1"/>
    <col min="272" max="272" width="14.6640625" style="139" customWidth="1"/>
    <col min="273" max="513" width="9.109375" style="139"/>
    <col min="514" max="524" width="18.6640625" style="139" customWidth="1"/>
    <col min="525" max="525" width="19.6640625" style="139" customWidth="1"/>
    <col min="526" max="526" width="17.6640625" style="139" customWidth="1"/>
    <col min="527" max="527" width="13.109375" style="139" customWidth="1"/>
    <col min="528" max="528" width="14.6640625" style="139" customWidth="1"/>
    <col min="529" max="769" width="9.109375" style="139"/>
    <col min="770" max="780" width="18.6640625" style="139" customWidth="1"/>
    <col min="781" max="781" width="19.6640625" style="139" customWidth="1"/>
    <col min="782" max="782" width="17.6640625" style="139" customWidth="1"/>
    <col min="783" max="783" width="13.109375" style="139" customWidth="1"/>
    <col min="784" max="784" width="14.6640625" style="139" customWidth="1"/>
    <col min="785" max="1025" width="9.109375" style="139"/>
    <col min="1026" max="1036" width="18.6640625" style="139" customWidth="1"/>
    <col min="1037" max="1037" width="19.6640625" style="139" customWidth="1"/>
    <col min="1038" max="1038" width="17.6640625" style="139" customWidth="1"/>
    <col min="1039" max="1039" width="13.109375" style="139" customWidth="1"/>
    <col min="1040" max="1040" width="14.6640625" style="139" customWidth="1"/>
    <col min="1041" max="1281" width="9.109375" style="139"/>
    <col min="1282" max="1292" width="18.6640625" style="139" customWidth="1"/>
    <col min="1293" max="1293" width="19.6640625" style="139" customWidth="1"/>
    <col min="1294" max="1294" width="17.6640625" style="139" customWidth="1"/>
    <col min="1295" max="1295" width="13.109375" style="139" customWidth="1"/>
    <col min="1296" max="1296" width="14.6640625" style="139" customWidth="1"/>
    <col min="1297" max="1537" width="9.109375" style="139"/>
    <col min="1538" max="1548" width="18.6640625" style="139" customWidth="1"/>
    <col min="1549" max="1549" width="19.6640625" style="139" customWidth="1"/>
    <col min="1550" max="1550" width="17.6640625" style="139" customWidth="1"/>
    <col min="1551" max="1551" width="13.109375" style="139" customWidth="1"/>
    <col min="1552" max="1552" width="14.6640625" style="139" customWidth="1"/>
    <col min="1553" max="1793" width="9.109375" style="139"/>
    <col min="1794" max="1804" width="18.6640625" style="139" customWidth="1"/>
    <col min="1805" max="1805" width="19.6640625" style="139" customWidth="1"/>
    <col min="1806" max="1806" width="17.6640625" style="139" customWidth="1"/>
    <col min="1807" max="1807" width="13.109375" style="139" customWidth="1"/>
    <col min="1808" max="1808" width="14.6640625" style="139" customWidth="1"/>
    <col min="1809" max="2049" width="9.109375" style="139"/>
    <col min="2050" max="2060" width="18.6640625" style="139" customWidth="1"/>
    <col min="2061" max="2061" width="19.6640625" style="139" customWidth="1"/>
    <col min="2062" max="2062" width="17.6640625" style="139" customWidth="1"/>
    <col min="2063" max="2063" width="13.109375" style="139" customWidth="1"/>
    <col min="2064" max="2064" width="14.6640625" style="139" customWidth="1"/>
    <col min="2065" max="2305" width="9.109375" style="139"/>
    <col min="2306" max="2316" width="18.6640625" style="139" customWidth="1"/>
    <col min="2317" max="2317" width="19.6640625" style="139" customWidth="1"/>
    <col min="2318" max="2318" width="17.6640625" style="139" customWidth="1"/>
    <col min="2319" max="2319" width="13.109375" style="139" customWidth="1"/>
    <col min="2320" max="2320" width="14.6640625" style="139" customWidth="1"/>
    <col min="2321" max="2561" width="9.109375" style="139"/>
    <col min="2562" max="2572" width="18.6640625" style="139" customWidth="1"/>
    <col min="2573" max="2573" width="19.6640625" style="139" customWidth="1"/>
    <col min="2574" max="2574" width="17.6640625" style="139" customWidth="1"/>
    <col min="2575" max="2575" width="13.109375" style="139" customWidth="1"/>
    <col min="2576" max="2576" width="14.6640625" style="139" customWidth="1"/>
    <col min="2577" max="2817" width="9.109375" style="139"/>
    <col min="2818" max="2828" width="18.6640625" style="139" customWidth="1"/>
    <col min="2829" max="2829" width="19.6640625" style="139" customWidth="1"/>
    <col min="2830" max="2830" width="17.6640625" style="139" customWidth="1"/>
    <col min="2831" max="2831" width="13.109375" style="139" customWidth="1"/>
    <col min="2832" max="2832" width="14.6640625" style="139" customWidth="1"/>
    <col min="2833" max="3073" width="9.109375" style="139"/>
    <col min="3074" max="3084" width="18.6640625" style="139" customWidth="1"/>
    <col min="3085" max="3085" width="19.6640625" style="139" customWidth="1"/>
    <col min="3086" max="3086" width="17.6640625" style="139" customWidth="1"/>
    <col min="3087" max="3087" width="13.109375" style="139" customWidth="1"/>
    <col min="3088" max="3088" width="14.6640625" style="139" customWidth="1"/>
    <col min="3089" max="3329" width="9.109375" style="139"/>
    <col min="3330" max="3340" width="18.6640625" style="139" customWidth="1"/>
    <col min="3341" max="3341" width="19.6640625" style="139" customWidth="1"/>
    <col min="3342" max="3342" width="17.6640625" style="139" customWidth="1"/>
    <col min="3343" max="3343" width="13.109375" style="139" customWidth="1"/>
    <col min="3344" max="3344" width="14.6640625" style="139" customWidth="1"/>
    <col min="3345" max="3585" width="9.109375" style="139"/>
    <col min="3586" max="3596" width="18.6640625" style="139" customWidth="1"/>
    <col min="3597" max="3597" width="19.6640625" style="139" customWidth="1"/>
    <col min="3598" max="3598" width="17.6640625" style="139" customWidth="1"/>
    <col min="3599" max="3599" width="13.109375" style="139" customWidth="1"/>
    <col min="3600" max="3600" width="14.6640625" style="139" customWidth="1"/>
    <col min="3601" max="3841" width="9.109375" style="139"/>
    <col min="3842" max="3852" width="18.6640625" style="139" customWidth="1"/>
    <col min="3853" max="3853" width="19.6640625" style="139" customWidth="1"/>
    <col min="3854" max="3854" width="17.6640625" style="139" customWidth="1"/>
    <col min="3855" max="3855" width="13.109375" style="139" customWidth="1"/>
    <col min="3856" max="3856" width="14.6640625" style="139" customWidth="1"/>
    <col min="3857" max="4097" width="9.109375" style="139"/>
    <col min="4098" max="4108" width="18.6640625" style="139" customWidth="1"/>
    <col min="4109" max="4109" width="19.6640625" style="139" customWidth="1"/>
    <col min="4110" max="4110" width="17.6640625" style="139" customWidth="1"/>
    <col min="4111" max="4111" width="13.109375" style="139" customWidth="1"/>
    <col min="4112" max="4112" width="14.6640625" style="139" customWidth="1"/>
    <col min="4113" max="4353" width="9.109375" style="139"/>
    <col min="4354" max="4364" width="18.6640625" style="139" customWidth="1"/>
    <col min="4365" max="4365" width="19.6640625" style="139" customWidth="1"/>
    <col min="4366" max="4366" width="17.6640625" style="139" customWidth="1"/>
    <col min="4367" max="4367" width="13.109375" style="139" customWidth="1"/>
    <col min="4368" max="4368" width="14.6640625" style="139" customWidth="1"/>
    <col min="4369" max="4609" width="9.109375" style="139"/>
    <col min="4610" max="4620" width="18.6640625" style="139" customWidth="1"/>
    <col min="4621" max="4621" width="19.6640625" style="139" customWidth="1"/>
    <col min="4622" max="4622" width="17.6640625" style="139" customWidth="1"/>
    <col min="4623" max="4623" width="13.109375" style="139" customWidth="1"/>
    <col min="4624" max="4624" width="14.6640625" style="139" customWidth="1"/>
    <col min="4625" max="4865" width="9.109375" style="139"/>
    <col min="4866" max="4876" width="18.6640625" style="139" customWidth="1"/>
    <col min="4877" max="4877" width="19.6640625" style="139" customWidth="1"/>
    <col min="4878" max="4878" width="17.6640625" style="139" customWidth="1"/>
    <col min="4879" max="4879" width="13.109375" style="139" customWidth="1"/>
    <col min="4880" max="4880" width="14.6640625" style="139" customWidth="1"/>
    <col min="4881" max="5121" width="9.109375" style="139"/>
    <col min="5122" max="5132" width="18.6640625" style="139" customWidth="1"/>
    <col min="5133" max="5133" width="19.6640625" style="139" customWidth="1"/>
    <col min="5134" max="5134" width="17.6640625" style="139" customWidth="1"/>
    <col min="5135" max="5135" width="13.109375" style="139" customWidth="1"/>
    <col min="5136" max="5136" width="14.6640625" style="139" customWidth="1"/>
    <col min="5137" max="5377" width="9.109375" style="139"/>
    <col min="5378" max="5388" width="18.6640625" style="139" customWidth="1"/>
    <col min="5389" max="5389" width="19.6640625" style="139" customWidth="1"/>
    <col min="5390" max="5390" width="17.6640625" style="139" customWidth="1"/>
    <col min="5391" max="5391" width="13.109375" style="139" customWidth="1"/>
    <col min="5392" max="5392" width="14.6640625" style="139" customWidth="1"/>
    <col min="5393" max="5633" width="9.109375" style="139"/>
    <col min="5634" max="5644" width="18.6640625" style="139" customWidth="1"/>
    <col min="5645" max="5645" width="19.6640625" style="139" customWidth="1"/>
    <col min="5646" max="5646" width="17.6640625" style="139" customWidth="1"/>
    <col min="5647" max="5647" width="13.109375" style="139" customWidth="1"/>
    <col min="5648" max="5648" width="14.6640625" style="139" customWidth="1"/>
    <col min="5649" max="5889" width="9.109375" style="139"/>
    <col min="5890" max="5900" width="18.6640625" style="139" customWidth="1"/>
    <col min="5901" max="5901" width="19.6640625" style="139" customWidth="1"/>
    <col min="5902" max="5902" width="17.6640625" style="139" customWidth="1"/>
    <col min="5903" max="5903" width="13.109375" style="139" customWidth="1"/>
    <col min="5904" max="5904" width="14.6640625" style="139" customWidth="1"/>
    <col min="5905" max="6145" width="9.109375" style="139"/>
    <col min="6146" max="6156" width="18.6640625" style="139" customWidth="1"/>
    <col min="6157" max="6157" width="19.6640625" style="139" customWidth="1"/>
    <col min="6158" max="6158" width="17.6640625" style="139" customWidth="1"/>
    <col min="6159" max="6159" width="13.109375" style="139" customWidth="1"/>
    <col min="6160" max="6160" width="14.6640625" style="139" customWidth="1"/>
    <col min="6161" max="6401" width="9.109375" style="139"/>
    <col min="6402" max="6412" width="18.6640625" style="139" customWidth="1"/>
    <col min="6413" max="6413" width="19.6640625" style="139" customWidth="1"/>
    <col min="6414" max="6414" width="17.6640625" style="139" customWidth="1"/>
    <col min="6415" max="6415" width="13.109375" style="139" customWidth="1"/>
    <col min="6416" max="6416" width="14.6640625" style="139" customWidth="1"/>
    <col min="6417" max="6657" width="9.109375" style="139"/>
    <col min="6658" max="6668" width="18.6640625" style="139" customWidth="1"/>
    <col min="6669" max="6669" width="19.6640625" style="139" customWidth="1"/>
    <col min="6670" max="6670" width="17.6640625" style="139" customWidth="1"/>
    <col min="6671" max="6671" width="13.109375" style="139" customWidth="1"/>
    <col min="6672" max="6672" width="14.6640625" style="139" customWidth="1"/>
    <col min="6673" max="6913" width="9.109375" style="139"/>
    <col min="6914" max="6924" width="18.6640625" style="139" customWidth="1"/>
    <col min="6925" max="6925" width="19.6640625" style="139" customWidth="1"/>
    <col min="6926" max="6926" width="17.6640625" style="139" customWidth="1"/>
    <col min="6927" max="6927" width="13.109375" style="139" customWidth="1"/>
    <col min="6928" max="6928" width="14.6640625" style="139" customWidth="1"/>
    <col min="6929" max="7169" width="9.109375" style="139"/>
    <col min="7170" max="7180" width="18.6640625" style="139" customWidth="1"/>
    <col min="7181" max="7181" width="19.6640625" style="139" customWidth="1"/>
    <col min="7182" max="7182" width="17.6640625" style="139" customWidth="1"/>
    <col min="7183" max="7183" width="13.109375" style="139" customWidth="1"/>
    <col min="7184" max="7184" width="14.6640625" style="139" customWidth="1"/>
    <col min="7185" max="7425" width="9.109375" style="139"/>
    <col min="7426" max="7436" width="18.6640625" style="139" customWidth="1"/>
    <col min="7437" max="7437" width="19.6640625" style="139" customWidth="1"/>
    <col min="7438" max="7438" width="17.6640625" style="139" customWidth="1"/>
    <col min="7439" max="7439" width="13.109375" style="139" customWidth="1"/>
    <col min="7440" max="7440" width="14.6640625" style="139" customWidth="1"/>
    <col min="7441" max="7681" width="9.109375" style="139"/>
    <col min="7682" max="7692" width="18.6640625" style="139" customWidth="1"/>
    <col min="7693" max="7693" width="19.6640625" style="139" customWidth="1"/>
    <col min="7694" max="7694" width="17.6640625" style="139" customWidth="1"/>
    <col min="7695" max="7695" width="13.109375" style="139" customWidth="1"/>
    <col min="7696" max="7696" width="14.6640625" style="139" customWidth="1"/>
    <col min="7697" max="7937" width="9.109375" style="139"/>
    <col min="7938" max="7948" width="18.6640625" style="139" customWidth="1"/>
    <col min="7949" max="7949" width="19.6640625" style="139" customWidth="1"/>
    <col min="7950" max="7950" width="17.6640625" style="139" customWidth="1"/>
    <col min="7951" max="7951" width="13.109375" style="139" customWidth="1"/>
    <col min="7952" max="7952" width="14.6640625" style="139" customWidth="1"/>
    <col min="7953" max="8193" width="9.109375" style="139"/>
    <col min="8194" max="8204" width="18.6640625" style="139" customWidth="1"/>
    <col min="8205" max="8205" width="19.6640625" style="139" customWidth="1"/>
    <col min="8206" max="8206" width="17.6640625" style="139" customWidth="1"/>
    <col min="8207" max="8207" width="13.109375" style="139" customWidth="1"/>
    <col min="8208" max="8208" width="14.6640625" style="139" customWidth="1"/>
    <col min="8209" max="8449" width="9.109375" style="139"/>
    <col min="8450" max="8460" width="18.6640625" style="139" customWidth="1"/>
    <col min="8461" max="8461" width="19.6640625" style="139" customWidth="1"/>
    <col min="8462" max="8462" width="17.6640625" style="139" customWidth="1"/>
    <col min="8463" max="8463" width="13.109375" style="139" customWidth="1"/>
    <col min="8464" max="8464" width="14.6640625" style="139" customWidth="1"/>
    <col min="8465" max="8705" width="9.109375" style="139"/>
    <col min="8706" max="8716" width="18.6640625" style="139" customWidth="1"/>
    <col min="8717" max="8717" width="19.6640625" style="139" customWidth="1"/>
    <col min="8718" max="8718" width="17.6640625" style="139" customWidth="1"/>
    <col min="8719" max="8719" width="13.109375" style="139" customWidth="1"/>
    <col min="8720" max="8720" width="14.6640625" style="139" customWidth="1"/>
    <col min="8721" max="8961" width="9.109375" style="139"/>
    <col min="8962" max="8972" width="18.6640625" style="139" customWidth="1"/>
    <col min="8973" max="8973" width="19.6640625" style="139" customWidth="1"/>
    <col min="8974" max="8974" width="17.6640625" style="139" customWidth="1"/>
    <col min="8975" max="8975" width="13.109375" style="139" customWidth="1"/>
    <col min="8976" max="8976" width="14.6640625" style="139" customWidth="1"/>
    <col min="8977" max="9217" width="9.109375" style="139"/>
    <col min="9218" max="9228" width="18.6640625" style="139" customWidth="1"/>
    <col min="9229" max="9229" width="19.6640625" style="139" customWidth="1"/>
    <col min="9230" max="9230" width="17.6640625" style="139" customWidth="1"/>
    <col min="9231" max="9231" width="13.109375" style="139" customWidth="1"/>
    <col min="9232" max="9232" width="14.6640625" style="139" customWidth="1"/>
    <col min="9233" max="9473" width="9.109375" style="139"/>
    <col min="9474" max="9484" width="18.6640625" style="139" customWidth="1"/>
    <col min="9485" max="9485" width="19.6640625" style="139" customWidth="1"/>
    <col min="9486" max="9486" width="17.6640625" style="139" customWidth="1"/>
    <col min="9487" max="9487" width="13.109375" style="139" customWidth="1"/>
    <col min="9488" max="9488" width="14.6640625" style="139" customWidth="1"/>
    <col min="9489" max="9729" width="9.109375" style="139"/>
    <col min="9730" max="9740" width="18.6640625" style="139" customWidth="1"/>
    <col min="9741" max="9741" width="19.6640625" style="139" customWidth="1"/>
    <col min="9742" max="9742" width="17.6640625" style="139" customWidth="1"/>
    <col min="9743" max="9743" width="13.109375" style="139" customWidth="1"/>
    <col min="9744" max="9744" width="14.6640625" style="139" customWidth="1"/>
    <col min="9745" max="9985" width="9.109375" style="139"/>
    <col min="9986" max="9996" width="18.6640625" style="139" customWidth="1"/>
    <col min="9997" max="9997" width="19.6640625" style="139" customWidth="1"/>
    <col min="9998" max="9998" width="17.6640625" style="139" customWidth="1"/>
    <col min="9999" max="9999" width="13.109375" style="139" customWidth="1"/>
    <col min="10000" max="10000" width="14.6640625" style="139" customWidth="1"/>
    <col min="10001" max="10241" width="9.109375" style="139"/>
    <col min="10242" max="10252" width="18.6640625" style="139" customWidth="1"/>
    <col min="10253" max="10253" width="19.6640625" style="139" customWidth="1"/>
    <col min="10254" max="10254" width="17.6640625" style="139" customWidth="1"/>
    <col min="10255" max="10255" width="13.109375" style="139" customWidth="1"/>
    <col min="10256" max="10256" width="14.6640625" style="139" customWidth="1"/>
    <col min="10257" max="10497" width="9.109375" style="139"/>
    <col min="10498" max="10508" width="18.6640625" style="139" customWidth="1"/>
    <col min="10509" max="10509" width="19.6640625" style="139" customWidth="1"/>
    <col min="10510" max="10510" width="17.6640625" style="139" customWidth="1"/>
    <col min="10511" max="10511" width="13.109375" style="139" customWidth="1"/>
    <col min="10512" max="10512" width="14.6640625" style="139" customWidth="1"/>
    <col min="10513" max="10753" width="9.109375" style="139"/>
    <col min="10754" max="10764" width="18.6640625" style="139" customWidth="1"/>
    <col min="10765" max="10765" width="19.6640625" style="139" customWidth="1"/>
    <col min="10766" max="10766" width="17.6640625" style="139" customWidth="1"/>
    <col min="10767" max="10767" width="13.109375" style="139" customWidth="1"/>
    <col min="10768" max="10768" width="14.6640625" style="139" customWidth="1"/>
    <col min="10769" max="11009" width="9.109375" style="139"/>
    <col min="11010" max="11020" width="18.6640625" style="139" customWidth="1"/>
    <col min="11021" max="11021" width="19.6640625" style="139" customWidth="1"/>
    <col min="11022" max="11022" width="17.6640625" style="139" customWidth="1"/>
    <col min="11023" max="11023" width="13.109375" style="139" customWidth="1"/>
    <col min="11024" max="11024" width="14.6640625" style="139" customWidth="1"/>
    <col min="11025" max="11265" width="9.109375" style="139"/>
    <col min="11266" max="11276" width="18.6640625" style="139" customWidth="1"/>
    <col min="11277" max="11277" width="19.6640625" style="139" customWidth="1"/>
    <col min="11278" max="11278" width="17.6640625" style="139" customWidth="1"/>
    <col min="11279" max="11279" width="13.109375" style="139" customWidth="1"/>
    <col min="11280" max="11280" width="14.6640625" style="139" customWidth="1"/>
    <col min="11281" max="11521" width="9.109375" style="139"/>
    <col min="11522" max="11532" width="18.6640625" style="139" customWidth="1"/>
    <col min="11533" max="11533" width="19.6640625" style="139" customWidth="1"/>
    <col min="11534" max="11534" width="17.6640625" style="139" customWidth="1"/>
    <col min="11535" max="11535" width="13.109375" style="139" customWidth="1"/>
    <col min="11536" max="11536" width="14.6640625" style="139" customWidth="1"/>
    <col min="11537" max="11777" width="9.109375" style="139"/>
    <col min="11778" max="11788" width="18.6640625" style="139" customWidth="1"/>
    <col min="11789" max="11789" width="19.6640625" style="139" customWidth="1"/>
    <col min="11790" max="11790" width="17.6640625" style="139" customWidth="1"/>
    <col min="11791" max="11791" width="13.109375" style="139" customWidth="1"/>
    <col min="11792" max="11792" width="14.6640625" style="139" customWidth="1"/>
    <col min="11793" max="12033" width="9.109375" style="139"/>
    <col min="12034" max="12044" width="18.6640625" style="139" customWidth="1"/>
    <col min="12045" max="12045" width="19.6640625" style="139" customWidth="1"/>
    <col min="12046" max="12046" width="17.6640625" style="139" customWidth="1"/>
    <col min="12047" max="12047" width="13.109375" style="139" customWidth="1"/>
    <col min="12048" max="12048" width="14.6640625" style="139" customWidth="1"/>
    <col min="12049" max="12289" width="9.109375" style="139"/>
    <col min="12290" max="12300" width="18.6640625" style="139" customWidth="1"/>
    <col min="12301" max="12301" width="19.6640625" style="139" customWidth="1"/>
    <col min="12302" max="12302" width="17.6640625" style="139" customWidth="1"/>
    <col min="12303" max="12303" width="13.109375" style="139" customWidth="1"/>
    <col min="12304" max="12304" width="14.6640625" style="139" customWidth="1"/>
    <col min="12305" max="12545" width="9.109375" style="139"/>
    <col min="12546" max="12556" width="18.6640625" style="139" customWidth="1"/>
    <col min="12557" max="12557" width="19.6640625" style="139" customWidth="1"/>
    <col min="12558" max="12558" width="17.6640625" style="139" customWidth="1"/>
    <col min="12559" max="12559" width="13.109375" style="139" customWidth="1"/>
    <col min="12560" max="12560" width="14.6640625" style="139" customWidth="1"/>
    <col min="12561" max="12801" width="9.109375" style="139"/>
    <col min="12802" max="12812" width="18.6640625" style="139" customWidth="1"/>
    <col min="12813" max="12813" width="19.6640625" style="139" customWidth="1"/>
    <col min="12814" max="12814" width="17.6640625" style="139" customWidth="1"/>
    <col min="12815" max="12815" width="13.109375" style="139" customWidth="1"/>
    <col min="12816" max="12816" width="14.6640625" style="139" customWidth="1"/>
    <col min="12817" max="13057" width="9.109375" style="139"/>
    <col min="13058" max="13068" width="18.6640625" style="139" customWidth="1"/>
    <col min="13069" max="13069" width="19.6640625" style="139" customWidth="1"/>
    <col min="13070" max="13070" width="17.6640625" style="139" customWidth="1"/>
    <col min="13071" max="13071" width="13.109375" style="139" customWidth="1"/>
    <col min="13072" max="13072" width="14.6640625" style="139" customWidth="1"/>
    <col min="13073" max="13313" width="9.109375" style="139"/>
    <col min="13314" max="13324" width="18.6640625" style="139" customWidth="1"/>
    <col min="13325" max="13325" width="19.6640625" style="139" customWidth="1"/>
    <col min="13326" max="13326" width="17.6640625" style="139" customWidth="1"/>
    <col min="13327" max="13327" width="13.109375" style="139" customWidth="1"/>
    <col min="13328" max="13328" width="14.6640625" style="139" customWidth="1"/>
    <col min="13329" max="13569" width="9.109375" style="139"/>
    <col min="13570" max="13580" width="18.6640625" style="139" customWidth="1"/>
    <col min="13581" max="13581" width="19.6640625" style="139" customWidth="1"/>
    <col min="13582" max="13582" width="17.6640625" style="139" customWidth="1"/>
    <col min="13583" max="13583" width="13.109375" style="139" customWidth="1"/>
    <col min="13584" max="13584" width="14.6640625" style="139" customWidth="1"/>
    <col min="13585" max="13825" width="9.109375" style="139"/>
    <col min="13826" max="13836" width="18.6640625" style="139" customWidth="1"/>
    <col min="13837" max="13837" width="19.6640625" style="139" customWidth="1"/>
    <col min="13838" max="13838" width="17.6640625" style="139" customWidth="1"/>
    <col min="13839" max="13839" width="13.109375" style="139" customWidth="1"/>
    <col min="13840" max="13840" width="14.6640625" style="139" customWidth="1"/>
    <col min="13841" max="14081" width="9.109375" style="139"/>
    <col min="14082" max="14092" width="18.6640625" style="139" customWidth="1"/>
    <col min="14093" max="14093" width="19.6640625" style="139" customWidth="1"/>
    <col min="14094" max="14094" width="17.6640625" style="139" customWidth="1"/>
    <col min="14095" max="14095" width="13.109375" style="139" customWidth="1"/>
    <col min="14096" max="14096" width="14.6640625" style="139" customWidth="1"/>
    <col min="14097" max="14337" width="9.109375" style="139"/>
    <col min="14338" max="14348" width="18.6640625" style="139" customWidth="1"/>
    <col min="14349" max="14349" width="19.6640625" style="139" customWidth="1"/>
    <col min="14350" max="14350" width="17.6640625" style="139" customWidth="1"/>
    <col min="14351" max="14351" width="13.109375" style="139" customWidth="1"/>
    <col min="14352" max="14352" width="14.6640625" style="139" customWidth="1"/>
    <col min="14353" max="14593" width="9.109375" style="139"/>
    <col min="14594" max="14604" width="18.6640625" style="139" customWidth="1"/>
    <col min="14605" max="14605" width="19.6640625" style="139" customWidth="1"/>
    <col min="14606" max="14606" width="17.6640625" style="139" customWidth="1"/>
    <col min="14607" max="14607" width="13.109375" style="139" customWidth="1"/>
    <col min="14608" max="14608" width="14.6640625" style="139" customWidth="1"/>
    <col min="14609" max="14849" width="9.109375" style="139"/>
    <col min="14850" max="14860" width="18.6640625" style="139" customWidth="1"/>
    <col min="14861" max="14861" width="19.6640625" style="139" customWidth="1"/>
    <col min="14862" max="14862" width="17.6640625" style="139" customWidth="1"/>
    <col min="14863" max="14863" width="13.109375" style="139" customWidth="1"/>
    <col min="14864" max="14864" width="14.6640625" style="139" customWidth="1"/>
    <col min="14865" max="15105" width="9.109375" style="139"/>
    <col min="15106" max="15116" width="18.6640625" style="139" customWidth="1"/>
    <col min="15117" max="15117" width="19.6640625" style="139" customWidth="1"/>
    <col min="15118" max="15118" width="17.6640625" style="139" customWidth="1"/>
    <col min="15119" max="15119" width="13.109375" style="139" customWidth="1"/>
    <col min="15120" max="15120" width="14.6640625" style="139" customWidth="1"/>
    <col min="15121" max="15361" width="9.109375" style="139"/>
    <col min="15362" max="15372" width="18.6640625" style="139" customWidth="1"/>
    <col min="15373" max="15373" width="19.6640625" style="139" customWidth="1"/>
    <col min="15374" max="15374" width="17.6640625" style="139" customWidth="1"/>
    <col min="15375" max="15375" width="13.109375" style="139" customWidth="1"/>
    <col min="15376" max="15376" width="14.6640625" style="139" customWidth="1"/>
    <col min="15377" max="15617" width="9.109375" style="139"/>
    <col min="15618" max="15628" width="18.6640625" style="139" customWidth="1"/>
    <col min="15629" max="15629" width="19.6640625" style="139" customWidth="1"/>
    <col min="15630" max="15630" width="17.6640625" style="139" customWidth="1"/>
    <col min="15631" max="15631" width="13.109375" style="139" customWidth="1"/>
    <col min="15632" max="15632" width="14.6640625" style="139" customWidth="1"/>
    <col min="15633" max="15873" width="9.109375" style="139"/>
    <col min="15874" max="15884" width="18.6640625" style="139" customWidth="1"/>
    <col min="15885" max="15885" width="19.6640625" style="139" customWidth="1"/>
    <col min="15886" max="15886" width="17.6640625" style="139" customWidth="1"/>
    <col min="15887" max="15887" width="13.109375" style="139" customWidth="1"/>
    <col min="15888" max="15888" width="14.6640625" style="139" customWidth="1"/>
    <col min="15889" max="16129" width="9.109375" style="139"/>
    <col min="16130" max="16140" width="18.6640625" style="139" customWidth="1"/>
    <col min="16141" max="16141" width="19.6640625" style="139" customWidth="1"/>
    <col min="16142" max="16142" width="17.6640625" style="139" customWidth="1"/>
    <col min="16143" max="16143" width="13.109375" style="139" customWidth="1"/>
    <col min="16144" max="16144" width="14.6640625" style="139" customWidth="1"/>
    <col min="16145" max="16384" width="9.109375" style="139"/>
  </cols>
  <sheetData>
    <row r="1" spans="1:14" ht="18.600000000000001" thickBot="1" x14ac:dyDescent="0.4">
      <c r="A1" s="660" t="s">
        <v>115</v>
      </c>
      <c r="B1" s="661"/>
      <c r="C1" s="661"/>
      <c r="D1" s="661"/>
      <c r="E1" s="661"/>
      <c r="F1" s="661"/>
      <c r="G1" s="661"/>
      <c r="H1" s="661"/>
      <c r="I1" s="661"/>
      <c r="J1" s="661"/>
      <c r="K1" s="661"/>
      <c r="L1" s="662"/>
    </row>
    <row r="2" spans="1:14" x14ac:dyDescent="0.3">
      <c r="A2" s="663" t="str">
        <f>'Modelo Planilha Orcamentaria'!A2:E2</f>
        <v>PREFEITURA: PREFEITURA MUNICIPAL DE BOM JARDIM DE MINAS - MG</v>
      </c>
      <c r="B2" s="664"/>
      <c r="C2" s="664"/>
      <c r="D2" s="664"/>
      <c r="E2" s="664"/>
      <c r="F2" s="664"/>
      <c r="G2" s="664"/>
      <c r="H2" s="664"/>
      <c r="I2" s="664"/>
      <c r="J2" s="664"/>
      <c r="K2" s="664"/>
      <c r="L2" s="665"/>
    </row>
    <row r="3" spans="1:14" x14ac:dyDescent="0.3">
      <c r="A3" s="666" t="str">
        <f>'Modelo Planilha Orcamentaria'!A3:E3</f>
        <v>OBRA: REVITALIZAÇÃO, REFORMA E CONSTRUÇÃO DE BANHEIROS PÚBLICOS NA PRAÇA ANTÔNIO JACINTO FARIA - ETAPA 02</v>
      </c>
      <c r="B3" s="667"/>
      <c r="C3" s="667"/>
      <c r="D3" s="667"/>
      <c r="E3" s="667"/>
      <c r="F3" s="667"/>
      <c r="G3" s="667"/>
      <c r="H3" s="667"/>
      <c r="I3" s="667"/>
      <c r="J3" s="667"/>
      <c r="K3" s="667"/>
      <c r="L3" s="668"/>
    </row>
    <row r="4" spans="1:14" ht="15" thickBot="1" x14ac:dyDescent="0.35">
      <c r="A4" s="669" t="str">
        <f>'Modelo Planilha Orcamentaria'!A4:E4</f>
        <v>LOCAL:  PRAÇA ANTÔNIO JACINTO FARIA  - BAIRRO CENTRO - BOM JARDIM DE MINAS / MG</v>
      </c>
      <c r="B4" s="670"/>
      <c r="C4" s="670"/>
      <c r="D4" s="670"/>
      <c r="E4" s="670"/>
      <c r="F4" s="670"/>
      <c r="G4" s="670"/>
      <c r="H4" s="670"/>
      <c r="I4" s="670"/>
      <c r="J4" s="670"/>
      <c r="K4" s="670"/>
      <c r="L4" s="671"/>
    </row>
    <row r="5" spans="1:14" ht="15" thickBot="1" x14ac:dyDescent="0.35">
      <c r="A5" s="140"/>
      <c r="B5" s="141"/>
      <c r="C5" s="141"/>
      <c r="D5" s="141"/>
      <c r="E5" s="141"/>
      <c r="F5" s="141"/>
      <c r="G5" s="141"/>
      <c r="H5" s="141"/>
      <c r="I5" s="141"/>
      <c r="J5" s="141"/>
      <c r="K5" s="141"/>
      <c r="L5" s="141"/>
    </row>
    <row r="6" spans="1:14" ht="15" thickBot="1" x14ac:dyDescent="0.35">
      <c r="A6" s="675" t="s">
        <v>289</v>
      </c>
      <c r="B6" s="676"/>
      <c r="C6" s="676"/>
      <c r="D6" s="677"/>
      <c r="E6" s="157"/>
      <c r="F6" s="157"/>
      <c r="G6" s="157"/>
      <c r="H6" s="157"/>
      <c r="I6" s="157"/>
      <c r="J6" s="157"/>
      <c r="K6" s="156"/>
      <c r="L6" s="156"/>
    </row>
    <row r="7" spans="1:14" ht="32.4" customHeight="1" x14ac:dyDescent="0.3">
      <c r="A7" s="142" t="s">
        <v>1</v>
      </c>
      <c r="B7" s="143" t="s">
        <v>116</v>
      </c>
      <c r="C7" s="143" t="s">
        <v>117</v>
      </c>
      <c r="D7" s="278" t="s">
        <v>402</v>
      </c>
      <c r="E7" s="143" t="s">
        <v>2</v>
      </c>
      <c r="F7" s="143"/>
      <c r="G7" s="144" t="s">
        <v>119</v>
      </c>
      <c r="H7" s="144" t="s">
        <v>403</v>
      </c>
      <c r="I7" s="144" t="s">
        <v>121</v>
      </c>
      <c r="J7" s="144" t="s">
        <v>122</v>
      </c>
      <c r="K7" s="144" t="s">
        <v>123</v>
      </c>
      <c r="L7" s="282" t="s">
        <v>124</v>
      </c>
      <c r="N7" s="145"/>
    </row>
    <row r="8" spans="1:14" ht="16.2" thickBot="1" x14ac:dyDescent="0.35">
      <c r="A8" s="283" t="s">
        <v>290</v>
      </c>
      <c r="B8" s="284">
        <v>0.6</v>
      </c>
      <c r="C8" s="284">
        <v>0.6</v>
      </c>
      <c r="D8" s="284">
        <v>1.05</v>
      </c>
      <c r="E8" s="284">
        <v>14</v>
      </c>
      <c r="F8" s="284"/>
      <c r="G8" s="285">
        <f>B8*C8*D8*E8</f>
        <v>5.2919999999999998</v>
      </c>
      <c r="H8" s="286">
        <f>((B8)*(C8)*0.05)*E8</f>
        <v>0.252</v>
      </c>
      <c r="I8" s="287">
        <f>B8*C8*(0.6)*E8</f>
        <v>3.024</v>
      </c>
      <c r="J8" s="285">
        <v>0</v>
      </c>
      <c r="K8" s="288">
        <f>(((ROUNDUP(B8/0.2,0))*C8+0.3)+((ROUNDUP(C8/0.2,0))*B8+0.3))*E8*0.395</f>
        <v>23.225999999999996</v>
      </c>
      <c r="L8" s="289">
        <f>C8*0.6*4*E8</f>
        <v>20.16</v>
      </c>
      <c r="N8" s="149"/>
    </row>
    <row r="9" spans="1:14" ht="16.2" thickBot="1" x14ac:dyDescent="0.35">
      <c r="A9" s="150"/>
      <c r="B9" s="151"/>
      <c r="C9" s="681" t="s">
        <v>126</v>
      </c>
      <c r="D9" s="682"/>
      <c r="E9" s="683"/>
      <c r="F9" s="508"/>
      <c r="G9" s="281">
        <f t="shared" ref="G9:L9" si="0">SUM(G8:G8)</f>
        <v>5.2919999999999998</v>
      </c>
      <c r="H9" s="281">
        <f t="shared" si="0"/>
        <v>0.252</v>
      </c>
      <c r="I9" s="281">
        <f t="shared" si="0"/>
        <v>3.024</v>
      </c>
      <c r="J9" s="281">
        <f t="shared" si="0"/>
        <v>0</v>
      </c>
      <c r="K9" s="281">
        <f t="shared" si="0"/>
        <v>23.225999999999996</v>
      </c>
      <c r="L9" s="281">
        <f t="shared" si="0"/>
        <v>20.16</v>
      </c>
      <c r="M9" s="153"/>
    </row>
    <row r="10" spans="1:14" ht="15" thickBot="1" x14ac:dyDescent="0.35">
      <c r="A10" s="150"/>
      <c r="B10" s="154"/>
      <c r="C10" s="155"/>
      <c r="D10" s="154"/>
      <c r="E10" s="154"/>
      <c r="F10" s="154"/>
      <c r="G10" s="154"/>
      <c r="H10" s="154"/>
      <c r="I10" s="154"/>
      <c r="J10" s="154"/>
      <c r="K10" s="154"/>
      <c r="L10" s="156"/>
    </row>
    <row r="11" spans="1:14" ht="15.75" customHeight="1" thickBot="1" x14ac:dyDescent="0.35">
      <c r="A11" s="672" t="s">
        <v>283</v>
      </c>
      <c r="B11" s="673"/>
      <c r="C11" s="673"/>
      <c r="D11" s="674"/>
      <c r="E11" s="157"/>
      <c r="F11" s="157"/>
      <c r="G11" s="157"/>
      <c r="H11" s="157"/>
      <c r="I11" s="157"/>
      <c r="J11" s="157"/>
      <c r="K11" s="156"/>
      <c r="L11" s="156"/>
    </row>
    <row r="12" spans="1:14" ht="26.4" x14ac:dyDescent="0.3">
      <c r="A12" s="142" t="s">
        <v>1</v>
      </c>
      <c r="B12" s="143" t="s">
        <v>116</v>
      </c>
      <c r="C12" s="143" t="s">
        <v>117</v>
      </c>
      <c r="D12" s="279" t="s">
        <v>401</v>
      </c>
      <c r="E12" s="143" t="s">
        <v>2</v>
      </c>
      <c r="F12" s="143"/>
      <c r="G12" s="144" t="s">
        <v>127</v>
      </c>
      <c r="H12" s="144" t="s">
        <v>403</v>
      </c>
      <c r="I12" s="144" t="s">
        <v>121</v>
      </c>
      <c r="J12" s="144" t="s">
        <v>122</v>
      </c>
      <c r="K12" s="144" t="s">
        <v>123</v>
      </c>
      <c r="L12" s="282" t="s">
        <v>124</v>
      </c>
      <c r="M12" s="158"/>
      <c r="N12" s="145"/>
    </row>
    <row r="13" spans="1:14" x14ac:dyDescent="0.3">
      <c r="A13" s="159" t="s">
        <v>128</v>
      </c>
      <c r="B13" s="148">
        <v>0.1</v>
      </c>
      <c r="C13" s="148">
        <v>6.8</v>
      </c>
      <c r="D13" s="148">
        <v>0.35</v>
      </c>
      <c r="E13" s="148">
        <v>1</v>
      </c>
      <c r="F13" s="148"/>
      <c r="G13" s="160">
        <f>(B13)*(C13)*(D13)*E13</f>
        <v>0.23799999999999999</v>
      </c>
      <c r="H13" s="160">
        <f t="shared" ref="H13:H21" si="1">((B13)*(C13)*0.05)*E13</f>
        <v>3.4000000000000002E-2</v>
      </c>
      <c r="I13" s="160">
        <f>B13*C13*(D13-0.05)*E13</f>
        <v>0.20400000000000001</v>
      </c>
      <c r="J13" s="147">
        <f>(((ROUNDUP(C13/0.15,0))*E13)*((((B13-0.03)+(D13-0.08))*2)+0.08))*0.154</f>
        <v>5.3838399999999993</v>
      </c>
      <c r="K13" s="148">
        <f>C13*E13*4*0.395</f>
        <v>10.744</v>
      </c>
      <c r="L13" s="290">
        <f>C13*(D13-0.05)*2*E13</f>
        <v>4.08</v>
      </c>
      <c r="M13" s="161"/>
    </row>
    <row r="14" spans="1:14" s="156" customFormat="1" x14ac:dyDescent="0.3">
      <c r="A14" s="159" t="s">
        <v>129</v>
      </c>
      <c r="B14" s="148">
        <v>0.1</v>
      </c>
      <c r="C14" s="246">
        <v>2.2999999999999998</v>
      </c>
      <c r="D14" s="148">
        <v>0.35</v>
      </c>
      <c r="E14" s="246">
        <v>1</v>
      </c>
      <c r="F14" s="246"/>
      <c r="G14" s="247">
        <f t="shared" ref="G14:G16" si="2">(B14)*(C14)*(D14)*E14</f>
        <v>8.0499999999999988E-2</v>
      </c>
      <c r="H14" s="160">
        <f t="shared" si="1"/>
        <v>1.15E-2</v>
      </c>
      <c r="I14" s="160">
        <f t="shared" ref="I14:I24" si="3">B14*C14*(D14-0.05)*E14</f>
        <v>6.8999999999999992E-2</v>
      </c>
      <c r="J14" s="147">
        <f t="shared" ref="J14:J24" si="4">(((ROUNDUP(C14/0.15,0))*E14)*((((B14-0.03)+(D14-0.08))*2)+0.08))*0.154</f>
        <v>1.8726399999999996</v>
      </c>
      <c r="K14" s="148">
        <f t="shared" ref="K14:K24" si="5">C14*E14*4*0.395</f>
        <v>3.6339999999999999</v>
      </c>
      <c r="L14" s="290">
        <f t="shared" ref="L14:L24" si="6">C14*(D14-0.05)*2*E14</f>
        <v>1.38</v>
      </c>
      <c r="M14" s="248"/>
    </row>
    <row r="15" spans="1:14" s="156" customFormat="1" x14ac:dyDescent="0.3">
      <c r="A15" s="159" t="s">
        <v>130</v>
      </c>
      <c r="B15" s="148">
        <v>0.1</v>
      </c>
      <c r="C15" s="246">
        <v>2.2999999999999998</v>
      </c>
      <c r="D15" s="148">
        <v>0.35</v>
      </c>
      <c r="E15" s="246">
        <v>1</v>
      </c>
      <c r="F15" s="246"/>
      <c r="G15" s="247">
        <f t="shared" ref="G15" si="7">(B15)*(C15)*(D15)*E15</f>
        <v>8.0499999999999988E-2</v>
      </c>
      <c r="H15" s="160">
        <f t="shared" ref="H15" si="8">((B15)*(C15)*0.05)*E15</f>
        <v>1.15E-2</v>
      </c>
      <c r="I15" s="160">
        <f t="shared" si="3"/>
        <v>6.8999999999999992E-2</v>
      </c>
      <c r="J15" s="147">
        <f t="shared" si="4"/>
        <v>1.8726399999999996</v>
      </c>
      <c r="K15" s="148">
        <f t="shared" ref="K15" si="9">C15*E15*4*0.395</f>
        <v>3.6339999999999999</v>
      </c>
      <c r="L15" s="290">
        <f t="shared" si="6"/>
        <v>1.38</v>
      </c>
      <c r="M15" s="248"/>
    </row>
    <row r="16" spans="1:14" s="156" customFormat="1" x14ac:dyDescent="0.3">
      <c r="A16" s="159" t="s">
        <v>131</v>
      </c>
      <c r="B16" s="148">
        <v>0.1</v>
      </c>
      <c r="C16" s="246">
        <v>2.2999999999999998</v>
      </c>
      <c r="D16" s="148">
        <v>0.35</v>
      </c>
      <c r="E16" s="246">
        <v>1</v>
      </c>
      <c r="F16" s="246"/>
      <c r="G16" s="247">
        <f t="shared" si="2"/>
        <v>8.0499999999999988E-2</v>
      </c>
      <c r="H16" s="160">
        <f t="shared" si="1"/>
        <v>1.15E-2</v>
      </c>
      <c r="I16" s="160">
        <f t="shared" si="3"/>
        <v>6.8999999999999992E-2</v>
      </c>
      <c r="J16" s="147">
        <f t="shared" si="4"/>
        <v>1.8726399999999996</v>
      </c>
      <c r="K16" s="148">
        <f t="shared" si="5"/>
        <v>3.6339999999999999</v>
      </c>
      <c r="L16" s="290">
        <f t="shared" si="6"/>
        <v>1.38</v>
      </c>
      <c r="M16" s="248"/>
    </row>
    <row r="17" spans="1:14" s="156" customFormat="1" x14ac:dyDescent="0.3">
      <c r="A17" s="159" t="s">
        <v>132</v>
      </c>
      <c r="B17" s="148">
        <v>0.1</v>
      </c>
      <c r="C17" s="246">
        <v>6.8</v>
      </c>
      <c r="D17" s="148">
        <v>0.35</v>
      </c>
      <c r="E17" s="246">
        <v>1</v>
      </c>
      <c r="F17" s="246"/>
      <c r="G17" s="247">
        <f t="shared" ref="G17:G24" si="10">(B17)*(C17)*(D17)*E17</f>
        <v>0.23799999999999999</v>
      </c>
      <c r="H17" s="160">
        <f t="shared" si="1"/>
        <v>3.4000000000000002E-2</v>
      </c>
      <c r="I17" s="160">
        <f t="shared" si="3"/>
        <v>0.20400000000000001</v>
      </c>
      <c r="J17" s="147">
        <f t="shared" si="4"/>
        <v>5.3838399999999993</v>
      </c>
      <c r="K17" s="148">
        <f t="shared" si="5"/>
        <v>10.744</v>
      </c>
      <c r="L17" s="290">
        <f t="shared" si="6"/>
        <v>4.08</v>
      </c>
      <c r="M17" s="248"/>
    </row>
    <row r="18" spans="1:14" s="156" customFormat="1" x14ac:dyDescent="0.3">
      <c r="A18" s="159" t="s">
        <v>133</v>
      </c>
      <c r="B18" s="148">
        <v>0.1</v>
      </c>
      <c r="C18" s="246">
        <v>1.8</v>
      </c>
      <c r="D18" s="148">
        <v>0.35</v>
      </c>
      <c r="E18" s="246">
        <v>1</v>
      </c>
      <c r="F18" s="246"/>
      <c r="G18" s="247">
        <f t="shared" si="10"/>
        <v>6.3E-2</v>
      </c>
      <c r="H18" s="160">
        <f t="shared" si="1"/>
        <v>9.0000000000000011E-3</v>
      </c>
      <c r="I18" s="160">
        <f t="shared" si="3"/>
        <v>5.4000000000000006E-2</v>
      </c>
      <c r="J18" s="147">
        <f t="shared" si="4"/>
        <v>1.40448</v>
      </c>
      <c r="K18" s="148">
        <f t="shared" si="5"/>
        <v>2.8440000000000003</v>
      </c>
      <c r="L18" s="290">
        <f t="shared" si="6"/>
        <v>1.08</v>
      </c>
      <c r="M18" s="248"/>
    </row>
    <row r="19" spans="1:14" s="156" customFormat="1" x14ac:dyDescent="0.3">
      <c r="A19" s="159" t="s">
        <v>134</v>
      </c>
      <c r="B19" s="148">
        <v>0.1</v>
      </c>
      <c r="C19" s="246">
        <v>1.8</v>
      </c>
      <c r="D19" s="148">
        <v>0.35</v>
      </c>
      <c r="E19" s="246">
        <v>1</v>
      </c>
      <c r="F19" s="246"/>
      <c r="G19" s="247">
        <f t="shared" si="10"/>
        <v>6.3E-2</v>
      </c>
      <c r="H19" s="160">
        <f t="shared" si="1"/>
        <v>9.0000000000000011E-3</v>
      </c>
      <c r="I19" s="160">
        <f t="shared" si="3"/>
        <v>5.4000000000000006E-2</v>
      </c>
      <c r="J19" s="147">
        <f t="shared" si="4"/>
        <v>1.40448</v>
      </c>
      <c r="K19" s="148">
        <f t="shared" si="5"/>
        <v>2.8440000000000003</v>
      </c>
      <c r="L19" s="290">
        <f t="shared" si="6"/>
        <v>1.08</v>
      </c>
      <c r="M19" s="248"/>
    </row>
    <row r="20" spans="1:14" x14ac:dyDescent="0.3">
      <c r="A20" s="159" t="s">
        <v>161</v>
      </c>
      <c r="B20" s="148">
        <v>0.1</v>
      </c>
      <c r="C20" s="148">
        <v>6.8</v>
      </c>
      <c r="D20" s="148">
        <v>0.35</v>
      </c>
      <c r="E20" s="148">
        <v>1</v>
      </c>
      <c r="F20" s="148"/>
      <c r="G20" s="160">
        <f t="shared" si="10"/>
        <v>0.23799999999999999</v>
      </c>
      <c r="H20" s="160">
        <f t="shared" si="1"/>
        <v>3.4000000000000002E-2</v>
      </c>
      <c r="I20" s="160">
        <f t="shared" si="3"/>
        <v>0.20400000000000001</v>
      </c>
      <c r="J20" s="147">
        <f t="shared" si="4"/>
        <v>5.3838399999999993</v>
      </c>
      <c r="K20" s="148">
        <f t="shared" si="5"/>
        <v>10.744</v>
      </c>
      <c r="L20" s="290">
        <f t="shared" si="6"/>
        <v>4.08</v>
      </c>
      <c r="M20" s="161"/>
    </row>
    <row r="21" spans="1:14" x14ac:dyDescent="0.3">
      <c r="A21" s="159" t="s">
        <v>162</v>
      </c>
      <c r="B21" s="148">
        <v>0.1</v>
      </c>
      <c r="C21" s="148">
        <v>2.2999999999999998</v>
      </c>
      <c r="D21" s="148">
        <v>0.35</v>
      </c>
      <c r="E21" s="148">
        <v>1</v>
      </c>
      <c r="F21" s="148"/>
      <c r="G21" s="160">
        <f t="shared" si="10"/>
        <v>8.0499999999999988E-2</v>
      </c>
      <c r="H21" s="160">
        <f t="shared" si="1"/>
        <v>1.15E-2</v>
      </c>
      <c r="I21" s="160">
        <f t="shared" si="3"/>
        <v>6.8999999999999992E-2</v>
      </c>
      <c r="J21" s="147">
        <f t="shared" si="4"/>
        <v>1.8726399999999996</v>
      </c>
      <c r="K21" s="148">
        <f t="shared" si="5"/>
        <v>3.6339999999999999</v>
      </c>
      <c r="L21" s="290">
        <f t="shared" si="6"/>
        <v>1.38</v>
      </c>
      <c r="M21" s="161"/>
    </row>
    <row r="22" spans="1:14" x14ac:dyDescent="0.3">
      <c r="A22" s="159" t="s">
        <v>163</v>
      </c>
      <c r="B22" s="148">
        <v>0.1</v>
      </c>
      <c r="C22" s="148">
        <v>2.2999999999999998</v>
      </c>
      <c r="D22" s="148">
        <v>0.35</v>
      </c>
      <c r="E22" s="148">
        <v>1</v>
      </c>
      <c r="F22" s="148"/>
      <c r="G22" s="160">
        <f t="shared" ref="G22" si="11">(B22)*(C22)*(D22)*E22</f>
        <v>8.0499999999999988E-2</v>
      </c>
      <c r="H22" s="160">
        <f t="shared" ref="H22" si="12">((B22)*(C22)*0.05)*E22</f>
        <v>1.15E-2</v>
      </c>
      <c r="I22" s="160">
        <f t="shared" si="3"/>
        <v>6.8999999999999992E-2</v>
      </c>
      <c r="J22" s="147">
        <f t="shared" si="4"/>
        <v>1.8726399999999996</v>
      </c>
      <c r="K22" s="148">
        <f t="shared" ref="K22" si="13">C22*E22*4*0.395</f>
        <v>3.6339999999999999</v>
      </c>
      <c r="L22" s="290">
        <f t="shared" si="6"/>
        <v>1.38</v>
      </c>
      <c r="M22" s="161"/>
    </row>
    <row r="23" spans="1:14" x14ac:dyDescent="0.3">
      <c r="A23" s="159" t="s">
        <v>164</v>
      </c>
      <c r="B23" s="148">
        <v>0.1</v>
      </c>
      <c r="C23" s="148">
        <v>2.2999999999999998</v>
      </c>
      <c r="D23" s="148">
        <v>0.35</v>
      </c>
      <c r="E23" s="148">
        <v>1</v>
      </c>
      <c r="F23" s="148"/>
      <c r="G23" s="160">
        <f t="shared" si="10"/>
        <v>8.0499999999999988E-2</v>
      </c>
      <c r="H23" s="160">
        <f t="shared" ref="H23:H24" si="14">((B23)*(C23)*0.05)*E23</f>
        <v>1.15E-2</v>
      </c>
      <c r="I23" s="160">
        <f t="shared" si="3"/>
        <v>6.8999999999999992E-2</v>
      </c>
      <c r="J23" s="147">
        <f t="shared" si="4"/>
        <v>1.8726399999999996</v>
      </c>
      <c r="K23" s="148">
        <f t="shared" si="5"/>
        <v>3.6339999999999999</v>
      </c>
      <c r="L23" s="290">
        <f t="shared" si="6"/>
        <v>1.38</v>
      </c>
      <c r="M23" s="161"/>
    </row>
    <row r="24" spans="1:14" ht="15" thickBot="1" x14ac:dyDescent="0.35">
      <c r="A24" s="291" t="s">
        <v>165</v>
      </c>
      <c r="B24" s="292">
        <v>0.1</v>
      </c>
      <c r="C24" s="292">
        <v>6.8</v>
      </c>
      <c r="D24" s="292">
        <v>0.35</v>
      </c>
      <c r="E24" s="292">
        <v>1</v>
      </c>
      <c r="F24" s="292"/>
      <c r="G24" s="293">
        <f t="shared" si="10"/>
        <v>0.23799999999999999</v>
      </c>
      <c r="H24" s="293">
        <f t="shared" si="14"/>
        <v>3.4000000000000002E-2</v>
      </c>
      <c r="I24" s="293">
        <f t="shared" si="3"/>
        <v>0.20400000000000001</v>
      </c>
      <c r="J24" s="421">
        <f t="shared" si="4"/>
        <v>5.3838399999999993</v>
      </c>
      <c r="K24" s="292">
        <f t="shared" si="5"/>
        <v>10.744</v>
      </c>
      <c r="L24" s="294">
        <f t="shared" si="6"/>
        <v>4.08</v>
      </c>
      <c r="M24" s="161"/>
    </row>
    <row r="25" spans="1:14" ht="16.2" thickBot="1" x14ac:dyDescent="0.35">
      <c r="A25" s="150"/>
      <c r="B25" s="151"/>
      <c r="C25" s="678" t="s">
        <v>126</v>
      </c>
      <c r="D25" s="679"/>
      <c r="E25" s="680"/>
      <c r="F25" s="507"/>
      <c r="G25" s="152">
        <f t="shared" ref="G25:L25" si="15">SUM(G13:G24)</f>
        <v>1.5609999999999999</v>
      </c>
      <c r="H25" s="152">
        <f t="shared" si="15"/>
        <v>0.22300000000000003</v>
      </c>
      <c r="I25" s="152">
        <f t="shared" si="15"/>
        <v>1.3379999999999999</v>
      </c>
      <c r="J25" s="152">
        <f t="shared" si="15"/>
        <v>35.580159999999992</v>
      </c>
      <c r="K25" s="152">
        <f t="shared" si="15"/>
        <v>70.468000000000004</v>
      </c>
      <c r="L25" s="152">
        <f t="shared" si="15"/>
        <v>26.759999999999998</v>
      </c>
      <c r="M25" s="153"/>
    </row>
    <row r="26" spans="1:14" ht="16.2" thickBot="1" x14ac:dyDescent="0.35">
      <c r="A26" s="150"/>
      <c r="B26" s="151"/>
      <c r="C26" s="162"/>
      <c r="D26" s="162"/>
      <c r="E26" s="162"/>
      <c r="F26" s="162"/>
      <c r="G26" s="163"/>
      <c r="H26" s="163"/>
      <c r="I26" s="163"/>
      <c r="J26" s="163"/>
      <c r="K26" s="163"/>
      <c r="L26" s="158"/>
      <c r="M26" s="153"/>
    </row>
    <row r="27" spans="1:14" ht="15.75" customHeight="1" thickBot="1" x14ac:dyDescent="0.35">
      <c r="A27" s="675" t="s">
        <v>284</v>
      </c>
      <c r="B27" s="676"/>
      <c r="C27" s="676"/>
      <c r="D27" s="677"/>
      <c r="E27" s="157"/>
      <c r="F27" s="157"/>
      <c r="G27" s="157"/>
      <c r="H27" s="157"/>
      <c r="I27" s="157"/>
      <c r="J27" s="157"/>
      <c r="K27" s="156"/>
      <c r="L27" s="156"/>
    </row>
    <row r="28" spans="1:14" ht="26.4" x14ac:dyDescent="0.3">
      <c r="A28" s="142" t="s">
        <v>1</v>
      </c>
      <c r="B28" s="143" t="s">
        <v>116</v>
      </c>
      <c r="C28" s="143" t="s">
        <v>117</v>
      </c>
      <c r="D28" s="143" t="s">
        <v>118</v>
      </c>
      <c r="E28" s="143" t="s">
        <v>2</v>
      </c>
      <c r="F28" s="143"/>
      <c r="G28" s="144" t="s">
        <v>127</v>
      </c>
      <c r="H28" s="144" t="s">
        <v>120</v>
      </c>
      <c r="I28" s="144" t="s">
        <v>121</v>
      </c>
      <c r="J28" s="144" t="s">
        <v>122</v>
      </c>
      <c r="K28" s="144" t="s">
        <v>123</v>
      </c>
      <c r="L28" s="282" t="s">
        <v>124</v>
      </c>
      <c r="M28" s="158"/>
      <c r="N28" s="145"/>
    </row>
    <row r="29" spans="1:14" x14ac:dyDescent="0.3">
      <c r="A29" s="159" t="s">
        <v>135</v>
      </c>
      <c r="B29" s="148">
        <v>0.1</v>
      </c>
      <c r="C29" s="148">
        <v>6.8</v>
      </c>
      <c r="D29" s="148">
        <v>0.3</v>
      </c>
      <c r="E29" s="148">
        <v>1</v>
      </c>
      <c r="F29" s="148"/>
      <c r="G29" s="160" t="s">
        <v>125</v>
      </c>
      <c r="H29" s="160" t="s">
        <v>125</v>
      </c>
      <c r="I29" s="160">
        <f>B29*C29*D29*E29</f>
        <v>0.20400000000000001</v>
      </c>
      <c r="J29" s="147">
        <f>(((ROUNDUP(C29/0.15,0))*E29)*((((B29-0.03)+(D29-0.03))*2)+0.08))*0.154</f>
        <v>5.3838400000000002</v>
      </c>
      <c r="K29" s="148">
        <f>C29*E29*4*0.395</f>
        <v>10.744</v>
      </c>
      <c r="L29" s="290">
        <f>C29*D29*E29*2</f>
        <v>4.08</v>
      </c>
      <c r="M29" s="161"/>
    </row>
    <row r="30" spans="1:14" x14ac:dyDescent="0.3">
      <c r="A30" s="159" t="s">
        <v>136</v>
      </c>
      <c r="B30" s="148">
        <v>0.1</v>
      </c>
      <c r="C30" s="246">
        <v>2.2999999999999998</v>
      </c>
      <c r="D30" s="148">
        <v>0.3</v>
      </c>
      <c r="E30" s="148">
        <v>1</v>
      </c>
      <c r="F30" s="148"/>
      <c r="G30" s="160" t="s">
        <v>125</v>
      </c>
      <c r="H30" s="160" t="s">
        <v>125</v>
      </c>
      <c r="I30" s="160">
        <f>B30*C30*D30*E30</f>
        <v>6.8999999999999992E-2</v>
      </c>
      <c r="J30" s="147">
        <f t="shared" ref="J30:J40" si="16">(((ROUNDUP(C30/0.15,0))*E30)*((((B30-0.03)+(D30-0.03))*2)+0.08))*0.154</f>
        <v>1.8726400000000001</v>
      </c>
      <c r="K30" s="148">
        <f t="shared" ref="K30:K40" si="17">C30*E30*4*0.395</f>
        <v>3.6339999999999999</v>
      </c>
      <c r="L30" s="290">
        <f t="shared" ref="L30" si="18">C30*D30*E30*2</f>
        <v>1.38</v>
      </c>
      <c r="M30" s="161"/>
    </row>
    <row r="31" spans="1:14" x14ac:dyDescent="0.3">
      <c r="A31" s="159" t="s">
        <v>137</v>
      </c>
      <c r="B31" s="148">
        <v>0.1</v>
      </c>
      <c r="C31" s="246">
        <v>2.2999999999999998</v>
      </c>
      <c r="D31" s="148">
        <v>0.3</v>
      </c>
      <c r="E31" s="148">
        <v>1</v>
      </c>
      <c r="F31" s="148"/>
      <c r="G31" s="160" t="s">
        <v>125</v>
      </c>
      <c r="H31" s="160" t="s">
        <v>125</v>
      </c>
      <c r="I31" s="160">
        <f>B31*C31*D31*E31</f>
        <v>6.8999999999999992E-2</v>
      </c>
      <c r="J31" s="147">
        <f t="shared" si="16"/>
        <v>1.8726400000000001</v>
      </c>
      <c r="K31" s="148">
        <f t="shared" si="17"/>
        <v>3.6339999999999999</v>
      </c>
      <c r="L31" s="290">
        <f t="shared" ref="L31" si="19">C31*D31*E31*2</f>
        <v>1.38</v>
      </c>
      <c r="M31" s="161"/>
    </row>
    <row r="32" spans="1:14" x14ac:dyDescent="0.3">
      <c r="A32" s="159" t="s">
        <v>138</v>
      </c>
      <c r="B32" s="148">
        <v>0.1</v>
      </c>
      <c r="C32" s="246">
        <v>2.2999999999999998</v>
      </c>
      <c r="D32" s="148">
        <v>0.3</v>
      </c>
      <c r="E32" s="148">
        <v>1</v>
      </c>
      <c r="F32" s="148"/>
      <c r="G32" s="160" t="s">
        <v>125</v>
      </c>
      <c r="H32" s="160" t="s">
        <v>125</v>
      </c>
      <c r="I32" s="160">
        <f t="shared" ref="I32:I40" si="20">B32*C32*D32*E32</f>
        <v>6.8999999999999992E-2</v>
      </c>
      <c r="J32" s="147">
        <f t="shared" si="16"/>
        <v>1.8726400000000001</v>
      </c>
      <c r="K32" s="148">
        <f t="shared" si="17"/>
        <v>3.6339999999999999</v>
      </c>
      <c r="L32" s="290">
        <f t="shared" ref="L32:L40" si="21">C32*D32*E32*2</f>
        <v>1.38</v>
      </c>
      <c r="M32" s="161"/>
    </row>
    <row r="33" spans="1:14" x14ac:dyDescent="0.3">
      <c r="A33" s="159" t="s">
        <v>288</v>
      </c>
      <c r="B33" s="148">
        <v>0.1</v>
      </c>
      <c r="C33" s="246">
        <v>6.8</v>
      </c>
      <c r="D33" s="148">
        <v>0.3</v>
      </c>
      <c r="E33" s="148">
        <v>1</v>
      </c>
      <c r="F33" s="148"/>
      <c r="G33" s="160" t="s">
        <v>125</v>
      </c>
      <c r="H33" s="160" t="s">
        <v>125</v>
      </c>
      <c r="I33" s="160">
        <f t="shared" si="20"/>
        <v>0.20400000000000001</v>
      </c>
      <c r="J33" s="147">
        <f t="shared" si="16"/>
        <v>5.3838400000000002</v>
      </c>
      <c r="K33" s="148">
        <f t="shared" si="17"/>
        <v>10.744</v>
      </c>
      <c r="L33" s="290">
        <f t="shared" si="21"/>
        <v>4.08</v>
      </c>
      <c r="M33" s="161"/>
    </row>
    <row r="34" spans="1:14" x14ac:dyDescent="0.3">
      <c r="A34" s="159" t="s">
        <v>139</v>
      </c>
      <c r="B34" s="148">
        <v>0.1</v>
      </c>
      <c r="C34" s="246">
        <v>1.8</v>
      </c>
      <c r="D34" s="148">
        <v>0.3</v>
      </c>
      <c r="E34" s="148">
        <v>1</v>
      </c>
      <c r="F34" s="148"/>
      <c r="G34" s="160" t="s">
        <v>125</v>
      </c>
      <c r="H34" s="160" t="s">
        <v>125</v>
      </c>
      <c r="I34" s="160">
        <f t="shared" si="20"/>
        <v>5.4000000000000006E-2</v>
      </c>
      <c r="J34" s="147">
        <f t="shared" si="16"/>
        <v>1.4044800000000002</v>
      </c>
      <c r="K34" s="148">
        <f t="shared" si="17"/>
        <v>2.8440000000000003</v>
      </c>
      <c r="L34" s="290">
        <f t="shared" si="21"/>
        <v>1.08</v>
      </c>
      <c r="M34" s="161"/>
    </row>
    <row r="35" spans="1:14" x14ac:dyDescent="0.3">
      <c r="A35" s="159" t="s">
        <v>140</v>
      </c>
      <c r="B35" s="148">
        <v>0.1</v>
      </c>
      <c r="C35" s="246">
        <v>1.8</v>
      </c>
      <c r="D35" s="148">
        <v>0.3</v>
      </c>
      <c r="E35" s="148">
        <v>1</v>
      </c>
      <c r="F35" s="148"/>
      <c r="G35" s="160" t="s">
        <v>125</v>
      </c>
      <c r="H35" s="160" t="s">
        <v>125</v>
      </c>
      <c r="I35" s="160">
        <f t="shared" si="20"/>
        <v>5.4000000000000006E-2</v>
      </c>
      <c r="J35" s="147">
        <f t="shared" si="16"/>
        <v>1.4044800000000002</v>
      </c>
      <c r="K35" s="148">
        <f t="shared" si="17"/>
        <v>2.8440000000000003</v>
      </c>
      <c r="L35" s="290">
        <f t="shared" si="21"/>
        <v>1.08</v>
      </c>
      <c r="M35" s="161"/>
    </row>
    <row r="36" spans="1:14" x14ac:dyDescent="0.3">
      <c r="A36" s="159" t="s">
        <v>141</v>
      </c>
      <c r="B36" s="148">
        <v>0.1</v>
      </c>
      <c r="C36" s="148">
        <v>6.8</v>
      </c>
      <c r="D36" s="148">
        <v>0.3</v>
      </c>
      <c r="E36" s="148">
        <v>1</v>
      </c>
      <c r="F36" s="148"/>
      <c r="G36" s="160" t="s">
        <v>125</v>
      </c>
      <c r="H36" s="160" t="s">
        <v>125</v>
      </c>
      <c r="I36" s="160">
        <f t="shared" si="20"/>
        <v>0.20400000000000001</v>
      </c>
      <c r="J36" s="147">
        <f t="shared" si="16"/>
        <v>5.3838400000000002</v>
      </c>
      <c r="K36" s="148">
        <f t="shared" si="17"/>
        <v>10.744</v>
      </c>
      <c r="L36" s="290">
        <f t="shared" si="21"/>
        <v>4.08</v>
      </c>
      <c r="M36" s="161"/>
    </row>
    <row r="37" spans="1:14" x14ac:dyDescent="0.3">
      <c r="A37" s="159" t="s">
        <v>287</v>
      </c>
      <c r="B37" s="148">
        <v>0.1</v>
      </c>
      <c r="C37" s="148">
        <v>2.2999999999999998</v>
      </c>
      <c r="D37" s="148">
        <v>0.3</v>
      </c>
      <c r="E37" s="148">
        <v>1</v>
      </c>
      <c r="F37" s="148"/>
      <c r="G37" s="160" t="s">
        <v>125</v>
      </c>
      <c r="H37" s="160" t="s">
        <v>125</v>
      </c>
      <c r="I37" s="160">
        <f t="shared" si="20"/>
        <v>6.8999999999999992E-2</v>
      </c>
      <c r="J37" s="147">
        <f t="shared" si="16"/>
        <v>1.8726400000000001</v>
      </c>
      <c r="K37" s="148">
        <f t="shared" si="17"/>
        <v>3.6339999999999999</v>
      </c>
      <c r="L37" s="290">
        <f t="shared" si="21"/>
        <v>1.38</v>
      </c>
      <c r="M37" s="161"/>
    </row>
    <row r="38" spans="1:14" x14ac:dyDescent="0.3">
      <c r="A38" s="159" t="s">
        <v>166</v>
      </c>
      <c r="B38" s="148">
        <v>0.1</v>
      </c>
      <c r="C38" s="148">
        <v>2.2999999999999998</v>
      </c>
      <c r="D38" s="148">
        <v>0.3</v>
      </c>
      <c r="E38" s="148">
        <v>1</v>
      </c>
      <c r="F38" s="148"/>
      <c r="G38" s="160" t="s">
        <v>125</v>
      </c>
      <c r="H38" s="160" t="s">
        <v>125</v>
      </c>
      <c r="I38" s="160">
        <f t="shared" ref="I38" si="22">B38*C38*D38*E38</f>
        <v>6.8999999999999992E-2</v>
      </c>
      <c r="J38" s="147">
        <f t="shared" si="16"/>
        <v>1.8726400000000001</v>
      </c>
      <c r="K38" s="148">
        <f t="shared" si="17"/>
        <v>3.6339999999999999</v>
      </c>
      <c r="L38" s="290">
        <f t="shared" ref="L38" si="23">C38*D38*E38*2</f>
        <v>1.38</v>
      </c>
      <c r="M38" s="161"/>
    </row>
    <row r="39" spans="1:14" x14ac:dyDescent="0.3">
      <c r="A39" s="159" t="s">
        <v>167</v>
      </c>
      <c r="B39" s="148">
        <v>0.1</v>
      </c>
      <c r="C39" s="148">
        <v>2.2999999999999998</v>
      </c>
      <c r="D39" s="148">
        <v>0.3</v>
      </c>
      <c r="E39" s="148">
        <v>1</v>
      </c>
      <c r="F39" s="148"/>
      <c r="G39" s="160" t="s">
        <v>125</v>
      </c>
      <c r="H39" s="160" t="s">
        <v>125</v>
      </c>
      <c r="I39" s="160">
        <f t="shared" si="20"/>
        <v>6.8999999999999992E-2</v>
      </c>
      <c r="J39" s="147">
        <f t="shared" si="16"/>
        <v>1.8726400000000001</v>
      </c>
      <c r="K39" s="148">
        <f t="shared" si="17"/>
        <v>3.6339999999999999</v>
      </c>
      <c r="L39" s="290">
        <f t="shared" si="21"/>
        <v>1.38</v>
      </c>
      <c r="M39" s="161"/>
    </row>
    <row r="40" spans="1:14" ht="15" thickBot="1" x14ac:dyDescent="0.35">
      <c r="A40" s="291" t="s">
        <v>168</v>
      </c>
      <c r="B40" s="292">
        <v>0.1</v>
      </c>
      <c r="C40" s="292">
        <v>6.8</v>
      </c>
      <c r="D40" s="292">
        <v>0.3</v>
      </c>
      <c r="E40" s="292">
        <v>1</v>
      </c>
      <c r="F40" s="292"/>
      <c r="G40" s="293" t="s">
        <v>125</v>
      </c>
      <c r="H40" s="293" t="s">
        <v>125</v>
      </c>
      <c r="I40" s="293">
        <f t="shared" si="20"/>
        <v>0.20400000000000001</v>
      </c>
      <c r="J40" s="421">
        <f t="shared" si="16"/>
        <v>5.3838400000000002</v>
      </c>
      <c r="K40" s="292">
        <f t="shared" si="17"/>
        <v>10.744</v>
      </c>
      <c r="L40" s="294">
        <f t="shared" si="21"/>
        <v>4.08</v>
      </c>
      <c r="M40" s="161"/>
    </row>
    <row r="41" spans="1:14" ht="16.2" thickBot="1" x14ac:dyDescent="0.35">
      <c r="A41" s="150"/>
      <c r="B41" s="151"/>
      <c r="C41" s="678" t="s">
        <v>126</v>
      </c>
      <c r="D41" s="679"/>
      <c r="E41" s="680"/>
      <c r="F41" s="507"/>
      <c r="G41" s="152">
        <f t="shared" ref="G41:L41" si="24">SUM(G29:G40)</f>
        <v>0</v>
      </c>
      <c r="H41" s="152">
        <f t="shared" si="24"/>
        <v>0</v>
      </c>
      <c r="I41" s="152">
        <f t="shared" si="24"/>
        <v>1.3379999999999999</v>
      </c>
      <c r="J41" s="152">
        <f t="shared" si="24"/>
        <v>35.580159999999999</v>
      </c>
      <c r="K41" s="152">
        <f t="shared" si="24"/>
        <v>70.468000000000004</v>
      </c>
      <c r="L41" s="152">
        <f t="shared" si="24"/>
        <v>26.759999999999998</v>
      </c>
      <c r="M41" s="153"/>
    </row>
    <row r="42" spans="1:14" ht="11.4" customHeight="1" thickBot="1" x14ac:dyDescent="0.35">
      <c r="A42" s="150"/>
      <c r="B42" s="151"/>
      <c r="C42" s="164"/>
      <c r="D42" s="165"/>
      <c r="E42" s="165"/>
      <c r="F42" s="165"/>
      <c r="G42" s="166"/>
      <c r="H42" s="165"/>
      <c r="I42" s="165"/>
      <c r="J42" s="165"/>
      <c r="K42" s="165"/>
      <c r="L42" s="151"/>
    </row>
    <row r="43" spans="1:14" ht="15" thickBot="1" x14ac:dyDescent="0.35">
      <c r="A43" s="672" t="s">
        <v>142</v>
      </c>
      <c r="B43" s="673"/>
      <c r="C43" s="673"/>
      <c r="D43" s="674"/>
      <c r="E43" s="155"/>
      <c r="F43" s="155"/>
      <c r="G43" s="155"/>
      <c r="H43" s="155"/>
      <c r="I43" s="155"/>
      <c r="J43" s="155"/>
      <c r="K43" s="164"/>
      <c r="L43" s="154"/>
    </row>
    <row r="44" spans="1:14" ht="39.6" x14ac:dyDescent="0.3">
      <c r="A44" s="142" t="s">
        <v>1</v>
      </c>
      <c r="B44" s="143" t="s">
        <v>116</v>
      </c>
      <c r="C44" s="143" t="s">
        <v>117</v>
      </c>
      <c r="D44" s="143" t="s">
        <v>118</v>
      </c>
      <c r="E44" s="143" t="s">
        <v>2</v>
      </c>
      <c r="F44" s="143"/>
      <c r="G44" s="144" t="s">
        <v>143</v>
      </c>
      <c r="H44" s="144" t="s">
        <v>120</v>
      </c>
      <c r="I44" s="144" t="s">
        <v>144</v>
      </c>
      <c r="J44" s="144" t="s">
        <v>122</v>
      </c>
      <c r="K44" s="144" t="s">
        <v>123</v>
      </c>
      <c r="L44" s="282" t="s">
        <v>124</v>
      </c>
      <c r="M44" s="145"/>
      <c r="N44" s="145"/>
    </row>
    <row r="45" spans="1:14" ht="33" customHeight="1" x14ac:dyDescent="0.3">
      <c r="A45" s="418" t="s">
        <v>407</v>
      </c>
      <c r="B45" s="167">
        <v>0.1</v>
      </c>
      <c r="C45" s="148">
        <v>0.25</v>
      </c>
      <c r="D45" s="148">
        <v>3.9</v>
      </c>
      <c r="E45" s="148">
        <v>10</v>
      </c>
      <c r="F45" s="148"/>
      <c r="G45" s="148">
        <v>0</v>
      </c>
      <c r="H45" s="148">
        <v>0</v>
      </c>
      <c r="I45" s="146">
        <f>B45*C45*D45*E45</f>
        <v>0.97500000000000009</v>
      </c>
      <c r="J45" s="295">
        <f>(((ROUNDUP(D45/0.15,0))*E45)*((((B45-0.03)+(C45-0.03))*2)+0.08))*0.154</f>
        <v>26.426399999999997</v>
      </c>
      <c r="K45" s="146">
        <f>D45*E45*4*0.395</f>
        <v>61.620000000000005</v>
      </c>
      <c r="L45" s="419">
        <f>((B45*D45*2)+(C45*D45*2))*E45</f>
        <v>27.3</v>
      </c>
      <c r="M45" s="153"/>
      <c r="N45" s="149"/>
    </row>
    <row r="46" spans="1:14" ht="28.2" customHeight="1" thickBot="1" x14ac:dyDescent="0.35">
      <c r="A46" s="420" t="s">
        <v>408</v>
      </c>
      <c r="B46" s="167">
        <v>0.15</v>
      </c>
      <c r="C46" s="148">
        <v>0.25</v>
      </c>
      <c r="D46" s="148">
        <f>3.9+1.6</f>
        <v>5.5</v>
      </c>
      <c r="E46" s="148">
        <v>4</v>
      </c>
      <c r="F46" s="148"/>
      <c r="G46" s="148">
        <v>0</v>
      </c>
      <c r="H46" s="148">
        <v>0</v>
      </c>
      <c r="I46" s="146">
        <f>B46*C46*D46*E46</f>
        <v>0.82499999999999996</v>
      </c>
      <c r="J46" s="295">
        <f>(((ROUNDUP(D46/0.15,0))*E46)*((((B46-0.03)+(C46-0.03))*2)+0.08))*0.154</f>
        <v>17.321919999999999</v>
      </c>
      <c r="K46" s="146">
        <f>D46*E46*4*0.395</f>
        <v>34.760000000000005</v>
      </c>
      <c r="L46" s="419">
        <f>((B46*D46*2)+(C46*D46*2))*E46</f>
        <v>17.600000000000001</v>
      </c>
      <c r="M46" s="153"/>
      <c r="N46" s="149"/>
    </row>
    <row r="47" spans="1:14" ht="16.2" thickBot="1" x14ac:dyDescent="0.35">
      <c r="A47" s="168"/>
      <c r="B47" s="678" t="s">
        <v>126</v>
      </c>
      <c r="C47" s="679"/>
      <c r="D47" s="679"/>
      <c r="E47" s="679"/>
      <c r="F47" s="679"/>
      <c r="G47" s="680"/>
      <c r="H47" s="231">
        <f>SUM(H44:H46)</f>
        <v>0</v>
      </c>
      <c r="I47" s="232">
        <f>SUM(I45:I46)</f>
        <v>1.8</v>
      </c>
      <c r="J47" s="232">
        <f>SUM(J45:J46)</f>
        <v>43.748319999999993</v>
      </c>
      <c r="K47" s="232">
        <f>SUM(K45:K46)</f>
        <v>96.38000000000001</v>
      </c>
      <c r="L47" s="152">
        <f>SUM(L45:L46)</f>
        <v>44.900000000000006</v>
      </c>
      <c r="M47" s="153"/>
      <c r="N47" s="153"/>
    </row>
    <row r="48" spans="1:14" ht="15" thickBot="1" x14ac:dyDescent="0.35">
      <c r="A48" s="150"/>
      <c r="B48" s="151"/>
      <c r="C48" s="164"/>
      <c r="D48" s="165"/>
      <c r="E48" s="165"/>
      <c r="F48" s="165"/>
      <c r="G48" s="166"/>
      <c r="H48" s="166"/>
      <c r="I48" s="166"/>
      <c r="J48" s="156"/>
      <c r="K48" s="156"/>
      <c r="L48" s="156"/>
    </row>
    <row r="49" spans="1:12" ht="15.75" customHeight="1" thickBot="1" x14ac:dyDescent="0.35">
      <c r="A49" s="654" t="s">
        <v>145</v>
      </c>
      <c r="B49" s="655"/>
      <c r="C49" s="655"/>
      <c r="D49" s="655"/>
      <c r="E49" s="655"/>
      <c r="F49" s="655"/>
      <c r="G49" s="655"/>
      <c r="H49" s="655"/>
      <c r="I49" s="656"/>
      <c r="J49" s="156"/>
      <c r="K49" s="156"/>
      <c r="L49" s="156"/>
    </row>
    <row r="50" spans="1:12" ht="49.8" customHeight="1" thickBot="1" x14ac:dyDescent="0.35">
      <c r="A50" s="233" t="s">
        <v>146</v>
      </c>
      <c r="B50" s="234" t="s">
        <v>120</v>
      </c>
      <c r="C50" s="235" t="s">
        <v>404</v>
      </c>
      <c r="D50" s="235" t="s">
        <v>405</v>
      </c>
      <c r="E50" s="235" t="s">
        <v>122</v>
      </c>
      <c r="F50" s="235"/>
      <c r="G50" s="235" t="s">
        <v>123</v>
      </c>
      <c r="H50" s="236" t="s">
        <v>124</v>
      </c>
      <c r="I50" s="280" t="s">
        <v>406</v>
      </c>
      <c r="J50" s="156"/>
      <c r="K50" s="156"/>
      <c r="L50" s="156"/>
    </row>
    <row r="51" spans="1:12" ht="15" thickBot="1" x14ac:dyDescent="0.35">
      <c r="A51" s="237">
        <f>G9+G25</f>
        <v>6.8529999999999998</v>
      </c>
      <c r="B51" s="238">
        <f>H47+H41+H25+H9</f>
        <v>0.47500000000000003</v>
      </c>
      <c r="C51" s="238">
        <f>I9+I25</f>
        <v>4.3620000000000001</v>
      </c>
      <c r="D51" s="238">
        <f>I41+I47</f>
        <v>3.1379999999999999</v>
      </c>
      <c r="E51" s="238">
        <f>J47+J41+J25+J9</f>
        <v>114.90863999999998</v>
      </c>
      <c r="F51" s="238"/>
      <c r="G51" s="238">
        <f>K47+K41+K25+K9</f>
        <v>260.54200000000003</v>
      </c>
      <c r="H51" s="239">
        <f>L47+L41+L25+L9</f>
        <v>118.57999999999998</v>
      </c>
      <c r="I51" s="239">
        <f>A51-C51</f>
        <v>2.4909999999999997</v>
      </c>
      <c r="J51" s="156"/>
      <c r="K51" s="156"/>
      <c r="L51" s="156"/>
    </row>
    <row r="52" spans="1:12" s="169" customFormat="1" ht="15" thickBot="1" x14ac:dyDescent="0.35">
      <c r="A52" s="156"/>
      <c r="B52" s="156"/>
      <c r="C52" s="156"/>
      <c r="D52" s="156"/>
      <c r="E52" s="156"/>
      <c r="F52" s="156"/>
      <c r="G52" s="156"/>
      <c r="H52" s="156"/>
      <c r="I52" s="156"/>
      <c r="J52" s="156"/>
      <c r="K52" s="156"/>
      <c r="L52" s="156"/>
    </row>
    <row r="53" spans="1:12" s="207" customFormat="1" ht="15.75" customHeight="1" thickBot="1" x14ac:dyDescent="0.35">
      <c r="A53" s="636" t="s">
        <v>147</v>
      </c>
      <c r="B53" s="637"/>
      <c r="C53" s="637"/>
      <c r="D53" s="638"/>
      <c r="E53" s="205"/>
      <c r="F53" s="205"/>
      <c r="G53" s="205"/>
      <c r="H53" s="156"/>
      <c r="I53" s="156"/>
      <c r="J53" s="156"/>
      <c r="K53" s="156"/>
      <c r="L53" s="156"/>
    </row>
    <row r="54" spans="1:12" s="207" customFormat="1" ht="37.200000000000003" customHeight="1" thickBot="1" x14ac:dyDescent="0.35">
      <c r="A54" s="208" t="s">
        <v>1</v>
      </c>
      <c r="B54" s="209" t="s">
        <v>148</v>
      </c>
      <c r="C54" s="210" t="s">
        <v>296</v>
      </c>
      <c r="D54" s="210" t="s">
        <v>2</v>
      </c>
      <c r="E54" s="634" t="s">
        <v>150</v>
      </c>
      <c r="F54" s="687"/>
      <c r="G54" s="635"/>
      <c r="H54" s="211" t="s">
        <v>151</v>
      </c>
      <c r="I54" s="156"/>
      <c r="J54" s="156"/>
      <c r="K54" s="156"/>
      <c r="L54" s="156"/>
    </row>
    <row r="55" spans="1:12" s="207" customFormat="1" ht="15.75" customHeight="1" x14ac:dyDescent="0.3">
      <c r="A55" s="639" t="s">
        <v>294</v>
      </c>
      <c r="B55" s="688">
        <v>7</v>
      </c>
      <c r="C55" s="641">
        <f>2.9-0.3</f>
        <v>2.6</v>
      </c>
      <c r="D55" s="641">
        <v>2</v>
      </c>
      <c r="E55" s="229" t="s">
        <v>352</v>
      </c>
      <c r="F55" s="229"/>
      <c r="G55" s="229">
        <v>1</v>
      </c>
      <c r="H55" s="690">
        <f>((B55*C55*D55)+(B57*C55*D57)+(B58*C55*D58))-((0.9*2.1*G55)+(1.5*0.5*G56)+(1*0.5*G57))</f>
        <v>47.58</v>
      </c>
      <c r="I55" s="205"/>
      <c r="J55" s="205"/>
      <c r="K55" s="206"/>
      <c r="L55" s="206"/>
    </row>
    <row r="56" spans="1:12" s="207" customFormat="1" ht="15.75" customHeight="1" x14ac:dyDescent="0.3">
      <c r="A56" s="648"/>
      <c r="B56" s="689"/>
      <c r="C56" s="621"/>
      <c r="D56" s="627"/>
      <c r="E56" s="225" t="s">
        <v>381</v>
      </c>
      <c r="F56" s="225"/>
      <c r="G56" s="225">
        <v>1</v>
      </c>
      <c r="H56" s="691"/>
      <c r="I56" s="205"/>
      <c r="J56" s="205"/>
      <c r="K56" s="206"/>
      <c r="L56" s="206"/>
    </row>
    <row r="57" spans="1:12" s="207" customFormat="1" ht="15.75" customHeight="1" x14ac:dyDescent="0.3">
      <c r="A57" s="648"/>
      <c r="B57" s="244">
        <v>2.5</v>
      </c>
      <c r="C57" s="621"/>
      <c r="D57" s="244">
        <v>2</v>
      </c>
      <c r="E57" s="700" t="s">
        <v>380</v>
      </c>
      <c r="F57" s="225"/>
      <c r="G57" s="702">
        <v>2</v>
      </c>
      <c r="H57" s="691"/>
      <c r="I57" s="205"/>
      <c r="J57" s="205"/>
      <c r="K57" s="206"/>
      <c r="L57" s="206"/>
    </row>
    <row r="58" spans="1:12" s="207" customFormat="1" ht="15.75" customHeight="1" x14ac:dyDescent="0.3">
      <c r="A58" s="640"/>
      <c r="B58" s="242">
        <v>0.7</v>
      </c>
      <c r="C58" s="622"/>
      <c r="D58" s="346">
        <v>1</v>
      </c>
      <c r="E58" s="701"/>
      <c r="F58" s="509"/>
      <c r="G58" s="703"/>
      <c r="H58" s="692"/>
      <c r="I58" s="205"/>
      <c r="J58" s="205"/>
      <c r="K58" s="206"/>
      <c r="L58" s="206"/>
    </row>
    <row r="59" spans="1:12" s="207" customFormat="1" ht="15.75" customHeight="1" x14ac:dyDescent="0.3">
      <c r="A59" s="693" t="s">
        <v>475</v>
      </c>
      <c r="B59" s="704">
        <v>7</v>
      </c>
      <c r="C59" s="620">
        <v>2.6</v>
      </c>
      <c r="D59" s="620">
        <v>2</v>
      </c>
      <c r="E59" s="225" t="s">
        <v>352</v>
      </c>
      <c r="F59" s="225"/>
      <c r="G59" s="225">
        <v>1</v>
      </c>
      <c r="H59" s="695">
        <f>((B59*C59*D59)+(B61*C59*D61))-((0.9*2.1*G59)+(1.5*0.5*G60)+(1*0.5*G61))</f>
        <v>46.26</v>
      </c>
      <c r="I59" s="205"/>
      <c r="J59" s="205"/>
      <c r="K59" s="206"/>
      <c r="L59" s="206"/>
    </row>
    <row r="60" spans="1:12" s="207" customFormat="1" ht="15.75" customHeight="1" x14ac:dyDescent="0.3">
      <c r="A60" s="696"/>
      <c r="B60" s="689"/>
      <c r="C60" s="621"/>
      <c r="D60" s="627"/>
      <c r="E60" s="225" t="s">
        <v>381</v>
      </c>
      <c r="F60" s="225"/>
      <c r="G60" s="225">
        <v>1</v>
      </c>
      <c r="H60" s="691"/>
      <c r="I60" s="205"/>
      <c r="J60" s="205"/>
      <c r="K60" s="206"/>
      <c r="L60" s="206"/>
    </row>
    <row r="61" spans="1:12" s="207" customFormat="1" ht="15.75" customHeight="1" x14ac:dyDescent="0.3">
      <c r="A61" s="694"/>
      <c r="B61" s="242">
        <v>2.5</v>
      </c>
      <c r="C61" s="622"/>
      <c r="D61" s="346">
        <v>2</v>
      </c>
      <c r="E61" s="225" t="s">
        <v>380</v>
      </c>
      <c r="F61" s="225"/>
      <c r="G61" s="225">
        <v>1</v>
      </c>
      <c r="H61" s="692"/>
      <c r="I61" s="205"/>
      <c r="J61" s="205"/>
      <c r="K61" s="206"/>
      <c r="L61" s="206"/>
    </row>
    <row r="62" spans="1:12" s="207" customFormat="1" ht="15.75" customHeight="1" x14ac:dyDescent="0.3">
      <c r="A62" s="693" t="s">
        <v>517</v>
      </c>
      <c r="B62" s="374">
        <v>1.2</v>
      </c>
      <c r="C62" s="620">
        <v>2.6</v>
      </c>
      <c r="D62" s="240">
        <v>2</v>
      </c>
      <c r="E62" s="226" t="s">
        <v>352</v>
      </c>
      <c r="F62" s="296"/>
      <c r="G62" s="227">
        <v>1</v>
      </c>
      <c r="H62" s="695">
        <f>((B62*C62*D62)+(B63*C62*D63))-((0.9*2.1*G62)+(1*0.5*G63))</f>
        <v>15.809999999999999</v>
      </c>
      <c r="I62" s="205"/>
      <c r="J62" s="205"/>
      <c r="K62" s="206"/>
      <c r="L62" s="206"/>
    </row>
    <row r="63" spans="1:12" s="207" customFormat="1" ht="15.75" customHeight="1" thickBot="1" x14ac:dyDescent="0.35">
      <c r="A63" s="694"/>
      <c r="B63" s="384">
        <v>2.2999999999999998</v>
      </c>
      <c r="C63" s="622"/>
      <c r="D63" s="346">
        <v>2</v>
      </c>
      <c r="E63" s="225" t="s">
        <v>380</v>
      </c>
      <c r="F63" s="225"/>
      <c r="G63" s="225">
        <v>1</v>
      </c>
      <c r="H63" s="692"/>
      <c r="I63" s="205"/>
      <c r="J63" s="205"/>
      <c r="K63" s="206"/>
      <c r="L63" s="206"/>
    </row>
    <row r="64" spans="1:12" s="207" customFormat="1" ht="15" customHeight="1" thickBot="1" x14ac:dyDescent="0.35">
      <c r="A64" s="657" t="s">
        <v>350</v>
      </c>
      <c r="B64" s="658"/>
      <c r="C64" s="658"/>
      <c r="D64" s="658"/>
      <c r="E64" s="658"/>
      <c r="F64" s="658"/>
      <c r="G64" s="659"/>
      <c r="H64" s="215">
        <f>SUM(H55:H63)</f>
        <v>109.65</v>
      </c>
      <c r="I64" s="206"/>
      <c r="J64" s="206"/>
      <c r="K64" s="206"/>
      <c r="L64" s="206"/>
    </row>
    <row r="65" spans="1:12" s="207" customFormat="1" ht="15.75" customHeight="1" x14ac:dyDescent="0.3">
      <c r="A65" s="639" t="s">
        <v>527</v>
      </c>
      <c r="B65" s="243">
        <v>1.8</v>
      </c>
      <c r="C65" s="641">
        <v>5.9</v>
      </c>
      <c r="D65" s="641">
        <v>1</v>
      </c>
      <c r="E65" s="390" t="s">
        <v>352</v>
      </c>
      <c r="F65" s="390"/>
      <c r="G65" s="243">
        <v>1</v>
      </c>
      <c r="H65" s="724">
        <f>(B65*C65*D65)+(B66*C65*D65)+(B67*C67*D67)+(B68*C67*D67)-(0.9*2.1*G65)</f>
        <v>22.86</v>
      </c>
      <c r="I65" s="205"/>
      <c r="J65" s="205"/>
      <c r="K65" s="206"/>
      <c r="L65" s="206"/>
    </row>
    <row r="66" spans="1:12" s="207" customFormat="1" ht="15.75" customHeight="1" x14ac:dyDescent="0.3">
      <c r="A66" s="648"/>
      <c r="B66" s="244">
        <v>1.5</v>
      </c>
      <c r="C66" s="627"/>
      <c r="D66" s="627"/>
      <c r="E66" s="244">
        <v>0</v>
      </c>
      <c r="F66" s="244"/>
      <c r="G66" s="244">
        <v>0</v>
      </c>
      <c r="H66" s="725"/>
      <c r="I66" s="205"/>
      <c r="J66" s="205"/>
      <c r="K66" s="206"/>
      <c r="L66" s="206"/>
    </row>
    <row r="67" spans="1:12" s="207" customFormat="1" ht="15.75" customHeight="1" x14ac:dyDescent="0.3">
      <c r="A67" s="648"/>
      <c r="B67" s="244">
        <v>1.8</v>
      </c>
      <c r="C67" s="626">
        <v>1.6</v>
      </c>
      <c r="D67" s="626">
        <v>1</v>
      </c>
      <c r="E67" s="244">
        <v>0</v>
      </c>
      <c r="F67" s="244"/>
      <c r="G67" s="244">
        <v>0</v>
      </c>
      <c r="H67" s="725"/>
      <c r="I67" s="205"/>
      <c r="J67" s="205"/>
      <c r="K67" s="206"/>
      <c r="L67" s="206"/>
    </row>
    <row r="68" spans="1:12" s="207" customFormat="1" ht="15.75" customHeight="1" thickBot="1" x14ac:dyDescent="0.35">
      <c r="A68" s="649"/>
      <c r="B68" s="351">
        <v>1.5</v>
      </c>
      <c r="C68" s="650"/>
      <c r="D68" s="650"/>
      <c r="E68" s="351">
        <v>0</v>
      </c>
      <c r="F68" s="351"/>
      <c r="G68" s="351">
        <v>0</v>
      </c>
      <c r="H68" s="726"/>
      <c r="I68" s="205"/>
      <c r="J68" s="205"/>
      <c r="K68" s="206"/>
      <c r="L68" s="206"/>
    </row>
    <row r="69" spans="1:12" s="207" customFormat="1" ht="15" customHeight="1" thickBot="1" x14ac:dyDescent="0.35">
      <c r="A69" s="651" t="s">
        <v>351</v>
      </c>
      <c r="B69" s="652"/>
      <c r="C69" s="652"/>
      <c r="D69" s="652"/>
      <c r="E69" s="652"/>
      <c r="F69" s="652"/>
      <c r="G69" s="653"/>
      <c r="H69" s="389">
        <f>SUM(H65:H68)</f>
        <v>22.86</v>
      </c>
      <c r="I69" s="206"/>
      <c r="J69" s="206"/>
      <c r="K69" s="206"/>
      <c r="L69" s="206"/>
    </row>
    <row r="70" spans="1:12" s="204" customFormat="1" ht="13.2" x14ac:dyDescent="0.25">
      <c r="A70" s="221"/>
      <c r="B70" s="222"/>
      <c r="C70" s="223"/>
      <c r="D70" s="218"/>
      <c r="E70" s="218"/>
      <c r="F70" s="218"/>
      <c r="G70" s="218"/>
      <c r="H70" s="217"/>
      <c r="I70" s="218"/>
      <c r="J70" s="218"/>
      <c r="K70" s="217"/>
      <c r="L70" s="219"/>
    </row>
    <row r="71" spans="1:12" s="204" customFormat="1" ht="13.8" thickBot="1" x14ac:dyDescent="0.3">
      <c r="A71" s="224"/>
      <c r="B71" s="222"/>
      <c r="C71" s="223"/>
      <c r="D71" s="218"/>
      <c r="E71" s="218"/>
      <c r="F71" s="218"/>
      <c r="G71" s="218"/>
      <c r="H71" s="217"/>
      <c r="I71" s="218"/>
      <c r="J71" s="218"/>
      <c r="K71" s="217"/>
      <c r="L71" s="220"/>
    </row>
    <row r="72" spans="1:12" s="207" customFormat="1" ht="15" thickBot="1" x14ac:dyDescent="0.35">
      <c r="A72" s="636" t="s">
        <v>152</v>
      </c>
      <c r="B72" s="637"/>
      <c r="C72" s="637"/>
      <c r="D72" s="638"/>
      <c r="E72" s="216"/>
      <c r="F72" s="216"/>
      <c r="G72" s="216"/>
      <c r="H72" s="216"/>
      <c r="I72" s="216"/>
      <c r="J72" s="70"/>
      <c r="K72" s="206"/>
      <c r="L72" s="206"/>
    </row>
    <row r="73" spans="1:12" s="207" customFormat="1" ht="53.4" customHeight="1" thickBot="1" x14ac:dyDescent="0.35">
      <c r="A73" s="208" t="s">
        <v>1</v>
      </c>
      <c r="B73" s="209" t="s">
        <v>148</v>
      </c>
      <c r="C73" s="210" t="s">
        <v>149</v>
      </c>
      <c r="D73" s="210" t="s">
        <v>2</v>
      </c>
      <c r="E73" s="210" t="s">
        <v>720</v>
      </c>
      <c r="F73" s="210"/>
      <c r="G73" s="210" t="s">
        <v>390</v>
      </c>
      <c r="H73" s="343" t="s">
        <v>721</v>
      </c>
    </row>
    <row r="74" spans="1:12" s="207" customFormat="1" x14ac:dyDescent="0.3">
      <c r="A74" s="645" t="s">
        <v>294</v>
      </c>
      <c r="B74" s="381">
        <v>6.8</v>
      </c>
      <c r="C74" s="647">
        <v>2.9</v>
      </c>
      <c r="D74" s="381">
        <v>2</v>
      </c>
      <c r="E74" s="381">
        <v>0</v>
      </c>
      <c r="F74" s="381"/>
      <c r="G74" s="381">
        <v>0</v>
      </c>
      <c r="H74" s="630">
        <f>B74*B75</f>
        <v>15.639999999999999</v>
      </c>
    </row>
    <row r="75" spans="1:12" s="207" customFormat="1" x14ac:dyDescent="0.3">
      <c r="A75" s="646"/>
      <c r="B75" s="365">
        <v>2.2999999999999998</v>
      </c>
      <c r="C75" s="624"/>
      <c r="D75" s="365">
        <v>2</v>
      </c>
      <c r="E75" s="365">
        <v>0</v>
      </c>
      <c r="F75" s="365"/>
      <c r="G75" s="365">
        <v>0</v>
      </c>
      <c r="H75" s="631"/>
    </row>
    <row r="76" spans="1:12" s="207" customFormat="1" x14ac:dyDescent="0.3">
      <c r="A76" s="646"/>
      <c r="B76" s="365">
        <v>0.7</v>
      </c>
      <c r="C76" s="624"/>
      <c r="D76" s="365">
        <v>2</v>
      </c>
      <c r="E76" s="365">
        <v>0</v>
      </c>
      <c r="F76" s="365"/>
      <c r="G76" s="365">
        <v>0</v>
      </c>
      <c r="H76" s="631"/>
    </row>
    <row r="77" spans="1:12" s="207" customFormat="1" x14ac:dyDescent="0.3">
      <c r="A77" s="646"/>
      <c r="B77" s="387">
        <v>0.1</v>
      </c>
      <c r="C77" s="624"/>
      <c r="D77" s="388">
        <v>1</v>
      </c>
      <c r="E77" s="377">
        <v>0</v>
      </c>
      <c r="F77" s="377"/>
      <c r="G77" s="377">
        <v>0</v>
      </c>
      <c r="H77" s="631"/>
    </row>
    <row r="78" spans="1:12" s="207" customFormat="1" x14ac:dyDescent="0.3">
      <c r="A78" s="693" t="s">
        <v>475</v>
      </c>
      <c r="B78" s="374">
        <v>5.5</v>
      </c>
      <c r="C78" s="623">
        <v>2.9</v>
      </c>
      <c r="D78" s="382">
        <v>2</v>
      </c>
      <c r="E78" s="366">
        <v>0</v>
      </c>
      <c r="F78" s="366"/>
      <c r="G78" s="366">
        <v>0</v>
      </c>
      <c r="H78" s="727">
        <f>B78*B79</f>
        <v>12.649999999999999</v>
      </c>
    </row>
    <row r="79" spans="1:12" s="207" customFormat="1" x14ac:dyDescent="0.3">
      <c r="A79" s="696"/>
      <c r="B79" s="387">
        <v>2.2999999999999998</v>
      </c>
      <c r="C79" s="624"/>
      <c r="D79" s="379">
        <v>2</v>
      </c>
      <c r="E79" s="365">
        <v>0</v>
      </c>
      <c r="F79" s="365"/>
      <c r="G79" s="365">
        <v>0</v>
      </c>
      <c r="H79" s="631"/>
    </row>
    <row r="80" spans="1:12" s="207" customFormat="1" x14ac:dyDescent="0.3">
      <c r="A80" s="693" t="s">
        <v>517</v>
      </c>
      <c r="B80" s="374">
        <v>1.2</v>
      </c>
      <c r="C80" s="623">
        <v>2.9</v>
      </c>
      <c r="D80" s="366">
        <v>2</v>
      </c>
      <c r="E80" s="366">
        <v>0</v>
      </c>
      <c r="F80" s="366"/>
      <c r="G80" s="366">
        <v>0</v>
      </c>
      <c r="H80" s="727">
        <f>B80*B81</f>
        <v>2.76</v>
      </c>
    </row>
    <row r="81" spans="1:8" s="207" customFormat="1" x14ac:dyDescent="0.3">
      <c r="A81" s="694"/>
      <c r="B81" s="384">
        <v>2.2999999999999998</v>
      </c>
      <c r="C81" s="698"/>
      <c r="D81" s="385">
        <v>2</v>
      </c>
      <c r="E81" s="383">
        <v>0</v>
      </c>
      <c r="F81" s="383"/>
      <c r="G81" s="383"/>
      <c r="H81" s="728"/>
    </row>
    <row r="82" spans="1:8" s="207" customFormat="1" ht="14.4" customHeight="1" x14ac:dyDescent="0.3">
      <c r="A82" s="646" t="s">
        <v>295</v>
      </c>
      <c r="B82" s="374">
        <v>1.5</v>
      </c>
      <c r="C82" s="623">
        <v>2.9</v>
      </c>
      <c r="D82" s="366">
        <v>2</v>
      </c>
      <c r="E82" s="374">
        <v>0</v>
      </c>
      <c r="F82" s="374"/>
      <c r="G82" s="374">
        <f>E82</f>
        <v>0</v>
      </c>
      <c r="H82" s="642">
        <f>B82*B83</f>
        <v>2.7</v>
      </c>
    </row>
    <row r="83" spans="1:8" s="207" customFormat="1" ht="14.4" customHeight="1" x14ac:dyDescent="0.3">
      <c r="A83" s="646"/>
      <c r="B83" s="386">
        <v>1.8</v>
      </c>
      <c r="C83" s="698"/>
      <c r="D83" s="385">
        <v>2</v>
      </c>
      <c r="E83" s="365">
        <v>0</v>
      </c>
      <c r="F83" s="365"/>
      <c r="G83" s="365">
        <v>0</v>
      </c>
      <c r="H83" s="643"/>
    </row>
    <row r="84" spans="1:8" s="207" customFormat="1" ht="14.4" customHeight="1" x14ac:dyDescent="0.3">
      <c r="A84" s="693" t="s">
        <v>527</v>
      </c>
      <c r="B84" s="244">
        <f>B138</f>
        <v>7</v>
      </c>
      <c r="C84" s="623">
        <v>3</v>
      </c>
      <c r="D84" s="365">
        <v>2</v>
      </c>
      <c r="E84" s="244">
        <v>0</v>
      </c>
      <c r="F84" s="244"/>
      <c r="G84" s="244">
        <f>E84</f>
        <v>0</v>
      </c>
      <c r="H84" s="349">
        <v>0</v>
      </c>
    </row>
    <row r="85" spans="1:8" s="207" customFormat="1" ht="14.4" customHeight="1" x14ac:dyDescent="0.3">
      <c r="A85" s="696"/>
      <c r="B85" s="244">
        <f>B139</f>
        <v>2.5</v>
      </c>
      <c r="C85" s="624"/>
      <c r="D85" s="370">
        <v>4</v>
      </c>
      <c r="E85" s="244">
        <v>0</v>
      </c>
      <c r="F85" s="244"/>
      <c r="G85" s="244">
        <v>0</v>
      </c>
      <c r="H85" s="349">
        <v>0</v>
      </c>
    </row>
    <row r="86" spans="1:8" s="207" customFormat="1" ht="14.4" customHeight="1" x14ac:dyDescent="0.3">
      <c r="A86" s="696"/>
      <c r="B86" s="244">
        <f t="shared" ref="B86:B87" si="25">B140</f>
        <v>2.9</v>
      </c>
      <c r="C86" s="624"/>
      <c r="D86" s="370">
        <v>2</v>
      </c>
      <c r="E86" s="244">
        <v>0</v>
      </c>
      <c r="F86" s="244"/>
      <c r="G86" s="244">
        <v>0</v>
      </c>
      <c r="H86" s="349">
        <v>0</v>
      </c>
    </row>
    <row r="87" spans="1:8" s="207" customFormat="1" ht="14.4" customHeight="1" x14ac:dyDescent="0.3">
      <c r="A87" s="696"/>
      <c r="B87" s="244">
        <f t="shared" si="25"/>
        <v>2.4</v>
      </c>
      <c r="C87" s="625"/>
      <c r="D87" s="370">
        <v>2</v>
      </c>
      <c r="E87" s="244">
        <v>0</v>
      </c>
      <c r="F87" s="244"/>
      <c r="G87" s="244">
        <v>0</v>
      </c>
      <c r="H87" s="349">
        <v>0</v>
      </c>
    </row>
    <row r="88" spans="1:8" s="207" customFormat="1" ht="14.4" customHeight="1" x14ac:dyDescent="0.3">
      <c r="A88" s="696"/>
      <c r="B88" s="244">
        <f>B144</f>
        <v>1.8</v>
      </c>
      <c r="C88" s="626">
        <v>5.9</v>
      </c>
      <c r="D88" s="626">
        <v>2</v>
      </c>
      <c r="E88" s="244">
        <f>B88*$C$88*$D$88</f>
        <v>21.240000000000002</v>
      </c>
      <c r="F88" s="244"/>
      <c r="G88" s="244">
        <f>E88</f>
        <v>21.240000000000002</v>
      </c>
      <c r="H88" s="349">
        <v>0</v>
      </c>
    </row>
    <row r="89" spans="1:8" s="207" customFormat="1" ht="14.4" customHeight="1" x14ac:dyDescent="0.3">
      <c r="A89" s="696"/>
      <c r="B89" s="244">
        <f>B145</f>
        <v>1.5</v>
      </c>
      <c r="C89" s="627"/>
      <c r="D89" s="627">
        <v>2</v>
      </c>
      <c r="E89" s="244">
        <f>B89*$C$88*$D$88</f>
        <v>17.700000000000003</v>
      </c>
      <c r="F89" s="244"/>
      <c r="G89" s="244">
        <f>E89</f>
        <v>17.700000000000003</v>
      </c>
      <c r="H89" s="349">
        <v>0</v>
      </c>
    </row>
    <row r="90" spans="1:8" s="207" customFormat="1" ht="14.4" customHeight="1" x14ac:dyDescent="0.3">
      <c r="A90" s="696"/>
      <c r="B90" s="244">
        <v>1.8</v>
      </c>
      <c r="C90" s="626">
        <v>1.6</v>
      </c>
      <c r="D90" s="626">
        <v>2</v>
      </c>
      <c r="E90" s="244">
        <f>B90*$C$90*$D$90*2</f>
        <v>11.520000000000001</v>
      </c>
      <c r="F90" s="244"/>
      <c r="G90" s="244">
        <f>B90*C90*D90</f>
        <v>5.7600000000000007</v>
      </c>
      <c r="H90" s="349">
        <v>0</v>
      </c>
    </row>
    <row r="91" spans="1:8" s="207" customFormat="1" ht="14.4" customHeight="1" x14ac:dyDescent="0.3">
      <c r="A91" s="694"/>
      <c r="B91" s="244">
        <v>1.5</v>
      </c>
      <c r="C91" s="622"/>
      <c r="D91" s="622">
        <v>2</v>
      </c>
      <c r="E91" s="244">
        <f>B91*$C$90*$D$90*2</f>
        <v>9.6000000000000014</v>
      </c>
      <c r="F91" s="244"/>
      <c r="G91" s="244">
        <f>B91*C90*D90</f>
        <v>4.8000000000000007</v>
      </c>
      <c r="H91" s="349">
        <v>0</v>
      </c>
    </row>
    <row r="92" spans="1:8" s="207" customFormat="1" ht="14.4" customHeight="1" x14ac:dyDescent="0.3">
      <c r="A92" s="693" t="s">
        <v>142</v>
      </c>
      <c r="B92" s="374">
        <v>0.25</v>
      </c>
      <c r="C92" s="623">
        <v>3</v>
      </c>
      <c r="D92" s="623">
        <f>10*2</f>
        <v>20</v>
      </c>
      <c r="E92" s="375">
        <f>B92*C92*D92*2</f>
        <v>30</v>
      </c>
      <c r="F92" s="510"/>
      <c r="G92" s="366">
        <v>0</v>
      </c>
      <c r="H92" s="369">
        <v>0</v>
      </c>
    </row>
    <row r="93" spans="1:8" s="207" customFormat="1" ht="14.4" customHeight="1" x14ac:dyDescent="0.3">
      <c r="A93" s="696"/>
      <c r="B93" s="376">
        <v>0.1</v>
      </c>
      <c r="C93" s="625"/>
      <c r="D93" s="625"/>
      <c r="E93" s="378">
        <f>B93*C92*D92</f>
        <v>6.0000000000000009</v>
      </c>
      <c r="F93" s="511"/>
      <c r="G93" s="370">
        <v>0</v>
      </c>
      <c r="H93" s="371">
        <v>0</v>
      </c>
    </row>
    <row r="94" spans="1:8" s="207" customFormat="1" x14ac:dyDescent="0.3">
      <c r="A94" s="696"/>
      <c r="B94" s="365">
        <v>0.25</v>
      </c>
      <c r="C94" s="697">
        <v>5.5</v>
      </c>
      <c r="D94" s="697">
        <f>4*2</f>
        <v>8</v>
      </c>
      <c r="E94" s="378">
        <f>B94*C94*D94</f>
        <v>11</v>
      </c>
      <c r="F94" s="511"/>
      <c r="G94" s="370">
        <v>0</v>
      </c>
      <c r="H94" s="371">
        <v>0</v>
      </c>
    </row>
    <row r="95" spans="1:8" s="207" customFormat="1" x14ac:dyDescent="0.3">
      <c r="A95" s="694"/>
      <c r="B95" s="365">
        <v>0.1</v>
      </c>
      <c r="C95" s="698"/>
      <c r="D95" s="698"/>
      <c r="E95" s="378">
        <f>B95*C94*D94</f>
        <v>4.4000000000000004</v>
      </c>
      <c r="F95" s="511"/>
      <c r="G95" s="370">
        <v>0</v>
      </c>
      <c r="H95" s="371">
        <v>0</v>
      </c>
    </row>
    <row r="96" spans="1:8" s="207" customFormat="1" x14ac:dyDescent="0.3">
      <c r="A96" s="693" t="s">
        <v>391</v>
      </c>
      <c r="B96" s="366">
        <v>7</v>
      </c>
      <c r="C96" s="623">
        <v>0.3</v>
      </c>
      <c r="D96" s="365">
        <f>2*4</f>
        <v>8</v>
      </c>
      <c r="E96" s="366">
        <f>B96*C96*D96</f>
        <v>16.8</v>
      </c>
      <c r="F96" s="366"/>
      <c r="G96" s="366">
        <v>0</v>
      </c>
      <c r="H96" s="369">
        <v>0</v>
      </c>
    </row>
    <row r="97" spans="1:12" s="207" customFormat="1" x14ac:dyDescent="0.3">
      <c r="A97" s="696"/>
      <c r="B97" s="365">
        <v>2.5</v>
      </c>
      <c r="C97" s="624"/>
      <c r="D97" s="370">
        <f>2*5</f>
        <v>10</v>
      </c>
      <c r="E97" s="365">
        <f>B97*C96*D97</f>
        <v>7.5</v>
      </c>
      <c r="F97" s="365"/>
      <c r="G97" s="370">
        <v>0</v>
      </c>
      <c r="H97" s="371">
        <v>0</v>
      </c>
    </row>
    <row r="98" spans="1:12" s="207" customFormat="1" ht="15" thickBot="1" x14ac:dyDescent="0.35">
      <c r="A98" s="699"/>
      <c r="B98" s="380">
        <v>1.8</v>
      </c>
      <c r="C98" s="723"/>
      <c r="D98" s="380">
        <f>2*2</f>
        <v>4</v>
      </c>
      <c r="E98" s="380">
        <f>B98*C96*D98</f>
        <v>2.16</v>
      </c>
      <c r="F98" s="380"/>
      <c r="G98" s="372">
        <v>0</v>
      </c>
      <c r="H98" s="373">
        <v>0</v>
      </c>
    </row>
    <row r="99" spans="1:12" s="207" customFormat="1" ht="15" customHeight="1" thickBot="1" x14ac:dyDescent="0.35">
      <c r="A99" s="705" t="s">
        <v>153</v>
      </c>
      <c r="B99" s="706"/>
      <c r="C99" s="706"/>
      <c r="D99" s="707"/>
      <c r="E99" s="230">
        <f>SUM(E74:E98)*1.1</f>
        <v>151.71200000000002</v>
      </c>
      <c r="F99" s="230"/>
      <c r="G99" s="215">
        <f>SUM(G74:G98)</f>
        <v>49.5</v>
      </c>
      <c r="H99" s="215">
        <f>SUM(H74:H98)*1.1</f>
        <v>37.125</v>
      </c>
      <c r="K99" s="368"/>
      <c r="L99" s="368"/>
    </row>
    <row r="100" spans="1:12" ht="15" thickBot="1" x14ac:dyDescent="0.35">
      <c r="A100" s="170"/>
      <c r="B100" s="170"/>
      <c r="C100" s="170"/>
      <c r="D100" s="170"/>
      <c r="E100" s="170"/>
      <c r="F100" s="170"/>
      <c r="G100" s="170"/>
      <c r="H100" s="170"/>
      <c r="I100" s="170"/>
      <c r="J100" s="170"/>
      <c r="K100" s="367"/>
      <c r="L100" s="367"/>
    </row>
    <row r="101" spans="1:12" ht="15" thickBot="1" x14ac:dyDescent="0.35">
      <c r="A101" s="636" t="s">
        <v>472</v>
      </c>
      <c r="B101" s="637"/>
      <c r="C101" s="637"/>
      <c r="D101" s="638"/>
      <c r="E101" s="216"/>
      <c r="F101" s="216"/>
      <c r="G101" s="216"/>
      <c r="H101" s="216"/>
      <c r="I101" s="216"/>
      <c r="J101" s="70"/>
    </row>
    <row r="102" spans="1:12" ht="50.4" customHeight="1" thickBot="1" x14ac:dyDescent="0.35">
      <c r="A102" s="208" t="s">
        <v>1</v>
      </c>
      <c r="B102" s="209" t="s">
        <v>148</v>
      </c>
      <c r="C102" s="210" t="s">
        <v>149</v>
      </c>
      <c r="D102" s="210" t="s">
        <v>2</v>
      </c>
      <c r="E102" s="210" t="s">
        <v>473</v>
      </c>
      <c r="F102" s="277"/>
      <c r="G102" s="277" t="s">
        <v>722</v>
      </c>
      <c r="H102" s="210" t="s">
        <v>723</v>
      </c>
      <c r="I102" s="210" t="s">
        <v>474</v>
      </c>
      <c r="J102" s="343" t="s">
        <v>724</v>
      </c>
    </row>
    <row r="103" spans="1:12" x14ac:dyDescent="0.3">
      <c r="A103" s="639" t="s">
        <v>294</v>
      </c>
      <c r="B103" s="688">
        <v>6.76</v>
      </c>
      <c r="C103" s="641">
        <v>2.2999999999999998</v>
      </c>
      <c r="D103" s="641">
        <v>1</v>
      </c>
      <c r="E103" s="641">
        <f>B103*C103*D103</f>
        <v>15.547999999999998</v>
      </c>
      <c r="F103" s="506"/>
      <c r="G103" s="641">
        <f>E103</f>
        <v>15.547999999999998</v>
      </c>
      <c r="H103" s="641">
        <f>((B103*2)+(C103*2)+(0.7*2)+0.1)*0.1</f>
        <v>1.9619999999999997</v>
      </c>
      <c r="I103" s="641">
        <v>0</v>
      </c>
      <c r="J103" s="644">
        <v>0</v>
      </c>
    </row>
    <row r="104" spans="1:12" x14ac:dyDescent="0.3">
      <c r="A104" s="640"/>
      <c r="B104" s="686"/>
      <c r="C104" s="622"/>
      <c r="D104" s="622"/>
      <c r="E104" s="622"/>
      <c r="F104" s="504"/>
      <c r="G104" s="622"/>
      <c r="H104" s="622"/>
      <c r="I104" s="622"/>
      <c r="J104" s="633"/>
    </row>
    <row r="105" spans="1:12" x14ac:dyDescent="0.3">
      <c r="A105" s="712" t="s">
        <v>475</v>
      </c>
      <c r="B105" s="704">
        <f>6.76-1.3</f>
        <v>5.46</v>
      </c>
      <c r="C105" s="620">
        <v>2.2999999999999998</v>
      </c>
      <c r="D105" s="620">
        <v>1</v>
      </c>
      <c r="E105" s="620">
        <f>B105*C105*D105</f>
        <v>12.558</v>
      </c>
      <c r="F105" s="505"/>
      <c r="G105" s="620">
        <f>E105</f>
        <v>12.558</v>
      </c>
      <c r="H105" s="620">
        <f>((B105*2)+(C105*2))*0.1</f>
        <v>1.552</v>
      </c>
      <c r="I105" s="620">
        <v>0</v>
      </c>
      <c r="J105" s="632">
        <v>0</v>
      </c>
    </row>
    <row r="106" spans="1:12" x14ac:dyDescent="0.3">
      <c r="A106" s="640"/>
      <c r="B106" s="689"/>
      <c r="C106" s="627"/>
      <c r="D106" s="622"/>
      <c r="E106" s="622"/>
      <c r="F106" s="504"/>
      <c r="G106" s="622"/>
      <c r="H106" s="622"/>
      <c r="I106" s="622"/>
      <c r="J106" s="633"/>
    </row>
    <row r="107" spans="1:12" x14ac:dyDescent="0.3">
      <c r="A107" s="712" t="s">
        <v>476</v>
      </c>
      <c r="B107" s="704">
        <v>1.2</v>
      </c>
      <c r="C107" s="620">
        <v>2.2999999999999998</v>
      </c>
      <c r="D107" s="620">
        <v>1</v>
      </c>
      <c r="E107" s="620">
        <f>B107*C107*D107</f>
        <v>2.76</v>
      </c>
      <c r="F107" s="505"/>
      <c r="G107" s="620">
        <f>E107</f>
        <v>2.76</v>
      </c>
      <c r="H107" s="620">
        <f>((B107*2)+(C107*2))*0.1</f>
        <v>0.70000000000000007</v>
      </c>
      <c r="I107" s="620">
        <v>0</v>
      </c>
      <c r="J107" s="632">
        <v>0</v>
      </c>
    </row>
    <row r="108" spans="1:12" x14ac:dyDescent="0.3">
      <c r="A108" s="640"/>
      <c r="B108" s="686"/>
      <c r="C108" s="622"/>
      <c r="D108" s="622"/>
      <c r="E108" s="622"/>
      <c r="F108" s="504"/>
      <c r="G108" s="622"/>
      <c r="H108" s="622"/>
      <c r="I108" s="622"/>
      <c r="J108" s="633"/>
    </row>
    <row r="109" spans="1:12" x14ac:dyDescent="0.3">
      <c r="A109" s="712" t="s">
        <v>295</v>
      </c>
      <c r="B109" s="704">
        <v>1.8</v>
      </c>
      <c r="C109" s="620">
        <v>1.5</v>
      </c>
      <c r="D109" s="620">
        <v>1</v>
      </c>
      <c r="E109" s="620">
        <f>B109*C109*D109</f>
        <v>2.7</v>
      </c>
      <c r="F109" s="505"/>
      <c r="G109" s="620">
        <f>E109</f>
        <v>2.7</v>
      </c>
      <c r="H109" s="620">
        <f>((B109*2)+(C109*2))*0.1</f>
        <v>0.66</v>
      </c>
      <c r="I109" s="620">
        <v>0</v>
      </c>
      <c r="J109" s="632">
        <v>0</v>
      </c>
    </row>
    <row r="110" spans="1:12" x14ac:dyDescent="0.3">
      <c r="A110" s="640"/>
      <c r="B110" s="686"/>
      <c r="C110" s="622"/>
      <c r="D110" s="622"/>
      <c r="E110" s="622"/>
      <c r="F110" s="504"/>
      <c r="G110" s="622"/>
      <c r="H110" s="622"/>
      <c r="I110" s="622"/>
      <c r="J110" s="633"/>
    </row>
    <row r="111" spans="1:12" x14ac:dyDescent="0.3">
      <c r="A111" s="719" t="s">
        <v>529</v>
      </c>
      <c r="B111" s="347">
        <v>7</v>
      </c>
      <c r="C111" s="240">
        <v>0.3</v>
      </c>
      <c r="D111" s="240">
        <v>2</v>
      </c>
      <c r="E111" s="240">
        <f>B111*C111*D111</f>
        <v>4.2</v>
      </c>
      <c r="F111" s="240"/>
      <c r="G111" s="240">
        <f>E111</f>
        <v>4.2</v>
      </c>
      <c r="H111" s="240">
        <v>0</v>
      </c>
      <c r="I111" s="240">
        <f>B111*C111*D111</f>
        <v>4.2</v>
      </c>
      <c r="J111" s="348">
        <v>0</v>
      </c>
    </row>
    <row r="112" spans="1:12" x14ac:dyDescent="0.3">
      <c r="A112" s="720"/>
      <c r="B112" s="344">
        <v>2.5</v>
      </c>
      <c r="C112" s="244">
        <v>0.3</v>
      </c>
      <c r="D112" s="244">
        <v>4</v>
      </c>
      <c r="E112" s="244">
        <v>0</v>
      </c>
      <c r="F112" s="244"/>
      <c r="G112" s="244">
        <v>0</v>
      </c>
      <c r="H112" s="244">
        <v>0</v>
      </c>
      <c r="I112" s="244">
        <f>B112*C112*D112</f>
        <v>3</v>
      </c>
      <c r="J112" s="349">
        <v>0</v>
      </c>
    </row>
    <row r="113" spans="1:12" x14ac:dyDescent="0.3">
      <c r="A113" s="720"/>
      <c r="B113" s="344">
        <v>2.9</v>
      </c>
      <c r="C113" s="244">
        <v>0.3</v>
      </c>
      <c r="D113" s="244">
        <v>2</v>
      </c>
      <c r="E113" s="244">
        <v>0</v>
      </c>
      <c r="F113" s="244"/>
      <c r="G113" s="244">
        <v>0</v>
      </c>
      <c r="H113" s="244">
        <v>0</v>
      </c>
      <c r="I113" s="244">
        <f t="shared" ref="I113:I118" si="26">B113*C113*D113</f>
        <v>1.74</v>
      </c>
      <c r="J113" s="349">
        <f>(B113*B115)</f>
        <v>5.22</v>
      </c>
    </row>
    <row r="114" spans="1:12" x14ac:dyDescent="0.3">
      <c r="A114" s="720"/>
      <c r="B114" s="344">
        <v>2.4</v>
      </c>
      <c r="C114" s="244">
        <v>0.3</v>
      </c>
      <c r="D114" s="244">
        <v>2</v>
      </c>
      <c r="E114" s="244">
        <v>0</v>
      </c>
      <c r="F114" s="244"/>
      <c r="G114" s="244">
        <v>0</v>
      </c>
      <c r="H114" s="244">
        <v>0</v>
      </c>
      <c r="I114" s="244">
        <f t="shared" si="26"/>
        <v>1.44</v>
      </c>
      <c r="J114" s="349">
        <f>B114*B115</f>
        <v>4.32</v>
      </c>
    </row>
    <row r="115" spans="1:12" x14ac:dyDescent="0.3">
      <c r="A115" s="721"/>
      <c r="B115" s="345">
        <v>1.8</v>
      </c>
      <c r="C115" s="346">
        <v>0.3</v>
      </c>
      <c r="D115" s="346">
        <v>2</v>
      </c>
      <c r="E115" s="346">
        <v>0</v>
      </c>
      <c r="F115" s="346"/>
      <c r="G115" s="346">
        <v>0</v>
      </c>
      <c r="H115" s="346">
        <v>0</v>
      </c>
      <c r="I115" s="346">
        <f t="shared" si="26"/>
        <v>1.08</v>
      </c>
      <c r="J115" s="350">
        <v>0</v>
      </c>
    </row>
    <row r="116" spans="1:12" x14ac:dyDescent="0.3">
      <c r="A116" s="719" t="s">
        <v>526</v>
      </c>
      <c r="B116" s="344">
        <v>0.3</v>
      </c>
      <c r="C116" s="244">
        <v>0.8</v>
      </c>
      <c r="D116" s="244">
        <v>26</v>
      </c>
      <c r="E116" s="244">
        <v>0</v>
      </c>
      <c r="F116" s="244"/>
      <c r="G116" s="244">
        <v>0</v>
      </c>
      <c r="H116" s="244">
        <v>0</v>
      </c>
      <c r="I116" s="244">
        <f t="shared" si="26"/>
        <v>6.24</v>
      </c>
      <c r="J116" s="349">
        <v>0</v>
      </c>
    </row>
    <row r="117" spans="1:12" x14ac:dyDescent="0.3">
      <c r="A117" s="720"/>
      <c r="B117" s="344">
        <v>0.3</v>
      </c>
      <c r="C117" s="244">
        <v>1.7</v>
      </c>
      <c r="D117" s="244">
        <v>8</v>
      </c>
      <c r="E117" s="244">
        <v>0</v>
      </c>
      <c r="F117" s="244"/>
      <c r="G117" s="244">
        <v>0</v>
      </c>
      <c r="H117" s="244">
        <v>0</v>
      </c>
      <c r="I117" s="244">
        <f t="shared" si="26"/>
        <v>4.08</v>
      </c>
      <c r="J117" s="349">
        <v>0</v>
      </c>
    </row>
    <row r="118" spans="1:12" ht="15" thickBot="1" x14ac:dyDescent="0.35">
      <c r="A118" s="722"/>
      <c r="B118" s="344">
        <v>0.8</v>
      </c>
      <c r="C118" s="244">
        <v>0.8</v>
      </c>
      <c r="D118" s="244">
        <v>1</v>
      </c>
      <c r="E118" s="244"/>
      <c r="F118" s="244"/>
      <c r="G118" s="244"/>
      <c r="H118" s="244"/>
      <c r="I118" s="244">
        <f t="shared" si="26"/>
        <v>0.64000000000000012</v>
      </c>
      <c r="J118" s="349"/>
    </row>
    <row r="119" spans="1:12" ht="15" customHeight="1" thickBot="1" x14ac:dyDescent="0.35">
      <c r="A119" s="705" t="s">
        <v>477</v>
      </c>
      <c r="B119" s="706"/>
      <c r="C119" s="706"/>
      <c r="D119" s="707"/>
      <c r="E119" s="230">
        <f>SUM(E103:E117)</f>
        <v>37.766000000000005</v>
      </c>
      <c r="F119" s="230"/>
      <c r="G119" s="713">
        <f>SUM(G103:G117)+SUM(H103:H117)*1.1</f>
        <v>43.127400000000009</v>
      </c>
      <c r="H119" s="714"/>
      <c r="I119" s="230">
        <f>SUM(I103:I118)</f>
        <v>22.42</v>
      </c>
      <c r="J119" s="215">
        <f>SUM(J103:J117)*1.1</f>
        <v>10.494</v>
      </c>
    </row>
    <row r="120" spans="1:12" x14ac:dyDescent="0.3">
      <c r="A120" s="170"/>
      <c r="B120" s="170"/>
      <c r="C120" s="170"/>
      <c r="D120" s="170"/>
      <c r="E120" s="170"/>
      <c r="F120" s="170"/>
      <c r="G120" s="170" t="s">
        <v>725</v>
      </c>
      <c r="H120" s="170"/>
      <c r="I120" s="170"/>
      <c r="J120" s="170"/>
    </row>
    <row r="121" spans="1:12" ht="15" thickBot="1" x14ac:dyDescent="0.35">
      <c r="A121" s="170"/>
      <c r="B121" s="170"/>
      <c r="C121" s="170"/>
      <c r="D121" s="170"/>
      <c r="E121" s="170"/>
      <c r="F121" s="170"/>
      <c r="G121" s="170"/>
      <c r="H121" s="170"/>
      <c r="I121" s="170"/>
      <c r="J121" s="170"/>
    </row>
    <row r="122" spans="1:12" ht="15" thickBot="1" x14ac:dyDescent="0.35">
      <c r="A122" s="708" t="s">
        <v>515</v>
      </c>
      <c r="B122" s="709"/>
      <c r="C122" s="709"/>
      <c r="D122" s="710"/>
      <c r="E122" s="216"/>
      <c r="F122" s="216"/>
      <c r="G122" s="216"/>
      <c r="H122" s="170"/>
      <c r="I122" s="170"/>
      <c r="J122" s="170"/>
    </row>
    <row r="123" spans="1:12" ht="49.2" customHeight="1" thickBot="1" x14ac:dyDescent="0.35">
      <c r="A123" s="208" t="s">
        <v>1</v>
      </c>
      <c r="B123" s="209" t="s">
        <v>148</v>
      </c>
      <c r="C123" s="210" t="s">
        <v>149</v>
      </c>
      <c r="D123" s="210" t="s">
        <v>519</v>
      </c>
      <c r="E123" s="210" t="s">
        <v>518</v>
      </c>
      <c r="F123" s="210" t="s">
        <v>736</v>
      </c>
      <c r="G123" s="210" t="s">
        <v>389</v>
      </c>
      <c r="H123" s="210" t="s">
        <v>521</v>
      </c>
      <c r="I123" s="634" t="s">
        <v>516</v>
      </c>
      <c r="J123" s="635"/>
      <c r="K123" s="210" t="s">
        <v>524</v>
      </c>
      <c r="L123" s="343" t="s">
        <v>525</v>
      </c>
    </row>
    <row r="124" spans="1:12" x14ac:dyDescent="0.3">
      <c r="A124" s="639" t="s">
        <v>294</v>
      </c>
      <c r="B124" s="243">
        <v>6.8</v>
      </c>
      <c r="C124" s="641">
        <v>2.9</v>
      </c>
      <c r="D124" s="243">
        <v>2</v>
      </c>
      <c r="E124" s="243">
        <f>B124*C124*D124</f>
        <v>39.44</v>
      </c>
      <c r="F124" s="243">
        <v>0</v>
      </c>
      <c r="G124" s="243">
        <v>0</v>
      </c>
      <c r="H124" s="718">
        <f>B124*B125</f>
        <v>15.639999999999999</v>
      </c>
      <c r="I124" s="229" t="s">
        <v>352</v>
      </c>
      <c r="J124" s="229">
        <v>1</v>
      </c>
      <c r="K124" s="229">
        <f>0.9*2.1*J124*2</f>
        <v>3.7800000000000002</v>
      </c>
      <c r="L124" s="422">
        <v>0</v>
      </c>
    </row>
    <row r="125" spans="1:12" x14ac:dyDescent="0.3">
      <c r="A125" s="648"/>
      <c r="B125" s="244">
        <v>2.2999999999999998</v>
      </c>
      <c r="C125" s="621"/>
      <c r="D125" s="244">
        <v>2</v>
      </c>
      <c r="E125" s="244">
        <f>B125*$C$124*D125</f>
        <v>13.339999999999998</v>
      </c>
      <c r="F125" s="244">
        <v>0</v>
      </c>
      <c r="G125" s="244">
        <v>0</v>
      </c>
      <c r="H125" s="717"/>
      <c r="I125" s="225" t="s">
        <v>380</v>
      </c>
      <c r="J125" s="225">
        <v>2</v>
      </c>
      <c r="K125" s="225">
        <f>1*0.5*J125*2</f>
        <v>2</v>
      </c>
      <c r="L125" s="423">
        <v>0</v>
      </c>
    </row>
    <row r="126" spans="1:12" x14ac:dyDescent="0.3">
      <c r="A126" s="648"/>
      <c r="B126" s="244">
        <v>0.7</v>
      </c>
      <c r="C126" s="621"/>
      <c r="D126" s="244">
        <v>2</v>
      </c>
      <c r="E126" s="244">
        <f t="shared" ref="E126:E127" si="27">B126*$C$124*D126</f>
        <v>4.0599999999999996</v>
      </c>
      <c r="F126" s="244">
        <v>0</v>
      </c>
      <c r="G126" s="244">
        <v>0</v>
      </c>
      <c r="H126" s="717"/>
      <c r="I126" s="225" t="s">
        <v>381</v>
      </c>
      <c r="J126" s="225">
        <v>1</v>
      </c>
      <c r="K126" s="225">
        <f>1.5*0.5*J126*2</f>
        <v>1.5</v>
      </c>
      <c r="L126" s="423">
        <v>0</v>
      </c>
    </row>
    <row r="127" spans="1:12" x14ac:dyDescent="0.3">
      <c r="A127" s="648"/>
      <c r="B127" s="684">
        <v>0.1</v>
      </c>
      <c r="C127" s="621"/>
      <c r="D127" s="626">
        <v>1</v>
      </c>
      <c r="E127" s="626">
        <f t="shared" si="27"/>
        <v>0.28999999999999998</v>
      </c>
      <c r="F127" s="715">
        <v>0</v>
      </c>
      <c r="G127" s="715">
        <v>0</v>
      </c>
      <c r="H127" s="717"/>
      <c r="I127" s="225" t="s">
        <v>522</v>
      </c>
      <c r="J127" s="225">
        <v>2</v>
      </c>
      <c r="K127" s="225">
        <v>0</v>
      </c>
      <c r="L127" s="423">
        <f>0.6*2.1*J127*2</f>
        <v>5.04</v>
      </c>
    </row>
    <row r="128" spans="1:12" x14ac:dyDescent="0.3">
      <c r="A128" s="640"/>
      <c r="B128" s="686"/>
      <c r="C128" s="622"/>
      <c r="D128" s="622"/>
      <c r="E128" s="622"/>
      <c r="F128" s="716"/>
      <c r="G128" s="716"/>
      <c r="H128" s="629"/>
      <c r="I128" s="225" t="s">
        <v>523</v>
      </c>
      <c r="J128" s="225">
        <v>1</v>
      </c>
      <c r="K128" s="225">
        <v>0</v>
      </c>
      <c r="L128" s="423">
        <f>0.9*2.1*J128*2</f>
        <v>3.7800000000000002</v>
      </c>
    </row>
    <row r="129" spans="1:13" x14ac:dyDescent="0.3">
      <c r="A129" s="712" t="s">
        <v>475</v>
      </c>
      <c r="B129" s="704">
        <f>6.8-1.3</f>
        <v>5.5</v>
      </c>
      <c r="C129" s="620">
        <v>2.9</v>
      </c>
      <c r="D129" s="620">
        <v>2</v>
      </c>
      <c r="E129" s="620">
        <f>B129*C129*D129</f>
        <v>31.9</v>
      </c>
      <c r="F129" s="244">
        <v>0</v>
      </c>
      <c r="G129" s="244">
        <v>0</v>
      </c>
      <c r="H129" s="628">
        <f>B129*B131</f>
        <v>12.649999999999999</v>
      </c>
      <c r="I129" s="296" t="s">
        <v>352</v>
      </c>
      <c r="J129" s="226">
        <v>1</v>
      </c>
      <c r="K129" s="363">
        <f>0.9*2.1*J129*2</f>
        <v>3.7800000000000002</v>
      </c>
      <c r="L129" s="424">
        <v>0</v>
      </c>
    </row>
    <row r="130" spans="1:13" x14ac:dyDescent="0.3">
      <c r="A130" s="648"/>
      <c r="B130" s="689"/>
      <c r="C130" s="621"/>
      <c r="D130" s="627"/>
      <c r="E130" s="627"/>
      <c r="F130" s="244">
        <v>0</v>
      </c>
      <c r="G130" s="244">
        <v>0</v>
      </c>
      <c r="H130" s="717"/>
      <c r="I130" s="225" t="s">
        <v>380</v>
      </c>
      <c r="J130" s="225">
        <v>1</v>
      </c>
      <c r="K130" s="225">
        <f>1*0.5*J130*2</f>
        <v>1</v>
      </c>
      <c r="L130" s="423">
        <v>0</v>
      </c>
    </row>
    <row r="131" spans="1:13" x14ac:dyDescent="0.3">
      <c r="A131" s="648"/>
      <c r="B131" s="684">
        <v>2.2999999999999998</v>
      </c>
      <c r="C131" s="621"/>
      <c r="D131" s="626">
        <v>2</v>
      </c>
      <c r="E131" s="626">
        <f>B131*C129*D131</f>
        <v>13.339999999999998</v>
      </c>
      <c r="F131" s="244">
        <v>0</v>
      </c>
      <c r="G131" s="244">
        <v>0</v>
      </c>
      <c r="H131" s="717"/>
      <c r="I131" s="225" t="s">
        <v>381</v>
      </c>
      <c r="J131" s="225">
        <v>1</v>
      </c>
      <c r="K131" s="225">
        <f>1.5*0.5*J131*2</f>
        <v>1.5</v>
      </c>
      <c r="L131" s="423">
        <v>0</v>
      </c>
    </row>
    <row r="132" spans="1:13" x14ac:dyDescent="0.3">
      <c r="A132" s="648"/>
      <c r="B132" s="685"/>
      <c r="C132" s="621"/>
      <c r="D132" s="621"/>
      <c r="E132" s="621"/>
      <c r="F132" s="244"/>
      <c r="G132" s="244"/>
      <c r="H132" s="717"/>
      <c r="I132" s="225" t="s">
        <v>522</v>
      </c>
      <c r="J132" s="225">
        <v>2</v>
      </c>
      <c r="K132" s="225">
        <v>0</v>
      </c>
      <c r="L132" s="423">
        <f>0.6*2.1*J132*2</f>
        <v>5.04</v>
      </c>
    </row>
    <row r="133" spans="1:13" x14ac:dyDescent="0.3">
      <c r="A133" s="640"/>
      <c r="B133" s="686"/>
      <c r="C133" s="622"/>
      <c r="D133" s="622"/>
      <c r="E133" s="622"/>
      <c r="F133" s="244"/>
      <c r="G133" s="244"/>
      <c r="H133" s="629"/>
      <c r="I133" s="225" t="s">
        <v>523</v>
      </c>
      <c r="J133" s="225">
        <v>1</v>
      </c>
      <c r="K133" s="225">
        <v>0</v>
      </c>
      <c r="L133" s="423">
        <f>0.9*2.1*J133*2</f>
        <v>3.7800000000000002</v>
      </c>
    </row>
    <row r="134" spans="1:13" x14ac:dyDescent="0.3">
      <c r="A134" s="712" t="s">
        <v>517</v>
      </c>
      <c r="B134" s="347">
        <v>1.2</v>
      </c>
      <c r="C134" s="620">
        <v>2.9</v>
      </c>
      <c r="D134" s="240">
        <v>2</v>
      </c>
      <c r="E134" s="240">
        <f>B134*C134*D134</f>
        <v>6.96</v>
      </c>
      <c r="F134" s="240">
        <v>0</v>
      </c>
      <c r="G134" s="240">
        <v>0</v>
      </c>
      <c r="H134" s="628">
        <f>B134*B135</f>
        <v>2.76</v>
      </c>
      <c r="I134" s="296" t="s">
        <v>352</v>
      </c>
      <c r="J134" s="296">
        <v>1</v>
      </c>
      <c r="K134" s="296">
        <f>0.9*2.1*J134*2</f>
        <v>3.7800000000000002</v>
      </c>
      <c r="L134" s="425">
        <v>0</v>
      </c>
    </row>
    <row r="135" spans="1:13" x14ac:dyDescent="0.3">
      <c r="A135" s="640"/>
      <c r="B135" s="345">
        <v>2.2999999999999998</v>
      </c>
      <c r="C135" s="622"/>
      <c r="D135" s="346">
        <v>2</v>
      </c>
      <c r="E135" s="346">
        <f>B135*C134*D135</f>
        <v>13.339999999999998</v>
      </c>
      <c r="F135" s="346">
        <v>0</v>
      </c>
      <c r="G135" s="346">
        <v>0</v>
      </c>
      <c r="H135" s="629"/>
      <c r="I135" s="274" t="s">
        <v>380</v>
      </c>
      <c r="J135" s="274">
        <v>1</v>
      </c>
      <c r="K135" s="274">
        <f>1*0.5*J135*2</f>
        <v>1</v>
      </c>
      <c r="L135" s="426">
        <v>0</v>
      </c>
    </row>
    <row r="136" spans="1:13" x14ac:dyDescent="0.3">
      <c r="A136" s="711" t="s">
        <v>295</v>
      </c>
      <c r="B136" s="347">
        <v>1.5</v>
      </c>
      <c r="C136" s="620">
        <v>2.9</v>
      </c>
      <c r="D136" s="240">
        <v>2</v>
      </c>
      <c r="E136" s="240">
        <f>B136*C136*D136</f>
        <v>8.6999999999999993</v>
      </c>
      <c r="F136" s="240">
        <v>0</v>
      </c>
      <c r="G136" s="240">
        <v>0</v>
      </c>
      <c r="H136" s="628">
        <f>B136*B137</f>
        <v>2.7</v>
      </c>
      <c r="I136" s="226" t="s">
        <v>352</v>
      </c>
      <c r="J136" s="227">
        <v>1</v>
      </c>
      <c r="K136" s="358">
        <f>0.9*2.1*J136*2</f>
        <v>3.7800000000000002</v>
      </c>
      <c r="L136" s="427">
        <v>0</v>
      </c>
    </row>
    <row r="137" spans="1:13" x14ac:dyDescent="0.3">
      <c r="A137" s="711"/>
      <c r="B137" s="360">
        <v>1.8</v>
      </c>
      <c r="C137" s="622"/>
      <c r="D137" s="346">
        <v>2</v>
      </c>
      <c r="E137" s="346">
        <f>B137*C136*D137</f>
        <v>10.44</v>
      </c>
      <c r="F137" s="346">
        <v>0</v>
      </c>
      <c r="G137" s="346">
        <v>0</v>
      </c>
      <c r="H137" s="629"/>
      <c r="I137" s="225">
        <v>0</v>
      </c>
      <c r="J137" s="228">
        <v>0</v>
      </c>
      <c r="K137" s="228">
        <v>0</v>
      </c>
      <c r="L137" s="423">
        <v>0</v>
      </c>
    </row>
    <row r="138" spans="1:13" x14ac:dyDescent="0.3">
      <c r="A138" s="712" t="s">
        <v>528</v>
      </c>
      <c r="B138" s="244">
        <f>B111</f>
        <v>7</v>
      </c>
      <c r="C138" s="620">
        <v>3</v>
      </c>
      <c r="D138" s="244">
        <v>2</v>
      </c>
      <c r="E138" s="244">
        <f>B138*C138*D138</f>
        <v>42</v>
      </c>
      <c r="F138" s="244">
        <v>0</v>
      </c>
      <c r="G138" s="244">
        <v>0</v>
      </c>
      <c r="H138" s="244">
        <v>0</v>
      </c>
      <c r="I138" s="226" t="s">
        <v>352</v>
      </c>
      <c r="J138" s="227">
        <v>4</v>
      </c>
      <c r="K138" s="358">
        <v>0</v>
      </c>
      <c r="L138" s="427">
        <f>0.9*2.1*K138</f>
        <v>0</v>
      </c>
    </row>
    <row r="139" spans="1:13" x14ac:dyDescent="0.3">
      <c r="A139" s="648"/>
      <c r="B139" s="244">
        <f>B112</f>
        <v>2.5</v>
      </c>
      <c r="C139" s="621"/>
      <c r="D139" s="241">
        <v>4</v>
      </c>
      <c r="E139" s="244">
        <f>B139*$C$138*D139</f>
        <v>30</v>
      </c>
      <c r="F139" s="241">
        <v>0</v>
      </c>
      <c r="G139" s="241">
        <v>0</v>
      </c>
      <c r="H139" s="241">
        <v>0</v>
      </c>
      <c r="I139" s="225" t="s">
        <v>381</v>
      </c>
      <c r="J139" s="225">
        <v>2</v>
      </c>
      <c r="K139" s="225">
        <v>0</v>
      </c>
      <c r="L139" s="423">
        <f>1.5*0.5*K139</f>
        <v>0</v>
      </c>
    </row>
    <row r="140" spans="1:13" x14ac:dyDescent="0.3">
      <c r="A140" s="648"/>
      <c r="B140" s="244">
        <f>B113</f>
        <v>2.9</v>
      </c>
      <c r="C140" s="621"/>
      <c r="D140" s="241">
        <v>2</v>
      </c>
      <c r="E140" s="244">
        <f t="shared" ref="E140:E141" si="28">B140*$C$138*D140</f>
        <v>17.399999999999999</v>
      </c>
      <c r="F140" s="241">
        <v>0</v>
      </c>
      <c r="G140" s="241">
        <v>0</v>
      </c>
      <c r="H140" s="241">
        <v>0</v>
      </c>
      <c r="I140" s="212">
        <v>0</v>
      </c>
      <c r="J140" s="212">
        <v>0</v>
      </c>
      <c r="K140" s="212">
        <v>0</v>
      </c>
      <c r="L140" s="428">
        <v>0</v>
      </c>
    </row>
    <row r="141" spans="1:13" x14ac:dyDescent="0.3">
      <c r="A141" s="648"/>
      <c r="B141" s="244">
        <f>B114</f>
        <v>2.4</v>
      </c>
      <c r="C141" s="627"/>
      <c r="D141" s="241">
        <v>2</v>
      </c>
      <c r="E141" s="244">
        <f t="shared" si="28"/>
        <v>14.399999999999999</v>
      </c>
      <c r="F141" s="241">
        <v>0</v>
      </c>
      <c r="G141" s="241">
        <v>0</v>
      </c>
      <c r="H141" s="241">
        <v>0</v>
      </c>
      <c r="I141" s="212">
        <v>0</v>
      </c>
      <c r="J141" s="212">
        <v>0</v>
      </c>
      <c r="K141" s="212">
        <v>0</v>
      </c>
      <c r="L141" s="428">
        <v>0</v>
      </c>
      <c r="M141" s="367"/>
    </row>
    <row r="142" spans="1:13" x14ac:dyDescent="0.3">
      <c r="A142" s="648"/>
      <c r="B142" s="244">
        <v>1.8</v>
      </c>
      <c r="C142" s="626">
        <v>5.9</v>
      </c>
      <c r="D142" s="626">
        <v>2</v>
      </c>
      <c r="E142" s="244">
        <v>0</v>
      </c>
      <c r="F142" s="241">
        <v>0</v>
      </c>
      <c r="G142" s="241">
        <v>0</v>
      </c>
      <c r="H142" s="241">
        <v>0</v>
      </c>
      <c r="I142" s="212">
        <v>0</v>
      </c>
      <c r="J142" s="212">
        <v>0</v>
      </c>
      <c r="K142" s="212">
        <v>0</v>
      </c>
      <c r="L142" s="428">
        <v>0</v>
      </c>
      <c r="M142" s="367"/>
    </row>
    <row r="143" spans="1:13" x14ac:dyDescent="0.3">
      <c r="A143" s="648"/>
      <c r="B143" s="244">
        <v>1.5</v>
      </c>
      <c r="C143" s="627"/>
      <c r="D143" s="627">
        <v>2</v>
      </c>
      <c r="E143" s="244">
        <v>0</v>
      </c>
      <c r="F143" s="241">
        <v>0</v>
      </c>
      <c r="G143" s="241">
        <v>0</v>
      </c>
      <c r="H143" s="241">
        <v>0</v>
      </c>
      <c r="I143" s="212">
        <v>0</v>
      </c>
      <c r="J143" s="212">
        <v>0</v>
      </c>
      <c r="K143" s="212">
        <v>0</v>
      </c>
      <c r="L143" s="428">
        <v>0</v>
      </c>
      <c r="M143" s="367"/>
    </row>
    <row r="144" spans="1:13" x14ac:dyDescent="0.3">
      <c r="A144" s="648"/>
      <c r="B144" s="244">
        <f>B115</f>
        <v>1.8</v>
      </c>
      <c r="C144" s="626">
        <v>1.6</v>
      </c>
      <c r="D144" s="241">
        <v>2</v>
      </c>
      <c r="E144" s="244">
        <v>0</v>
      </c>
      <c r="F144" s="241">
        <v>0</v>
      </c>
      <c r="G144" s="241">
        <f>B144*C144*D144</f>
        <v>5.7600000000000007</v>
      </c>
      <c r="H144" s="241">
        <v>0</v>
      </c>
      <c r="I144" s="212">
        <v>0</v>
      </c>
      <c r="J144" s="212">
        <v>0</v>
      </c>
      <c r="K144" s="212">
        <v>0</v>
      </c>
      <c r="L144" s="428">
        <v>0</v>
      </c>
    </row>
    <row r="145" spans="1:12" x14ac:dyDescent="0.3">
      <c r="A145" s="640"/>
      <c r="B145" s="275">
        <v>1.5</v>
      </c>
      <c r="C145" s="621"/>
      <c r="D145" s="275">
        <v>2</v>
      </c>
      <c r="E145" s="275">
        <v>0</v>
      </c>
      <c r="F145" s="241">
        <v>0</v>
      </c>
      <c r="G145" s="275">
        <f>B145*C144*D145</f>
        <v>4.8000000000000007</v>
      </c>
      <c r="H145" s="275">
        <v>0</v>
      </c>
      <c r="I145" s="359">
        <v>0</v>
      </c>
      <c r="J145" s="359">
        <v>0</v>
      </c>
      <c r="K145" s="359">
        <v>0</v>
      </c>
      <c r="L145" s="429">
        <v>0</v>
      </c>
    </row>
    <row r="146" spans="1:12" x14ac:dyDescent="0.3">
      <c r="A146" s="712" t="s">
        <v>142</v>
      </c>
      <c r="B146" s="347">
        <v>0.25</v>
      </c>
      <c r="C146" s="620">
        <v>3</v>
      </c>
      <c r="D146" s="620">
        <f>10*2</f>
        <v>20</v>
      </c>
      <c r="E146" s="240">
        <v>0</v>
      </c>
      <c r="F146" s="361">
        <f>G146</f>
        <v>30</v>
      </c>
      <c r="G146" s="361">
        <f>B146*C146*D146*2</f>
        <v>30</v>
      </c>
      <c r="H146" s="240">
        <v>0</v>
      </c>
      <c r="I146" s="213">
        <v>0</v>
      </c>
      <c r="J146" s="213">
        <v>0</v>
      </c>
      <c r="K146" s="213">
        <v>0</v>
      </c>
      <c r="L146" s="430">
        <v>0</v>
      </c>
    </row>
    <row r="147" spans="1:12" x14ac:dyDescent="0.3">
      <c r="A147" s="648"/>
      <c r="B147" s="344">
        <v>0.1</v>
      </c>
      <c r="C147" s="627"/>
      <c r="D147" s="627"/>
      <c r="E147" s="244">
        <v>0</v>
      </c>
      <c r="F147" s="362">
        <f t="shared" ref="F147:F149" si="29">G147</f>
        <v>6.0000000000000009</v>
      </c>
      <c r="G147" s="362">
        <f>B147*C146*D146</f>
        <v>6.0000000000000009</v>
      </c>
      <c r="H147" s="244">
        <v>0</v>
      </c>
      <c r="I147" s="212">
        <v>0</v>
      </c>
      <c r="J147" s="212">
        <v>0</v>
      </c>
      <c r="K147" s="212">
        <v>0</v>
      </c>
      <c r="L147" s="428">
        <v>0</v>
      </c>
    </row>
    <row r="148" spans="1:12" x14ac:dyDescent="0.3">
      <c r="A148" s="648"/>
      <c r="B148" s="244">
        <v>0.25</v>
      </c>
      <c r="C148" s="626">
        <v>5.5</v>
      </c>
      <c r="D148" s="626">
        <f>4*2</f>
        <v>8</v>
      </c>
      <c r="E148" s="244">
        <v>0</v>
      </c>
      <c r="F148" s="244">
        <f t="shared" si="29"/>
        <v>11</v>
      </c>
      <c r="G148" s="244">
        <f>B148*C148*D148</f>
        <v>11</v>
      </c>
      <c r="H148" s="244">
        <v>0</v>
      </c>
      <c r="I148" s="212">
        <v>0</v>
      </c>
      <c r="J148" s="212">
        <v>0</v>
      </c>
      <c r="K148" s="212">
        <v>0</v>
      </c>
      <c r="L148" s="428">
        <v>0</v>
      </c>
    </row>
    <row r="149" spans="1:12" x14ac:dyDescent="0.3">
      <c r="A149" s="640"/>
      <c r="B149" s="244">
        <v>0.1</v>
      </c>
      <c r="C149" s="622"/>
      <c r="D149" s="622"/>
      <c r="E149" s="244">
        <v>0</v>
      </c>
      <c r="F149" s="244">
        <f t="shared" si="29"/>
        <v>4.4000000000000004</v>
      </c>
      <c r="G149" s="244">
        <f>B149*C148*D148</f>
        <v>4.4000000000000004</v>
      </c>
      <c r="H149" s="244">
        <v>0</v>
      </c>
      <c r="I149" s="212">
        <v>0</v>
      </c>
      <c r="J149" s="212">
        <v>0</v>
      </c>
      <c r="K149" s="212">
        <v>0</v>
      </c>
      <c r="L149" s="428">
        <v>0</v>
      </c>
    </row>
    <row r="150" spans="1:12" x14ac:dyDescent="0.3">
      <c r="A150" s="712" t="s">
        <v>391</v>
      </c>
      <c r="B150" s="240">
        <v>7</v>
      </c>
      <c r="C150" s="620">
        <v>0.3</v>
      </c>
      <c r="D150" s="244">
        <f>2*4</f>
        <v>8</v>
      </c>
      <c r="E150" s="240">
        <v>0</v>
      </c>
      <c r="F150" s="240">
        <f>G150</f>
        <v>16.8</v>
      </c>
      <c r="G150" s="240">
        <f>B150*C150*D150</f>
        <v>16.8</v>
      </c>
      <c r="H150" s="240">
        <v>0</v>
      </c>
      <c r="I150" s="364">
        <v>0</v>
      </c>
      <c r="J150" s="364">
        <v>0</v>
      </c>
      <c r="K150" s="364">
        <v>0</v>
      </c>
      <c r="L150" s="431">
        <v>0</v>
      </c>
    </row>
    <row r="151" spans="1:12" x14ac:dyDescent="0.3">
      <c r="A151" s="648"/>
      <c r="B151" s="244">
        <v>2.5</v>
      </c>
      <c r="C151" s="621"/>
      <c r="D151" s="241">
        <f>2*5</f>
        <v>10</v>
      </c>
      <c r="E151" s="244">
        <v>0</v>
      </c>
      <c r="F151" s="244">
        <f t="shared" ref="F151:F152" si="30">G151</f>
        <v>7.5</v>
      </c>
      <c r="G151" s="244">
        <f>B151*C150*D151</f>
        <v>7.5</v>
      </c>
      <c r="H151" s="244">
        <v>0</v>
      </c>
      <c r="I151" s="214">
        <v>0</v>
      </c>
      <c r="J151" s="214">
        <v>0</v>
      </c>
      <c r="K151" s="214">
        <v>0</v>
      </c>
      <c r="L151" s="432">
        <v>0</v>
      </c>
    </row>
    <row r="152" spans="1:12" ht="15" thickBot="1" x14ac:dyDescent="0.35">
      <c r="A152" s="648"/>
      <c r="B152" s="275">
        <v>1.8</v>
      </c>
      <c r="C152" s="621"/>
      <c r="D152" s="275">
        <f>2*2</f>
        <v>4</v>
      </c>
      <c r="E152" s="244">
        <v>0</v>
      </c>
      <c r="F152" s="244">
        <f t="shared" si="30"/>
        <v>2.16</v>
      </c>
      <c r="G152" s="244">
        <f>B152*C150*D152</f>
        <v>2.16</v>
      </c>
      <c r="H152" s="244">
        <v>0</v>
      </c>
      <c r="I152" s="212">
        <v>0</v>
      </c>
      <c r="J152" s="212">
        <v>0</v>
      </c>
      <c r="K152" s="212">
        <v>0</v>
      </c>
      <c r="L152" s="428">
        <v>0</v>
      </c>
    </row>
    <row r="153" spans="1:12" ht="15" customHeight="1" thickBot="1" x14ac:dyDescent="0.35">
      <c r="A153" s="705" t="s">
        <v>520</v>
      </c>
      <c r="B153" s="706"/>
      <c r="C153" s="706"/>
      <c r="D153" s="707"/>
      <c r="E153" s="230">
        <f>SUM(E124:E152)</f>
        <v>245.61</v>
      </c>
      <c r="F153" s="230">
        <f>SUM(F124:F152)</f>
        <v>77.86</v>
      </c>
      <c r="G153" s="230">
        <f>SUM(G124:G152)</f>
        <v>88.42</v>
      </c>
      <c r="H153" s="215">
        <f>SUM(H124:H152)</f>
        <v>33.75</v>
      </c>
      <c r="I153" s="618"/>
      <c r="J153" s="619"/>
      <c r="K153" s="215">
        <f>SUM(K124:K152)</f>
        <v>22.12</v>
      </c>
      <c r="L153" s="215">
        <f>SUM(L124:L152)</f>
        <v>17.64</v>
      </c>
    </row>
    <row r="154" spans="1:12" x14ac:dyDescent="0.3">
      <c r="A154" s="171"/>
      <c r="B154" s="171"/>
      <c r="C154" s="171"/>
      <c r="D154" s="171"/>
      <c r="E154" s="172"/>
      <c r="F154" s="172"/>
      <c r="G154" s="172"/>
    </row>
    <row r="155" spans="1:12" x14ac:dyDescent="0.3">
      <c r="A155" s="171"/>
      <c r="B155" s="171"/>
      <c r="C155" s="171"/>
      <c r="D155" s="171"/>
      <c r="E155" s="172"/>
      <c r="F155" s="172"/>
      <c r="G155" s="172"/>
    </row>
    <row r="156" spans="1:12" x14ac:dyDescent="0.3">
      <c r="A156" s="171"/>
      <c r="B156" s="171"/>
      <c r="C156" s="171"/>
      <c r="D156" s="171"/>
      <c r="E156" s="172"/>
      <c r="F156" s="172"/>
      <c r="G156" s="172"/>
    </row>
    <row r="157" spans="1:12" x14ac:dyDescent="0.3">
      <c r="A157" s="171"/>
      <c r="B157" s="171"/>
      <c r="C157" s="171"/>
      <c r="D157" s="171"/>
      <c r="E157" s="172"/>
      <c r="F157" s="172"/>
      <c r="G157" s="172"/>
    </row>
    <row r="158" spans="1:12" x14ac:dyDescent="0.3">
      <c r="A158" s="171"/>
      <c r="B158" s="171"/>
      <c r="C158" s="171"/>
      <c r="D158" s="171"/>
      <c r="E158" s="172"/>
      <c r="F158" s="172"/>
      <c r="G158" s="172"/>
    </row>
    <row r="159" spans="1:12" x14ac:dyDescent="0.3">
      <c r="A159" s="171"/>
      <c r="B159" s="171"/>
      <c r="C159" s="171"/>
      <c r="D159" s="171"/>
      <c r="E159" s="172"/>
      <c r="F159" s="172"/>
      <c r="G159" s="172"/>
    </row>
    <row r="160" spans="1:12" x14ac:dyDescent="0.3">
      <c r="A160" s="171"/>
      <c r="B160" s="171"/>
      <c r="C160" s="171"/>
      <c r="D160" s="171"/>
      <c r="E160" s="172"/>
      <c r="F160" s="172"/>
      <c r="G160" s="172"/>
    </row>
    <row r="161" spans="1:7" x14ac:dyDescent="0.3">
      <c r="A161" s="171"/>
      <c r="B161" s="171"/>
      <c r="C161" s="171"/>
      <c r="D161" s="171"/>
      <c r="E161" s="172"/>
      <c r="F161" s="172"/>
      <c r="G161" s="172"/>
    </row>
    <row r="162" spans="1:7" x14ac:dyDescent="0.3">
      <c r="A162" s="171"/>
      <c r="B162" s="171"/>
      <c r="C162" s="171"/>
      <c r="D162" s="171"/>
      <c r="E162" s="172"/>
      <c r="F162" s="172"/>
      <c r="G162" s="172"/>
    </row>
    <row r="163" spans="1:7" x14ac:dyDescent="0.3">
      <c r="A163" s="171"/>
      <c r="B163" s="171"/>
      <c r="C163" s="171"/>
      <c r="D163" s="171"/>
      <c r="E163" s="172"/>
      <c r="F163" s="172"/>
      <c r="G163" s="172"/>
    </row>
    <row r="164" spans="1:7" x14ac:dyDescent="0.3">
      <c r="A164" s="172"/>
      <c r="B164" s="172"/>
      <c r="C164" s="172"/>
      <c r="D164" s="173"/>
      <c r="E164" s="172"/>
      <c r="F164" s="172"/>
      <c r="G164" s="172"/>
    </row>
    <row r="165" spans="1:7" x14ac:dyDescent="0.3">
      <c r="A165" s="172"/>
      <c r="B165" s="172"/>
      <c r="C165" s="172"/>
      <c r="D165" s="172"/>
      <c r="E165" s="172"/>
      <c r="F165" s="172"/>
      <c r="G165" s="172"/>
    </row>
    <row r="166" spans="1:7" x14ac:dyDescent="0.3">
      <c r="A166" s="172"/>
      <c r="B166" s="172"/>
      <c r="C166" s="172"/>
      <c r="D166" s="172"/>
      <c r="E166" s="172"/>
      <c r="F166" s="172"/>
      <c r="G166" s="172"/>
    </row>
    <row r="167" spans="1:7" x14ac:dyDescent="0.3">
      <c r="A167" s="172"/>
      <c r="B167" s="172"/>
      <c r="C167" s="172"/>
      <c r="D167" s="172"/>
      <c r="E167" s="172"/>
      <c r="F167" s="172"/>
      <c r="G167" s="172"/>
    </row>
    <row r="168" spans="1:7" x14ac:dyDescent="0.3">
      <c r="A168" s="172"/>
      <c r="B168" s="172"/>
      <c r="C168" s="172"/>
      <c r="D168" s="172"/>
      <c r="E168" s="172"/>
      <c r="F168" s="172"/>
      <c r="G168" s="172"/>
    </row>
    <row r="169" spans="1:7" x14ac:dyDescent="0.3">
      <c r="A169" s="172"/>
      <c r="B169" s="172"/>
      <c r="C169" s="172"/>
      <c r="D169" s="172"/>
      <c r="E169" s="172"/>
      <c r="F169" s="172"/>
      <c r="G169" s="172"/>
    </row>
    <row r="170" spans="1:7" x14ac:dyDescent="0.3">
      <c r="A170" s="174"/>
      <c r="B170" s="172"/>
      <c r="C170" s="172"/>
      <c r="D170" s="172"/>
      <c r="E170" s="172"/>
      <c r="F170" s="172"/>
      <c r="G170" s="172"/>
    </row>
    <row r="171" spans="1:7" x14ac:dyDescent="0.3">
      <c r="A171" s="171"/>
      <c r="B171" s="172"/>
      <c r="C171" s="172"/>
      <c r="D171" s="172"/>
      <c r="E171" s="172"/>
      <c r="F171" s="172"/>
      <c r="G171" s="172"/>
    </row>
    <row r="172" spans="1:7" x14ac:dyDescent="0.3">
      <c r="A172" s="171"/>
      <c r="B172" s="172"/>
      <c r="C172" s="172"/>
      <c r="D172" s="172"/>
      <c r="E172" s="172"/>
      <c r="F172" s="172"/>
      <c r="G172" s="172"/>
    </row>
    <row r="173" spans="1:7" x14ac:dyDescent="0.3">
      <c r="A173" s="173"/>
      <c r="B173" s="172"/>
      <c r="C173" s="172"/>
      <c r="D173" s="172"/>
      <c r="E173" s="172"/>
      <c r="F173" s="172"/>
      <c r="G173" s="172"/>
    </row>
    <row r="174" spans="1:7" x14ac:dyDescent="0.3">
      <c r="A174" s="171"/>
      <c r="B174" s="172"/>
      <c r="C174" s="172"/>
      <c r="D174" s="172"/>
      <c r="E174" s="172"/>
      <c r="F174" s="172"/>
      <c r="G174" s="172"/>
    </row>
    <row r="175" spans="1:7" x14ac:dyDescent="0.3">
      <c r="A175" s="171"/>
      <c r="B175" s="172"/>
      <c r="C175" s="172"/>
      <c r="D175" s="172"/>
      <c r="E175" s="172"/>
      <c r="F175" s="172"/>
      <c r="G175" s="172"/>
    </row>
    <row r="176" spans="1:7" x14ac:dyDescent="0.3">
      <c r="A176" s="171"/>
      <c r="B176" s="172"/>
      <c r="C176" s="172"/>
      <c r="D176" s="172"/>
      <c r="E176" s="172"/>
      <c r="F176" s="172"/>
      <c r="G176" s="172"/>
    </row>
    <row r="177" spans="1:7" x14ac:dyDescent="0.3">
      <c r="A177" s="171"/>
      <c r="B177" s="172"/>
      <c r="C177" s="172"/>
      <c r="D177" s="172"/>
      <c r="E177" s="172"/>
      <c r="F177" s="172"/>
      <c r="G177" s="172"/>
    </row>
    <row r="178" spans="1:7" x14ac:dyDescent="0.3">
      <c r="A178" s="174"/>
      <c r="B178" s="172"/>
      <c r="C178" s="172"/>
      <c r="D178" s="172"/>
      <c r="E178" s="172"/>
      <c r="F178" s="172"/>
      <c r="G178" s="172"/>
    </row>
    <row r="179" spans="1:7" x14ac:dyDescent="0.3">
      <c r="A179" s="171"/>
      <c r="B179" s="172"/>
      <c r="C179" s="172"/>
      <c r="D179" s="172"/>
      <c r="E179" s="172"/>
      <c r="F179" s="172"/>
      <c r="G179" s="172"/>
    </row>
    <row r="180" spans="1:7" x14ac:dyDescent="0.3">
      <c r="A180" s="171"/>
      <c r="B180" s="172"/>
      <c r="C180" s="172"/>
      <c r="D180" s="172"/>
      <c r="E180" s="172"/>
      <c r="F180" s="172"/>
      <c r="G180" s="172"/>
    </row>
    <row r="181" spans="1:7" x14ac:dyDescent="0.3">
      <c r="A181" s="173"/>
      <c r="B181" s="172"/>
      <c r="C181" s="172"/>
      <c r="D181" s="172"/>
      <c r="E181" s="172"/>
      <c r="F181" s="172"/>
      <c r="G181" s="172"/>
    </row>
    <row r="182" spans="1:7" x14ac:dyDescent="0.3">
      <c r="A182" s="172"/>
      <c r="B182" s="172"/>
      <c r="C182" s="172"/>
      <c r="D182" s="172"/>
      <c r="E182" s="172"/>
      <c r="F182" s="172"/>
      <c r="G182" s="172"/>
    </row>
    <row r="183" spans="1:7" x14ac:dyDescent="0.3">
      <c r="A183" s="172"/>
      <c r="B183" s="172"/>
      <c r="C183" s="172"/>
      <c r="D183" s="172"/>
      <c r="E183" s="172"/>
      <c r="F183" s="172"/>
      <c r="G183" s="172"/>
    </row>
    <row r="184" spans="1:7" x14ac:dyDescent="0.3">
      <c r="A184" s="172"/>
      <c r="B184" s="172"/>
      <c r="C184" s="172"/>
      <c r="D184" s="172"/>
      <c r="E184" s="172"/>
      <c r="F184" s="172"/>
      <c r="G184" s="172"/>
    </row>
    <row r="185" spans="1:7" x14ac:dyDescent="0.3">
      <c r="A185" s="172"/>
      <c r="B185" s="172"/>
      <c r="C185" s="172"/>
      <c r="D185" s="172"/>
      <c r="E185" s="172"/>
      <c r="F185" s="172"/>
      <c r="G185" s="172"/>
    </row>
    <row r="186" spans="1:7" x14ac:dyDescent="0.3">
      <c r="A186" s="174"/>
      <c r="B186" s="172"/>
      <c r="C186" s="172"/>
      <c r="D186" s="172"/>
      <c r="E186" s="172"/>
      <c r="F186" s="172"/>
      <c r="G186" s="172"/>
    </row>
    <row r="187" spans="1:7" x14ac:dyDescent="0.3">
      <c r="A187" s="171"/>
      <c r="B187" s="172"/>
      <c r="C187" s="172"/>
      <c r="D187" s="172"/>
      <c r="E187" s="172"/>
      <c r="F187" s="172"/>
      <c r="G187" s="172"/>
    </row>
    <row r="188" spans="1:7" x14ac:dyDescent="0.3">
      <c r="A188" s="171"/>
      <c r="B188" s="172"/>
      <c r="C188" s="172"/>
      <c r="D188" s="172"/>
      <c r="E188" s="172"/>
      <c r="F188" s="172"/>
      <c r="G188" s="172"/>
    </row>
    <row r="189" spans="1:7" x14ac:dyDescent="0.3">
      <c r="A189" s="173"/>
      <c r="B189" s="172"/>
      <c r="C189" s="172"/>
      <c r="D189" s="172"/>
      <c r="E189" s="172"/>
      <c r="F189" s="172"/>
      <c r="G189" s="172"/>
    </row>
    <row r="190" spans="1:7" x14ac:dyDescent="0.3">
      <c r="A190" s="172"/>
      <c r="B190" s="172"/>
      <c r="C190" s="172"/>
      <c r="D190" s="172"/>
      <c r="E190" s="172"/>
      <c r="F190" s="172"/>
      <c r="G190" s="172"/>
    </row>
    <row r="191" spans="1:7" x14ac:dyDescent="0.3">
      <c r="A191" s="172"/>
      <c r="B191" s="172"/>
      <c r="C191" s="172"/>
      <c r="D191" s="172"/>
      <c r="E191" s="172"/>
      <c r="F191" s="172"/>
      <c r="G191" s="172"/>
    </row>
    <row r="192" spans="1:7" x14ac:dyDescent="0.3">
      <c r="A192" s="172"/>
      <c r="B192" s="172"/>
      <c r="C192" s="172"/>
      <c r="D192" s="172"/>
      <c r="E192" s="172"/>
      <c r="F192" s="172"/>
      <c r="G192" s="172"/>
    </row>
    <row r="193" spans="1:10" x14ac:dyDescent="0.3">
      <c r="A193" s="172"/>
      <c r="B193" s="172"/>
      <c r="C193" s="172"/>
      <c r="D193" s="172"/>
      <c r="E193" s="172"/>
      <c r="F193" s="172"/>
      <c r="G193" s="172"/>
    </row>
    <row r="194" spans="1:10" x14ac:dyDescent="0.3">
      <c r="A194" s="174"/>
      <c r="B194" s="172"/>
      <c r="C194" s="175"/>
      <c r="D194" s="172"/>
      <c r="E194" s="172"/>
      <c r="F194" s="172"/>
      <c r="G194" s="172"/>
    </row>
    <row r="195" spans="1:10" x14ac:dyDescent="0.3">
      <c r="A195" s="171"/>
      <c r="B195" s="172"/>
    </row>
    <row r="196" spans="1:10" x14ac:dyDescent="0.3">
      <c r="A196" s="171"/>
      <c r="B196" s="172"/>
      <c r="C196" s="172"/>
      <c r="D196" s="172"/>
      <c r="E196" s="172"/>
      <c r="F196" s="172"/>
      <c r="G196" s="172"/>
    </row>
    <row r="197" spans="1:10" x14ac:dyDescent="0.3">
      <c r="A197" s="171"/>
      <c r="B197" s="172"/>
      <c r="C197" s="172"/>
      <c r="D197" s="172"/>
      <c r="E197" s="172"/>
      <c r="F197" s="172"/>
      <c r="G197" s="172"/>
    </row>
    <row r="198" spans="1:10" x14ac:dyDescent="0.3">
      <c r="A198" s="171"/>
      <c r="B198" s="172"/>
      <c r="C198" s="172"/>
      <c r="D198" s="172"/>
      <c r="E198" s="172"/>
      <c r="F198" s="172"/>
      <c r="G198" s="172"/>
    </row>
    <row r="199" spans="1:10" x14ac:dyDescent="0.3">
      <c r="A199" s="171"/>
      <c r="B199" s="172"/>
      <c r="C199" s="172"/>
      <c r="D199" s="172"/>
      <c r="E199" s="172"/>
      <c r="F199" s="172"/>
      <c r="G199" s="172"/>
    </row>
    <row r="200" spans="1:10" x14ac:dyDescent="0.3">
      <c r="A200" s="171"/>
      <c r="B200" s="172"/>
      <c r="C200" s="172"/>
      <c r="D200" s="172"/>
      <c r="E200" s="172"/>
      <c r="F200" s="172"/>
      <c r="G200" s="172"/>
    </row>
    <row r="201" spans="1:10" x14ac:dyDescent="0.3">
      <c r="A201" s="171"/>
      <c r="B201" s="172"/>
      <c r="C201" s="172"/>
      <c r="D201" s="172"/>
      <c r="E201" s="172"/>
      <c r="F201" s="172"/>
      <c r="G201" s="172"/>
    </row>
    <row r="202" spans="1:10" x14ac:dyDescent="0.3">
      <c r="A202" s="171"/>
      <c r="B202" s="172"/>
      <c r="C202" s="172"/>
      <c r="D202" s="172"/>
      <c r="E202" s="172"/>
      <c r="F202" s="172"/>
      <c r="G202" s="172"/>
    </row>
    <row r="203" spans="1:10" x14ac:dyDescent="0.3">
      <c r="A203" s="173"/>
      <c r="B203" s="172"/>
      <c r="C203" s="172"/>
      <c r="D203" s="172"/>
      <c r="E203" s="172"/>
      <c r="F203" s="172"/>
      <c r="G203" s="172"/>
    </row>
    <row r="204" spans="1:10" x14ac:dyDescent="0.3">
      <c r="C204" s="172"/>
      <c r="D204" s="172"/>
      <c r="E204" s="172"/>
      <c r="F204" s="172"/>
      <c r="G204" s="172"/>
    </row>
    <row r="205" spans="1:10" x14ac:dyDescent="0.3">
      <c r="C205" s="172"/>
      <c r="D205" s="172"/>
      <c r="E205" s="172"/>
      <c r="F205" s="172"/>
      <c r="G205" s="172"/>
    </row>
    <row r="206" spans="1:10" x14ac:dyDescent="0.3">
      <c r="C206" s="172"/>
      <c r="D206" s="172"/>
      <c r="E206" s="172"/>
      <c r="F206" s="172"/>
      <c r="G206" s="172"/>
    </row>
    <row r="207" spans="1:10" x14ac:dyDescent="0.3">
      <c r="C207" s="172"/>
      <c r="D207" s="172"/>
      <c r="E207" s="172"/>
      <c r="F207" s="172"/>
      <c r="G207" s="172"/>
    </row>
    <row r="208" spans="1:10" x14ac:dyDescent="0.3">
      <c r="A208" s="171"/>
      <c r="B208" s="176"/>
      <c r="C208" s="171"/>
      <c r="D208" s="176"/>
      <c r="E208" s="171"/>
      <c r="F208" s="171"/>
      <c r="G208" s="176"/>
      <c r="H208" s="173"/>
      <c r="I208" s="172"/>
      <c r="J208" s="172"/>
    </row>
    <row r="209" spans="1:8" x14ac:dyDescent="0.3">
      <c r="A209" s="177"/>
      <c r="C209" s="172"/>
      <c r="D209" s="172"/>
      <c r="E209" s="172"/>
      <c r="F209" s="172"/>
      <c r="G209" s="172"/>
    </row>
    <row r="210" spans="1:8" x14ac:dyDescent="0.3">
      <c r="C210" s="172"/>
      <c r="D210" s="172"/>
      <c r="E210" s="172"/>
      <c r="F210" s="172"/>
      <c r="G210" s="172"/>
    </row>
    <row r="211" spans="1:8" x14ac:dyDescent="0.3">
      <c r="C211" s="172"/>
      <c r="D211" s="172"/>
      <c r="E211" s="172"/>
      <c r="F211" s="172"/>
      <c r="G211" s="172"/>
    </row>
    <row r="212" spans="1:8" x14ac:dyDescent="0.3">
      <c r="A212" s="178"/>
      <c r="B212" s="178"/>
      <c r="C212" s="178"/>
      <c r="D212" s="178"/>
      <c r="E212" s="178"/>
      <c r="F212" s="178"/>
      <c r="G212" s="178"/>
      <c r="H212" s="178"/>
    </row>
    <row r="213" spans="1:8" x14ac:dyDescent="0.3">
      <c r="A213" s="178"/>
      <c r="B213" s="178"/>
      <c r="C213" s="178"/>
      <c r="D213" s="178"/>
      <c r="E213" s="178"/>
      <c r="F213" s="178"/>
      <c r="G213" s="178"/>
      <c r="H213" s="178"/>
    </row>
    <row r="214" spans="1:8" x14ac:dyDescent="0.3">
      <c r="A214" s="172"/>
      <c r="B214" s="172"/>
      <c r="C214" s="172"/>
      <c r="D214" s="172"/>
      <c r="E214" s="172"/>
      <c r="F214" s="172"/>
      <c r="G214" s="172"/>
    </row>
    <row r="215" spans="1:8" x14ac:dyDescent="0.3">
      <c r="A215" s="174"/>
      <c r="B215" s="172"/>
      <c r="C215" s="172"/>
      <c r="D215" s="172"/>
      <c r="E215" s="172"/>
      <c r="F215" s="172"/>
      <c r="G215" s="172"/>
    </row>
    <row r="216" spans="1:8" x14ac:dyDescent="0.3">
      <c r="A216" s="171"/>
      <c r="B216" s="172"/>
      <c r="C216" s="172"/>
      <c r="D216" s="172"/>
      <c r="E216" s="172"/>
      <c r="F216" s="172"/>
      <c r="G216" s="172"/>
    </row>
    <row r="217" spans="1:8" x14ac:dyDescent="0.3">
      <c r="A217" s="171"/>
      <c r="B217" s="172"/>
      <c r="C217" s="172"/>
      <c r="D217" s="172"/>
      <c r="E217" s="172"/>
      <c r="F217" s="172"/>
      <c r="G217" s="172"/>
    </row>
    <row r="218" spans="1:8" x14ac:dyDescent="0.3">
      <c r="A218" s="171"/>
      <c r="B218" s="172"/>
      <c r="C218" s="172"/>
      <c r="D218" s="172"/>
      <c r="E218" s="172"/>
      <c r="F218" s="172"/>
      <c r="G218" s="172"/>
    </row>
    <row r="219" spans="1:8" x14ac:dyDescent="0.3">
      <c r="A219" s="171"/>
      <c r="B219" s="172"/>
      <c r="C219" s="172"/>
      <c r="D219" s="172"/>
      <c r="E219" s="172"/>
      <c r="F219" s="172"/>
      <c r="G219" s="172"/>
    </row>
    <row r="220" spans="1:8" x14ac:dyDescent="0.3">
      <c r="A220" s="173"/>
      <c r="B220" s="172"/>
      <c r="C220" s="172"/>
      <c r="D220" s="172"/>
      <c r="E220" s="172"/>
      <c r="F220" s="172"/>
      <c r="G220" s="172"/>
    </row>
    <row r="221" spans="1:8" x14ac:dyDescent="0.3">
      <c r="A221" s="172"/>
      <c r="B221" s="172"/>
      <c r="C221" s="172"/>
      <c r="D221" s="172"/>
      <c r="E221" s="172"/>
      <c r="F221" s="172"/>
      <c r="G221" s="172"/>
    </row>
    <row r="222" spans="1:8" x14ac:dyDescent="0.3">
      <c r="A222" s="172"/>
      <c r="B222" s="172"/>
      <c r="C222" s="172"/>
      <c r="D222" s="172"/>
      <c r="E222" s="172"/>
      <c r="F222" s="172"/>
      <c r="G222" s="172"/>
    </row>
    <row r="223" spans="1:8" x14ac:dyDescent="0.3">
      <c r="A223" s="172"/>
      <c r="B223" s="172"/>
      <c r="C223" s="172"/>
      <c r="D223" s="172"/>
      <c r="E223" s="172"/>
      <c r="F223" s="172"/>
      <c r="G223" s="172"/>
    </row>
    <row r="224" spans="1:8" x14ac:dyDescent="0.3">
      <c r="A224" s="172"/>
      <c r="B224" s="172"/>
      <c r="C224" s="172"/>
      <c r="D224" s="172"/>
      <c r="E224" s="172"/>
      <c r="F224" s="172"/>
      <c r="G224" s="172"/>
    </row>
    <row r="225" spans="1:7" x14ac:dyDescent="0.3">
      <c r="A225" s="172"/>
      <c r="B225" s="172"/>
      <c r="C225" s="172"/>
      <c r="D225" s="172"/>
      <c r="E225" s="172"/>
      <c r="F225" s="172"/>
      <c r="G225" s="172"/>
    </row>
    <row r="226" spans="1:7" x14ac:dyDescent="0.3">
      <c r="A226" s="174"/>
      <c r="B226" s="174"/>
      <c r="C226" s="174"/>
      <c r="D226" s="174"/>
      <c r="E226" s="172"/>
      <c r="F226" s="172"/>
      <c r="G226" s="172"/>
    </row>
    <row r="227" spans="1:7" x14ac:dyDescent="0.3">
      <c r="A227" s="171"/>
      <c r="B227" s="171"/>
      <c r="C227" s="171"/>
      <c r="D227" s="171"/>
      <c r="E227" s="172"/>
      <c r="F227" s="172"/>
      <c r="G227" s="172"/>
    </row>
    <row r="228" spans="1:7" x14ac:dyDescent="0.3">
      <c r="A228" s="171"/>
      <c r="B228" s="171"/>
      <c r="C228" s="171"/>
      <c r="D228" s="171"/>
      <c r="E228" s="172"/>
      <c r="F228" s="172"/>
      <c r="G228" s="172"/>
    </row>
    <row r="229" spans="1:7" x14ac:dyDescent="0.3">
      <c r="A229" s="171"/>
      <c r="B229" s="171"/>
      <c r="C229" s="171"/>
      <c r="D229" s="171"/>
      <c r="E229" s="172"/>
      <c r="F229" s="172"/>
      <c r="G229" s="172"/>
    </row>
    <row r="230" spans="1:7" x14ac:dyDescent="0.3">
      <c r="A230" s="171"/>
      <c r="B230" s="171"/>
      <c r="C230" s="171"/>
      <c r="D230" s="171"/>
      <c r="E230" s="172"/>
      <c r="F230" s="172"/>
      <c r="G230" s="172"/>
    </row>
    <row r="231" spans="1:7" x14ac:dyDescent="0.3">
      <c r="A231" s="171"/>
      <c r="B231" s="171"/>
      <c r="C231" s="171"/>
      <c r="D231" s="171"/>
      <c r="E231" s="172"/>
      <c r="F231" s="172"/>
      <c r="G231" s="172"/>
    </row>
    <row r="232" spans="1:7" x14ac:dyDescent="0.3">
      <c r="A232" s="171"/>
      <c r="B232" s="171"/>
      <c r="C232" s="171"/>
      <c r="D232" s="171"/>
      <c r="E232" s="172"/>
      <c r="F232" s="172"/>
      <c r="G232" s="172"/>
    </row>
    <row r="233" spans="1:7" x14ac:dyDescent="0.3">
      <c r="A233" s="172"/>
      <c r="B233" s="172"/>
      <c r="C233" s="172"/>
      <c r="D233" s="173"/>
      <c r="E233" s="172"/>
      <c r="F233" s="172"/>
      <c r="G233" s="172"/>
    </row>
    <row r="234" spans="1:7" x14ac:dyDescent="0.3">
      <c r="A234" s="172"/>
      <c r="B234" s="172"/>
      <c r="C234" s="172"/>
      <c r="D234" s="172"/>
      <c r="E234" s="172"/>
      <c r="F234" s="172"/>
      <c r="G234" s="172"/>
    </row>
    <row r="235" spans="1:7" x14ac:dyDescent="0.3">
      <c r="A235" s="172"/>
      <c r="B235" s="172"/>
      <c r="C235" s="172"/>
      <c r="D235" s="172"/>
      <c r="E235" s="172"/>
      <c r="F235" s="172"/>
      <c r="G235" s="172"/>
    </row>
    <row r="236" spans="1:7" x14ac:dyDescent="0.3">
      <c r="A236" s="172"/>
      <c r="B236" s="172"/>
      <c r="C236" s="172"/>
      <c r="D236" s="172"/>
      <c r="E236" s="172"/>
      <c r="F236" s="172"/>
      <c r="G236" s="172"/>
    </row>
    <row r="237" spans="1:7" x14ac:dyDescent="0.3">
      <c r="A237" s="172"/>
      <c r="B237" s="172"/>
      <c r="C237" s="172"/>
      <c r="D237" s="172"/>
      <c r="E237" s="172"/>
      <c r="F237" s="172"/>
      <c r="G237" s="172"/>
    </row>
    <row r="238" spans="1:7" x14ac:dyDescent="0.3">
      <c r="A238" s="174"/>
      <c r="B238" s="174"/>
      <c r="C238" s="174"/>
      <c r="D238" s="174"/>
      <c r="E238" s="172"/>
      <c r="F238" s="172"/>
      <c r="G238" s="172"/>
    </row>
    <row r="239" spans="1:7" x14ac:dyDescent="0.3">
      <c r="A239" s="171"/>
      <c r="B239" s="171"/>
      <c r="C239" s="171"/>
      <c r="D239" s="171"/>
      <c r="E239" s="172"/>
      <c r="F239" s="172"/>
      <c r="G239" s="172"/>
    </row>
    <row r="240" spans="1:7" x14ac:dyDescent="0.3">
      <c r="A240" s="171"/>
      <c r="B240" s="171"/>
      <c r="C240" s="171"/>
      <c r="D240" s="171"/>
      <c r="E240" s="172"/>
      <c r="F240" s="172"/>
      <c r="G240" s="172"/>
    </row>
    <row r="241" spans="1:8" x14ac:dyDescent="0.3">
      <c r="A241" s="171"/>
      <c r="B241" s="171"/>
      <c r="C241" s="171"/>
      <c r="D241" s="171"/>
      <c r="E241" s="172"/>
      <c r="F241" s="172"/>
      <c r="G241" s="172"/>
    </row>
    <row r="242" spans="1:8" x14ac:dyDescent="0.3">
      <c r="A242" s="171"/>
      <c r="B242" s="171"/>
      <c r="C242" s="171"/>
      <c r="D242" s="171"/>
      <c r="E242" s="172"/>
      <c r="F242" s="172"/>
      <c r="G242" s="172"/>
    </row>
    <row r="243" spans="1:8" x14ac:dyDescent="0.3">
      <c r="A243" s="171"/>
      <c r="B243" s="171"/>
      <c r="C243" s="171"/>
      <c r="D243" s="171"/>
      <c r="E243" s="172"/>
      <c r="F243" s="172"/>
      <c r="G243" s="172"/>
    </row>
    <row r="244" spans="1:8" x14ac:dyDescent="0.3">
      <c r="A244" s="171"/>
      <c r="B244" s="171"/>
      <c r="C244" s="171"/>
      <c r="D244" s="171"/>
      <c r="E244" s="172"/>
      <c r="F244" s="172"/>
      <c r="G244" s="172"/>
    </row>
    <row r="245" spans="1:8" x14ac:dyDescent="0.3">
      <c r="A245" s="171"/>
      <c r="B245" s="171"/>
      <c r="C245" s="171"/>
      <c r="D245" s="171"/>
      <c r="E245" s="172"/>
      <c r="F245" s="172"/>
      <c r="G245" s="172"/>
    </row>
    <row r="246" spans="1:8" x14ac:dyDescent="0.3">
      <c r="A246" s="171"/>
      <c r="B246" s="171"/>
      <c r="C246" s="171"/>
      <c r="D246" s="171"/>
      <c r="E246" s="172"/>
      <c r="F246" s="172"/>
      <c r="G246" s="172"/>
    </row>
    <row r="247" spans="1:8" x14ac:dyDescent="0.3">
      <c r="A247" s="171"/>
      <c r="B247" s="171"/>
      <c r="C247" s="171"/>
      <c r="D247" s="171"/>
      <c r="E247" s="172"/>
      <c r="F247" s="172"/>
      <c r="G247" s="172"/>
    </row>
    <row r="248" spans="1:8" x14ac:dyDescent="0.3">
      <c r="A248" s="171"/>
      <c r="B248" s="171"/>
      <c r="C248" s="171"/>
      <c r="D248" s="171"/>
      <c r="E248" s="172"/>
      <c r="F248" s="172"/>
      <c r="G248" s="172"/>
    </row>
    <row r="249" spans="1:8" x14ac:dyDescent="0.3">
      <c r="A249" s="171"/>
      <c r="B249" s="171"/>
      <c r="C249" s="171"/>
      <c r="D249" s="171"/>
      <c r="E249" s="172"/>
      <c r="F249" s="172"/>
      <c r="G249" s="172"/>
    </row>
    <row r="250" spans="1:8" x14ac:dyDescent="0.3">
      <c r="C250" s="172"/>
      <c r="D250" s="173"/>
      <c r="E250" s="172"/>
      <c r="F250" s="172"/>
      <c r="G250" s="172"/>
    </row>
    <row r="251" spans="1:8" x14ac:dyDescent="0.3">
      <c r="A251" s="172"/>
      <c r="B251" s="172"/>
      <c r="C251" s="172"/>
      <c r="D251" s="172"/>
      <c r="E251" s="172"/>
      <c r="F251" s="172"/>
      <c r="G251" s="172"/>
    </row>
    <row r="252" spans="1:8" x14ac:dyDescent="0.3">
      <c r="A252" s="172"/>
      <c r="B252" s="172"/>
      <c r="C252" s="172"/>
      <c r="D252" s="172"/>
      <c r="E252" s="172"/>
      <c r="F252" s="172"/>
      <c r="G252" s="172"/>
    </row>
    <row r="253" spans="1:8" x14ac:dyDescent="0.3">
      <c r="A253" s="178"/>
      <c r="B253" s="178"/>
      <c r="C253" s="178"/>
      <c r="D253" s="178"/>
      <c r="E253" s="178"/>
      <c r="F253" s="178"/>
      <c r="G253" s="178"/>
      <c r="H253" s="178"/>
    </row>
    <row r="254" spans="1:8" x14ac:dyDescent="0.3">
      <c r="A254" s="178"/>
      <c r="B254" s="178"/>
      <c r="C254" s="178"/>
      <c r="D254" s="178"/>
      <c r="E254" s="178"/>
      <c r="F254" s="178"/>
      <c r="G254" s="178"/>
      <c r="H254" s="178"/>
    </row>
    <row r="255" spans="1:8" x14ac:dyDescent="0.3">
      <c r="A255" s="172"/>
      <c r="B255" s="172"/>
      <c r="C255" s="172"/>
      <c r="D255" s="172"/>
      <c r="E255" s="172"/>
      <c r="F255" s="172"/>
      <c r="G255" s="172"/>
    </row>
    <row r="256" spans="1:8" x14ac:dyDescent="0.3">
      <c r="A256" s="174"/>
      <c r="B256" s="172"/>
      <c r="C256" s="172"/>
      <c r="D256" s="172"/>
      <c r="E256" s="172"/>
      <c r="F256" s="172"/>
      <c r="G256" s="172"/>
    </row>
    <row r="257" spans="1:7" x14ac:dyDescent="0.3">
      <c r="A257" s="171"/>
      <c r="B257" s="171"/>
      <c r="D257" s="172"/>
      <c r="E257" s="172"/>
      <c r="F257" s="172"/>
      <c r="G257" s="172"/>
    </row>
    <row r="258" spans="1:7" x14ac:dyDescent="0.3">
      <c r="A258" s="171"/>
      <c r="B258" s="172"/>
      <c r="C258" s="172"/>
      <c r="D258" s="172"/>
      <c r="E258" s="172"/>
      <c r="F258" s="172"/>
      <c r="G258" s="172"/>
    </row>
    <row r="259" spans="1:7" x14ac:dyDescent="0.3">
      <c r="A259" s="173"/>
      <c r="B259" s="172"/>
      <c r="C259" s="172"/>
      <c r="D259" s="172"/>
      <c r="E259" s="172"/>
      <c r="F259" s="172"/>
      <c r="G259" s="172"/>
    </row>
    <row r="260" spans="1:7" x14ac:dyDescent="0.3">
      <c r="A260" s="172"/>
      <c r="B260" s="172"/>
      <c r="C260" s="172"/>
      <c r="D260" s="172"/>
      <c r="E260" s="172"/>
      <c r="F260" s="172"/>
      <c r="G260" s="172"/>
    </row>
    <row r="261" spans="1:7" x14ac:dyDescent="0.3">
      <c r="A261" s="172"/>
      <c r="B261" s="172"/>
      <c r="C261" s="172"/>
      <c r="D261" s="172"/>
      <c r="E261" s="172"/>
      <c r="F261" s="172"/>
      <c r="G261" s="172"/>
    </row>
    <row r="262" spans="1:7" x14ac:dyDescent="0.3">
      <c r="A262" s="172"/>
      <c r="B262" s="172"/>
      <c r="C262" s="172"/>
      <c r="D262" s="172"/>
      <c r="E262" s="172"/>
      <c r="F262" s="172"/>
      <c r="G262" s="172"/>
    </row>
    <row r="263" spans="1:7" x14ac:dyDescent="0.3">
      <c r="A263" s="172"/>
      <c r="B263" s="172"/>
      <c r="C263" s="172"/>
      <c r="D263" s="172"/>
      <c r="E263" s="172"/>
      <c r="F263" s="172"/>
      <c r="G263" s="172"/>
    </row>
    <row r="264" spans="1:7" x14ac:dyDescent="0.3">
      <c r="A264" s="174"/>
      <c r="B264" s="174"/>
      <c r="C264" s="174"/>
      <c r="D264" s="174"/>
      <c r="E264" s="172"/>
      <c r="F264" s="172"/>
      <c r="G264" s="172"/>
    </row>
    <row r="265" spans="1:7" x14ac:dyDescent="0.3">
      <c r="A265" s="171"/>
      <c r="B265" s="171"/>
      <c r="C265" s="171"/>
      <c r="D265" s="171"/>
      <c r="E265" s="172"/>
      <c r="F265" s="172"/>
      <c r="G265" s="172"/>
    </row>
    <row r="266" spans="1:7" x14ac:dyDescent="0.3">
      <c r="A266" s="171"/>
      <c r="B266" s="171"/>
      <c r="C266" s="171"/>
      <c r="D266" s="171"/>
      <c r="E266" s="172"/>
      <c r="F266" s="172"/>
      <c r="G266" s="172"/>
    </row>
    <row r="267" spans="1:7" x14ac:dyDescent="0.3">
      <c r="C267" s="172"/>
      <c r="D267" s="173"/>
      <c r="E267" s="172"/>
      <c r="F267" s="172"/>
      <c r="G267" s="172"/>
    </row>
    <row r="268" spans="1:7" x14ac:dyDescent="0.3">
      <c r="A268" s="172"/>
      <c r="B268" s="172"/>
      <c r="C268" s="172"/>
      <c r="D268" s="172"/>
      <c r="E268" s="172"/>
      <c r="F268" s="172"/>
      <c r="G268" s="172"/>
    </row>
    <row r="269" spans="1:7" x14ac:dyDescent="0.3">
      <c r="A269" s="172"/>
      <c r="B269" s="172"/>
      <c r="C269" s="172"/>
      <c r="D269" s="172"/>
      <c r="E269" s="172"/>
      <c r="F269" s="172"/>
      <c r="G269" s="172"/>
    </row>
    <row r="270" spans="1:7" x14ac:dyDescent="0.3">
      <c r="A270" s="172"/>
      <c r="B270" s="172"/>
      <c r="C270" s="172"/>
      <c r="D270" s="172"/>
      <c r="E270" s="172"/>
      <c r="F270" s="172"/>
      <c r="G270" s="172"/>
    </row>
    <row r="271" spans="1:7" x14ac:dyDescent="0.3">
      <c r="A271" s="172"/>
      <c r="B271" s="172"/>
      <c r="C271" s="172"/>
      <c r="D271" s="172"/>
      <c r="E271" s="172"/>
      <c r="F271" s="172"/>
      <c r="G271" s="172"/>
    </row>
    <row r="272" spans="1:7" x14ac:dyDescent="0.3">
      <c r="A272" s="174"/>
      <c r="B272" s="174"/>
      <c r="C272" s="174"/>
      <c r="D272" s="174"/>
      <c r="E272" s="172"/>
      <c r="F272" s="172"/>
      <c r="G272" s="172"/>
    </row>
    <row r="273" spans="1:7" x14ac:dyDescent="0.3">
      <c r="A273" s="171"/>
      <c r="B273" s="171"/>
      <c r="C273" s="171"/>
      <c r="D273" s="171"/>
      <c r="E273" s="172"/>
      <c r="F273" s="172"/>
      <c r="G273" s="172"/>
    </row>
    <row r="274" spans="1:7" x14ac:dyDescent="0.3">
      <c r="A274" s="172"/>
      <c r="B274" s="172"/>
      <c r="C274" s="172"/>
      <c r="D274" s="173"/>
      <c r="E274" s="172"/>
      <c r="F274" s="172"/>
      <c r="G274" s="172"/>
    </row>
    <row r="275" spans="1:7" x14ac:dyDescent="0.3">
      <c r="A275" s="172"/>
      <c r="B275" s="172"/>
      <c r="C275" s="172"/>
      <c r="D275" s="172"/>
      <c r="E275" s="172"/>
      <c r="F275" s="172"/>
      <c r="G275" s="172"/>
    </row>
    <row r="276" spans="1:7" x14ac:dyDescent="0.3">
      <c r="A276" s="172"/>
      <c r="B276" s="172"/>
      <c r="C276" s="172"/>
      <c r="D276" s="172"/>
      <c r="E276" s="172"/>
      <c r="F276" s="172"/>
      <c r="G276" s="172"/>
    </row>
    <row r="277" spans="1:7" x14ac:dyDescent="0.3">
      <c r="A277" s="172"/>
      <c r="B277" s="172"/>
      <c r="C277" s="172"/>
      <c r="D277" s="172"/>
      <c r="E277" s="172"/>
      <c r="F277" s="172"/>
      <c r="G277" s="172"/>
    </row>
    <row r="278" spans="1:7" x14ac:dyDescent="0.3">
      <c r="A278" s="172"/>
      <c r="B278" s="172"/>
      <c r="C278" s="172"/>
      <c r="D278" s="172"/>
      <c r="E278" s="172"/>
      <c r="F278" s="172"/>
      <c r="G278" s="172"/>
    </row>
    <row r="279" spans="1:7" x14ac:dyDescent="0.3">
      <c r="A279" s="174"/>
      <c r="B279" s="174"/>
      <c r="C279" s="174"/>
      <c r="D279" s="174"/>
      <c r="E279" s="172"/>
      <c r="F279" s="172"/>
      <c r="G279" s="172"/>
    </row>
    <row r="280" spans="1:7" x14ac:dyDescent="0.3">
      <c r="A280" s="179"/>
      <c r="B280" s="171"/>
      <c r="C280" s="171"/>
      <c r="D280" s="171"/>
      <c r="E280" s="172"/>
      <c r="F280" s="172"/>
      <c r="G280" s="172"/>
    </row>
    <row r="281" spans="1:7" x14ac:dyDescent="0.3">
      <c r="A281" s="179"/>
      <c r="B281" s="171"/>
      <c r="C281" s="171"/>
      <c r="D281" s="171"/>
      <c r="E281" s="172"/>
      <c r="F281" s="172"/>
      <c r="G281" s="172"/>
    </row>
    <row r="282" spans="1:7" x14ac:dyDescent="0.3">
      <c r="A282" s="179"/>
      <c r="B282" s="171"/>
      <c r="C282" s="171"/>
      <c r="D282" s="171"/>
      <c r="E282" s="172"/>
      <c r="F282" s="172"/>
      <c r="G282" s="172"/>
    </row>
    <row r="283" spans="1:7" x14ac:dyDescent="0.3">
      <c r="A283" s="172"/>
      <c r="B283" s="172"/>
      <c r="C283" s="172"/>
      <c r="D283" s="173"/>
      <c r="E283" s="172"/>
      <c r="F283" s="172"/>
      <c r="G283" s="172"/>
    </row>
    <row r="284" spans="1:7" x14ac:dyDescent="0.3">
      <c r="A284" s="172"/>
      <c r="B284" s="172"/>
      <c r="C284" s="172"/>
      <c r="D284" s="172"/>
      <c r="E284" s="172"/>
      <c r="F284" s="172"/>
      <c r="G284" s="172"/>
    </row>
    <row r="285" spans="1:7" x14ac:dyDescent="0.3">
      <c r="A285" s="172"/>
      <c r="B285" s="172"/>
      <c r="C285" s="172"/>
      <c r="D285" s="172"/>
      <c r="E285" s="172"/>
      <c r="F285" s="172"/>
      <c r="G285" s="172"/>
    </row>
    <row r="286" spans="1:7" x14ac:dyDescent="0.3">
      <c r="A286" s="172"/>
      <c r="B286" s="172"/>
      <c r="C286" s="172"/>
      <c r="D286" s="172"/>
      <c r="E286" s="172"/>
      <c r="F286" s="172"/>
      <c r="G286" s="172"/>
    </row>
    <row r="287" spans="1:7" x14ac:dyDescent="0.3">
      <c r="A287" s="172"/>
      <c r="B287" s="172"/>
      <c r="C287" s="172"/>
      <c r="D287" s="172"/>
      <c r="E287" s="172"/>
      <c r="F287" s="172"/>
      <c r="G287" s="172"/>
    </row>
    <row r="288" spans="1:7" x14ac:dyDescent="0.3">
      <c r="A288" s="172"/>
      <c r="B288" s="172"/>
      <c r="C288" s="172"/>
      <c r="D288" s="172"/>
      <c r="E288" s="172"/>
      <c r="F288" s="172"/>
      <c r="G288" s="172"/>
    </row>
    <row r="289" spans="1:8" x14ac:dyDescent="0.3">
      <c r="A289" s="174"/>
      <c r="B289" s="172"/>
      <c r="C289" s="172"/>
      <c r="D289" s="172"/>
      <c r="E289" s="172"/>
      <c r="F289" s="172"/>
      <c r="G289" s="172"/>
    </row>
    <row r="290" spans="1:8" x14ac:dyDescent="0.3">
      <c r="A290" s="171"/>
      <c r="B290" s="172"/>
      <c r="C290" s="172"/>
      <c r="D290" s="172"/>
      <c r="E290" s="172"/>
      <c r="F290" s="172"/>
      <c r="G290" s="172"/>
    </row>
    <row r="291" spans="1:8" x14ac:dyDescent="0.3">
      <c r="A291" s="171"/>
      <c r="C291" s="172"/>
      <c r="D291" s="172"/>
      <c r="E291" s="172"/>
      <c r="F291" s="172"/>
      <c r="G291" s="172"/>
    </row>
    <row r="292" spans="1:8" x14ac:dyDescent="0.3">
      <c r="A292" s="171"/>
      <c r="C292" s="172"/>
      <c r="D292" s="172"/>
      <c r="E292" s="172"/>
      <c r="F292" s="172"/>
      <c r="G292" s="172"/>
    </row>
    <row r="293" spans="1:8" x14ac:dyDescent="0.3">
      <c r="A293" s="173"/>
      <c r="B293" s="172"/>
      <c r="C293" s="172"/>
      <c r="D293" s="172"/>
      <c r="E293" s="172"/>
      <c r="F293" s="172"/>
      <c r="G293" s="172"/>
    </row>
    <row r="294" spans="1:8" x14ac:dyDescent="0.3">
      <c r="A294" s="172"/>
      <c r="B294" s="172"/>
      <c r="C294" s="172"/>
      <c r="D294" s="172"/>
      <c r="E294" s="172"/>
      <c r="F294" s="172"/>
      <c r="G294" s="172"/>
    </row>
    <row r="295" spans="1:8" x14ac:dyDescent="0.3">
      <c r="A295" s="172"/>
      <c r="B295" s="172"/>
      <c r="C295" s="172"/>
      <c r="D295" s="172"/>
      <c r="E295" s="172"/>
      <c r="F295" s="172"/>
      <c r="G295" s="172"/>
    </row>
    <row r="296" spans="1:8" x14ac:dyDescent="0.3">
      <c r="A296" s="172"/>
      <c r="B296" s="172"/>
      <c r="C296" s="172"/>
      <c r="D296" s="172"/>
      <c r="E296" s="172"/>
      <c r="F296" s="172"/>
      <c r="G296" s="172"/>
    </row>
    <row r="297" spans="1:8" x14ac:dyDescent="0.3">
      <c r="A297" s="172"/>
      <c r="B297" s="172"/>
      <c r="C297" s="172"/>
      <c r="D297" s="172"/>
      <c r="E297" s="172"/>
      <c r="F297" s="172"/>
      <c r="G297" s="172"/>
    </row>
    <row r="298" spans="1:8" x14ac:dyDescent="0.3">
      <c r="C298" s="173"/>
      <c r="D298" s="172"/>
      <c r="E298" s="172"/>
      <c r="F298" s="172"/>
      <c r="G298" s="172"/>
    </row>
    <row r="299" spans="1:8" x14ac:dyDescent="0.3">
      <c r="A299" s="172"/>
      <c r="B299" s="172"/>
      <c r="C299" s="172"/>
      <c r="D299" s="172"/>
      <c r="E299" s="172"/>
      <c r="F299" s="172"/>
      <c r="G299" s="172"/>
    </row>
    <row r="300" spans="1:8" x14ac:dyDescent="0.3">
      <c r="A300" s="172"/>
      <c r="B300" s="172"/>
      <c r="C300" s="172"/>
      <c r="D300" s="172"/>
      <c r="E300" s="172"/>
      <c r="F300" s="172"/>
      <c r="G300" s="172"/>
    </row>
    <row r="301" spans="1:8" x14ac:dyDescent="0.3">
      <c r="A301" s="178"/>
      <c r="B301" s="178"/>
      <c r="C301" s="178"/>
      <c r="D301" s="178"/>
      <c r="E301" s="178"/>
      <c r="F301" s="178"/>
      <c r="G301" s="178"/>
      <c r="H301" s="178"/>
    </row>
    <row r="302" spans="1:8" x14ac:dyDescent="0.3">
      <c r="A302" s="178"/>
      <c r="B302" s="178"/>
      <c r="C302" s="178"/>
      <c r="D302" s="178"/>
      <c r="E302" s="178"/>
      <c r="F302" s="178"/>
      <c r="G302" s="178"/>
      <c r="H302" s="178"/>
    </row>
    <row r="303" spans="1:8" x14ac:dyDescent="0.3">
      <c r="A303" s="172"/>
      <c r="B303" s="172"/>
      <c r="C303" s="172"/>
      <c r="D303" s="172"/>
      <c r="E303" s="172"/>
      <c r="F303" s="172"/>
      <c r="G303" s="172"/>
    </row>
    <row r="304" spans="1:8" x14ac:dyDescent="0.3">
      <c r="A304" s="174"/>
      <c r="B304" s="172"/>
      <c r="C304" s="172"/>
      <c r="D304" s="172"/>
      <c r="E304" s="172"/>
      <c r="F304" s="172"/>
      <c r="G304" s="172"/>
    </row>
    <row r="305" spans="1:7" x14ac:dyDescent="0.3">
      <c r="A305" s="171"/>
      <c r="B305" s="172"/>
      <c r="C305" s="172"/>
      <c r="D305" s="172"/>
      <c r="E305" s="172"/>
      <c r="F305" s="172"/>
      <c r="G305" s="172"/>
    </row>
    <row r="306" spans="1:7" x14ac:dyDescent="0.3">
      <c r="A306" s="171"/>
      <c r="B306" s="172"/>
      <c r="C306" s="172"/>
      <c r="D306" s="172"/>
      <c r="E306" s="172"/>
      <c r="F306" s="172"/>
      <c r="G306" s="172"/>
    </row>
    <row r="307" spans="1:7" x14ac:dyDescent="0.3">
      <c r="A307" s="171"/>
      <c r="B307" s="172"/>
      <c r="C307" s="172"/>
      <c r="D307" s="172"/>
      <c r="E307" s="172"/>
      <c r="F307" s="172"/>
      <c r="G307" s="172"/>
    </row>
    <row r="308" spans="1:7" x14ac:dyDescent="0.3">
      <c r="A308" s="173"/>
      <c r="B308" s="172"/>
      <c r="C308" s="172"/>
      <c r="D308" s="172"/>
      <c r="E308" s="172"/>
      <c r="F308" s="172"/>
      <c r="G308" s="172"/>
    </row>
    <row r="309" spans="1:7" x14ac:dyDescent="0.3">
      <c r="A309" s="172"/>
      <c r="B309" s="172"/>
      <c r="C309" s="172"/>
      <c r="D309" s="172"/>
      <c r="E309" s="172"/>
      <c r="F309" s="172"/>
      <c r="G309" s="172"/>
    </row>
    <row r="310" spans="1:7" x14ac:dyDescent="0.3">
      <c r="A310" s="172"/>
      <c r="B310" s="172"/>
      <c r="C310" s="172"/>
      <c r="D310" s="172"/>
      <c r="E310" s="172"/>
      <c r="F310" s="172"/>
      <c r="G310" s="172"/>
    </row>
    <row r="311" spans="1:7" x14ac:dyDescent="0.3">
      <c r="A311" s="172"/>
      <c r="B311" s="172"/>
      <c r="C311" s="172"/>
      <c r="D311" s="172"/>
      <c r="E311" s="172"/>
      <c r="F311" s="172"/>
      <c r="G311" s="172"/>
    </row>
    <row r="312" spans="1:7" x14ac:dyDescent="0.3">
      <c r="A312" s="172"/>
      <c r="B312" s="172"/>
      <c r="C312" s="172"/>
      <c r="D312" s="172"/>
      <c r="E312" s="172"/>
      <c r="F312" s="172"/>
      <c r="G312" s="172"/>
    </row>
    <row r="313" spans="1:7" x14ac:dyDescent="0.3">
      <c r="A313" s="174"/>
      <c r="B313" s="174"/>
      <c r="C313" s="174"/>
      <c r="D313" s="174"/>
      <c r="E313" s="172"/>
      <c r="F313" s="172"/>
      <c r="G313" s="172"/>
    </row>
    <row r="314" spans="1:7" x14ac:dyDescent="0.3">
      <c r="A314" s="171"/>
      <c r="C314" s="172"/>
      <c r="D314" s="172"/>
      <c r="E314" s="172"/>
      <c r="F314" s="172"/>
      <c r="G314" s="172"/>
    </row>
    <row r="315" spans="1:7" x14ac:dyDescent="0.3">
      <c r="A315" s="171"/>
      <c r="C315" s="172"/>
      <c r="D315" s="172"/>
      <c r="E315" s="172"/>
      <c r="F315" s="172"/>
      <c r="G315" s="172"/>
    </row>
    <row r="316" spans="1:7" x14ac:dyDescent="0.3">
      <c r="A316" s="173"/>
      <c r="B316" s="172"/>
      <c r="C316" s="172"/>
      <c r="D316" s="172"/>
      <c r="E316" s="172"/>
      <c r="F316" s="172"/>
      <c r="G316" s="172"/>
    </row>
    <row r="317" spans="1:7" x14ac:dyDescent="0.3">
      <c r="A317" s="172"/>
      <c r="B317" s="172"/>
      <c r="C317" s="172"/>
      <c r="D317" s="172"/>
      <c r="E317" s="172"/>
      <c r="F317" s="172"/>
      <c r="G317" s="172"/>
    </row>
    <row r="318" spans="1:7" x14ac:dyDescent="0.3">
      <c r="A318" s="172"/>
      <c r="B318" s="172"/>
      <c r="C318" s="172"/>
      <c r="D318" s="172"/>
      <c r="E318" s="172"/>
      <c r="F318" s="172"/>
      <c r="G318" s="172"/>
    </row>
    <row r="319" spans="1:7" x14ac:dyDescent="0.3">
      <c r="A319" s="172"/>
      <c r="B319" s="172"/>
      <c r="C319" s="172"/>
      <c r="D319" s="172"/>
      <c r="E319" s="172"/>
      <c r="F319" s="172"/>
      <c r="G319" s="172"/>
    </row>
    <row r="320" spans="1:7" x14ac:dyDescent="0.3">
      <c r="A320" s="172"/>
      <c r="B320" s="172"/>
      <c r="C320" s="172"/>
      <c r="D320" s="172"/>
      <c r="E320" s="172"/>
      <c r="F320" s="172"/>
      <c r="G320" s="172"/>
    </row>
    <row r="321" spans="1:7" x14ac:dyDescent="0.3">
      <c r="A321" s="174"/>
      <c r="B321" s="174"/>
      <c r="C321" s="174"/>
      <c r="D321" s="174"/>
      <c r="E321" s="172"/>
      <c r="F321" s="172"/>
      <c r="G321" s="172"/>
    </row>
    <row r="322" spans="1:7" x14ac:dyDescent="0.3">
      <c r="A322" s="171"/>
      <c r="B322" s="171"/>
      <c r="C322" s="171"/>
      <c r="D322" s="171"/>
      <c r="E322" s="172"/>
      <c r="F322" s="172"/>
      <c r="G322" s="172"/>
    </row>
    <row r="323" spans="1:7" x14ac:dyDescent="0.3">
      <c r="A323" s="171"/>
      <c r="B323" s="171"/>
      <c r="C323" s="171"/>
      <c r="D323" s="171"/>
      <c r="E323" s="172"/>
      <c r="F323" s="172"/>
      <c r="G323" s="172"/>
    </row>
    <row r="324" spans="1:7" x14ac:dyDescent="0.3">
      <c r="A324" s="171"/>
      <c r="B324" s="171"/>
      <c r="C324" s="171"/>
      <c r="D324" s="173"/>
      <c r="E324" s="172"/>
      <c r="F324" s="172"/>
      <c r="G324" s="172"/>
    </row>
    <row r="325" spans="1:7" x14ac:dyDescent="0.3">
      <c r="A325" s="172"/>
      <c r="B325" s="172"/>
      <c r="C325" s="172"/>
      <c r="D325" s="172"/>
      <c r="E325" s="172"/>
      <c r="F325" s="172"/>
      <c r="G325" s="172"/>
    </row>
    <row r="326" spans="1:7" x14ac:dyDescent="0.3">
      <c r="A326" s="172"/>
      <c r="B326" s="172"/>
      <c r="C326" s="172"/>
      <c r="D326" s="172"/>
      <c r="E326" s="172"/>
      <c r="F326" s="172"/>
      <c r="G326" s="172"/>
    </row>
    <row r="327" spans="1:7" x14ac:dyDescent="0.3">
      <c r="A327" s="172"/>
      <c r="B327" s="172"/>
      <c r="C327" s="172"/>
      <c r="D327" s="172"/>
      <c r="E327" s="172"/>
      <c r="F327" s="172"/>
      <c r="G327" s="172"/>
    </row>
    <row r="328" spans="1:7" x14ac:dyDescent="0.3">
      <c r="A328" s="172"/>
      <c r="B328" s="172"/>
      <c r="C328" s="172"/>
      <c r="D328" s="172"/>
      <c r="E328" s="172"/>
      <c r="F328" s="172"/>
      <c r="G328" s="172"/>
    </row>
    <row r="329" spans="1:7" x14ac:dyDescent="0.3">
      <c r="A329" s="174"/>
      <c r="B329" s="172"/>
      <c r="C329" s="172"/>
      <c r="D329" s="172"/>
      <c r="E329" s="172"/>
      <c r="F329" s="172"/>
      <c r="G329" s="172"/>
    </row>
    <row r="330" spans="1:7" x14ac:dyDescent="0.3">
      <c r="A330" s="171"/>
      <c r="B330" s="172"/>
      <c r="C330" s="172"/>
      <c r="D330" s="172"/>
      <c r="E330" s="172"/>
      <c r="F330" s="172"/>
      <c r="G330" s="172"/>
    </row>
    <row r="331" spans="1:7" x14ac:dyDescent="0.3">
      <c r="A331" s="173"/>
      <c r="B331" s="172"/>
      <c r="C331" s="172"/>
      <c r="D331" s="172"/>
      <c r="E331" s="172"/>
      <c r="F331" s="172"/>
      <c r="G331" s="172"/>
    </row>
    <row r="332" spans="1:7" x14ac:dyDescent="0.3">
      <c r="A332" s="172"/>
      <c r="B332" s="172"/>
      <c r="C332" s="172"/>
      <c r="D332" s="172"/>
      <c r="E332" s="172"/>
      <c r="F332" s="172"/>
      <c r="G332" s="172"/>
    </row>
    <row r="333" spans="1:7" x14ac:dyDescent="0.3">
      <c r="A333" s="172"/>
      <c r="B333" s="172"/>
      <c r="C333" s="172"/>
      <c r="D333" s="172"/>
      <c r="E333" s="172"/>
      <c r="F333" s="172"/>
      <c r="G333" s="172"/>
    </row>
    <row r="334" spans="1:7" x14ac:dyDescent="0.3">
      <c r="A334" s="172"/>
      <c r="B334" s="172"/>
      <c r="C334" s="172"/>
      <c r="D334" s="172"/>
      <c r="E334" s="172"/>
      <c r="F334" s="172"/>
      <c r="G334" s="172"/>
    </row>
    <row r="335" spans="1:7" x14ac:dyDescent="0.3">
      <c r="A335" s="172"/>
      <c r="B335" s="172"/>
      <c r="C335" s="172"/>
      <c r="D335" s="172"/>
      <c r="E335" s="172"/>
      <c r="F335" s="172"/>
      <c r="G335" s="172"/>
    </row>
    <row r="336" spans="1:7" x14ac:dyDescent="0.3">
      <c r="A336" s="174"/>
      <c r="B336" s="174"/>
      <c r="C336" s="174"/>
      <c r="D336" s="174"/>
      <c r="E336" s="172"/>
      <c r="F336" s="172"/>
      <c r="G336" s="172"/>
    </row>
    <row r="337" spans="1:7" x14ac:dyDescent="0.3">
      <c r="A337" s="171"/>
      <c r="B337" s="171"/>
      <c r="C337" s="171"/>
      <c r="D337" s="171"/>
      <c r="E337" s="172"/>
      <c r="F337" s="172"/>
      <c r="G337" s="172"/>
    </row>
    <row r="338" spans="1:7" x14ac:dyDescent="0.3">
      <c r="A338" s="171"/>
      <c r="B338" s="171"/>
      <c r="C338" s="171"/>
      <c r="D338" s="171"/>
      <c r="E338" s="172"/>
      <c r="F338" s="172"/>
      <c r="G338" s="172"/>
    </row>
    <row r="339" spans="1:7" x14ac:dyDescent="0.3">
      <c r="A339" s="171"/>
      <c r="B339" s="171"/>
      <c r="C339" s="171"/>
      <c r="D339" s="171"/>
      <c r="E339" s="172"/>
      <c r="F339" s="172"/>
      <c r="G339" s="172"/>
    </row>
    <row r="340" spans="1:7" x14ac:dyDescent="0.3">
      <c r="A340" s="172"/>
      <c r="B340" s="172"/>
      <c r="C340" s="172"/>
      <c r="D340" s="173"/>
      <c r="E340" s="172"/>
      <c r="F340" s="172"/>
      <c r="G340" s="172"/>
    </row>
    <row r="341" spans="1:7" x14ac:dyDescent="0.3">
      <c r="A341" s="172"/>
      <c r="B341" s="172"/>
      <c r="C341" s="172"/>
      <c r="D341" s="172"/>
      <c r="E341" s="172"/>
      <c r="F341" s="172"/>
      <c r="G341" s="172"/>
    </row>
    <row r="342" spans="1:7" x14ac:dyDescent="0.3">
      <c r="A342" s="172"/>
      <c r="B342" s="172"/>
      <c r="C342" s="172"/>
      <c r="D342" s="172"/>
      <c r="E342" s="172"/>
      <c r="F342" s="172"/>
      <c r="G342" s="172"/>
    </row>
    <row r="343" spans="1:7" x14ac:dyDescent="0.3">
      <c r="A343" s="172"/>
      <c r="B343" s="172"/>
      <c r="C343" s="172"/>
      <c r="D343" s="172"/>
      <c r="E343" s="172"/>
      <c r="F343" s="172"/>
      <c r="G343" s="172"/>
    </row>
    <row r="344" spans="1:7" x14ac:dyDescent="0.3">
      <c r="A344" s="172"/>
      <c r="B344" s="172"/>
      <c r="C344" s="172"/>
      <c r="D344" s="172"/>
      <c r="E344" s="172"/>
      <c r="F344" s="172"/>
      <c r="G344" s="172"/>
    </row>
    <row r="345" spans="1:7" x14ac:dyDescent="0.3">
      <c r="A345" s="174"/>
      <c r="B345" s="172"/>
      <c r="C345" s="172"/>
      <c r="D345" s="172"/>
      <c r="E345" s="172"/>
      <c r="F345" s="172"/>
      <c r="G345" s="172"/>
    </row>
    <row r="346" spans="1:7" x14ac:dyDescent="0.3">
      <c r="A346" s="171"/>
      <c r="B346" s="172"/>
      <c r="C346" s="172"/>
      <c r="D346" s="172"/>
      <c r="E346" s="172"/>
      <c r="F346" s="172"/>
      <c r="G346" s="172"/>
    </row>
    <row r="347" spans="1:7" x14ac:dyDescent="0.3">
      <c r="A347" s="173"/>
      <c r="B347" s="172"/>
      <c r="C347" s="172"/>
      <c r="D347" s="172"/>
      <c r="E347" s="172"/>
      <c r="F347" s="172"/>
      <c r="G347" s="172"/>
    </row>
    <row r="348" spans="1:7" x14ac:dyDescent="0.3">
      <c r="A348" s="172"/>
      <c r="B348" s="172"/>
      <c r="C348" s="172"/>
      <c r="D348" s="172"/>
      <c r="E348" s="172"/>
      <c r="F348" s="172"/>
      <c r="G348" s="172"/>
    </row>
    <row r="349" spans="1:7" x14ac:dyDescent="0.3">
      <c r="A349" s="172"/>
      <c r="B349" s="172"/>
      <c r="C349" s="172"/>
      <c r="D349" s="172"/>
      <c r="E349" s="172"/>
      <c r="F349" s="172"/>
      <c r="G349" s="172"/>
    </row>
    <row r="350" spans="1:7" x14ac:dyDescent="0.3">
      <c r="A350" s="172"/>
      <c r="B350" s="172"/>
      <c r="C350" s="172"/>
      <c r="D350" s="172"/>
      <c r="E350" s="172"/>
      <c r="F350" s="172"/>
      <c r="G350" s="172"/>
    </row>
    <row r="351" spans="1:7" x14ac:dyDescent="0.3">
      <c r="A351" s="172"/>
      <c r="B351" s="172"/>
      <c r="C351" s="172"/>
      <c r="D351" s="172"/>
      <c r="E351" s="172"/>
      <c r="F351" s="172"/>
      <c r="G351" s="172"/>
    </row>
    <row r="352" spans="1:7" x14ac:dyDescent="0.3">
      <c r="A352" s="174"/>
      <c r="B352" s="172"/>
      <c r="C352" s="172"/>
      <c r="D352" s="172"/>
      <c r="E352" s="172"/>
      <c r="F352" s="172"/>
      <c r="G352" s="172"/>
    </row>
    <row r="353" spans="1:7" x14ac:dyDescent="0.3">
      <c r="A353" s="171"/>
      <c r="B353" s="172"/>
      <c r="C353" s="172"/>
      <c r="D353" s="172"/>
      <c r="E353" s="172"/>
      <c r="F353" s="172"/>
      <c r="G353" s="172"/>
    </row>
    <row r="354" spans="1:7" x14ac:dyDescent="0.3">
      <c r="A354" s="171"/>
      <c r="B354" s="172"/>
      <c r="C354" s="172"/>
      <c r="D354" s="172"/>
      <c r="E354" s="172"/>
      <c r="F354" s="172"/>
      <c r="G354" s="172"/>
    </row>
    <row r="355" spans="1:7" x14ac:dyDescent="0.3">
      <c r="A355" s="171"/>
      <c r="B355" s="172"/>
      <c r="C355" s="172"/>
      <c r="D355" s="172"/>
      <c r="E355" s="172"/>
      <c r="F355" s="172"/>
      <c r="G355" s="172"/>
    </row>
    <row r="356" spans="1:7" x14ac:dyDescent="0.3">
      <c r="A356" s="171"/>
      <c r="B356" s="172"/>
      <c r="C356" s="172"/>
      <c r="D356" s="172"/>
      <c r="E356" s="172"/>
      <c r="F356" s="172"/>
      <c r="G356" s="172"/>
    </row>
    <row r="357" spans="1:7" x14ac:dyDescent="0.3">
      <c r="A357" s="173"/>
      <c r="B357" s="172"/>
      <c r="C357" s="172"/>
      <c r="D357" s="172"/>
      <c r="E357" s="172"/>
      <c r="F357" s="172"/>
      <c r="G357" s="172"/>
    </row>
    <row r="358" spans="1:7" x14ac:dyDescent="0.3">
      <c r="A358" s="172"/>
      <c r="B358" s="172"/>
      <c r="C358" s="172"/>
      <c r="D358" s="172"/>
      <c r="E358" s="172"/>
      <c r="F358" s="172"/>
      <c r="G358" s="172"/>
    </row>
    <row r="359" spans="1:7" x14ac:dyDescent="0.3">
      <c r="A359" s="172"/>
      <c r="B359" s="172"/>
      <c r="C359" s="172"/>
      <c r="D359" s="172"/>
      <c r="E359" s="172"/>
      <c r="F359" s="172"/>
      <c r="G359" s="172"/>
    </row>
    <row r="360" spans="1:7" x14ac:dyDescent="0.3">
      <c r="A360" s="172"/>
      <c r="B360" s="172"/>
      <c r="C360" s="172"/>
      <c r="D360" s="172"/>
      <c r="E360" s="172"/>
      <c r="F360" s="172"/>
      <c r="G360" s="172"/>
    </row>
    <row r="361" spans="1:7" x14ac:dyDescent="0.3">
      <c r="A361" s="172"/>
      <c r="B361" s="172"/>
      <c r="C361" s="172"/>
      <c r="D361" s="172"/>
      <c r="E361" s="172"/>
      <c r="F361" s="172"/>
      <c r="G361" s="172"/>
    </row>
    <row r="362" spans="1:7" x14ac:dyDescent="0.3">
      <c r="A362" s="174"/>
      <c r="B362" s="172"/>
      <c r="C362" s="172"/>
      <c r="D362" s="172"/>
      <c r="E362" s="172"/>
      <c r="F362" s="172"/>
      <c r="G362" s="172"/>
    </row>
    <row r="363" spans="1:7" x14ac:dyDescent="0.3">
      <c r="A363" s="171"/>
      <c r="B363" s="172"/>
      <c r="C363" s="172"/>
      <c r="D363" s="172"/>
      <c r="E363" s="172"/>
      <c r="F363" s="172"/>
      <c r="G363" s="172"/>
    </row>
    <row r="364" spans="1:7" x14ac:dyDescent="0.3">
      <c r="A364" s="173"/>
      <c r="B364" s="172"/>
      <c r="C364" s="172"/>
      <c r="D364" s="172"/>
      <c r="E364" s="172"/>
      <c r="F364" s="172"/>
      <c r="G364" s="172"/>
    </row>
    <row r="365" spans="1:7" x14ac:dyDescent="0.3">
      <c r="A365" s="172"/>
      <c r="B365" s="172"/>
      <c r="C365" s="172"/>
      <c r="D365" s="172"/>
      <c r="E365" s="172"/>
      <c r="F365" s="172"/>
      <c r="G365" s="172"/>
    </row>
    <row r="366" spans="1:7" x14ac:dyDescent="0.3">
      <c r="A366" s="172"/>
      <c r="B366" s="172"/>
      <c r="C366" s="172"/>
      <c r="D366" s="172"/>
      <c r="E366" s="172"/>
      <c r="F366" s="172"/>
      <c r="G366" s="172"/>
    </row>
    <row r="367" spans="1:7" x14ac:dyDescent="0.3">
      <c r="A367" s="172"/>
      <c r="B367" s="172"/>
      <c r="C367" s="172"/>
      <c r="D367" s="172"/>
      <c r="E367" s="172"/>
      <c r="F367" s="172"/>
      <c r="G367" s="172"/>
    </row>
    <row r="368" spans="1:7" x14ac:dyDescent="0.3">
      <c r="A368" s="172"/>
      <c r="B368" s="172"/>
      <c r="C368" s="172"/>
      <c r="D368" s="172"/>
      <c r="E368" s="172"/>
      <c r="F368" s="172"/>
      <c r="G368" s="172"/>
    </row>
    <row r="369" spans="1:7" x14ac:dyDescent="0.3">
      <c r="A369" s="174"/>
      <c r="B369" s="172"/>
      <c r="C369" s="172"/>
      <c r="D369" s="172"/>
      <c r="E369" s="172"/>
      <c r="F369" s="172"/>
      <c r="G369" s="172"/>
    </row>
    <row r="370" spans="1:7" x14ac:dyDescent="0.3">
      <c r="A370" s="171"/>
      <c r="B370" s="172"/>
      <c r="C370" s="172"/>
      <c r="D370" s="172"/>
      <c r="E370" s="172"/>
      <c r="F370" s="172"/>
      <c r="G370" s="172"/>
    </row>
    <row r="371" spans="1:7" x14ac:dyDescent="0.3">
      <c r="A371" s="171"/>
      <c r="B371" s="172"/>
      <c r="C371" s="172"/>
      <c r="D371" s="172"/>
      <c r="E371" s="172"/>
      <c r="F371" s="172"/>
      <c r="G371" s="172"/>
    </row>
    <row r="372" spans="1:7" x14ac:dyDescent="0.3">
      <c r="A372" s="171"/>
      <c r="B372" s="172"/>
      <c r="C372" s="172"/>
      <c r="D372" s="172"/>
      <c r="E372" s="172"/>
      <c r="F372" s="172"/>
      <c r="G372" s="172"/>
    </row>
    <row r="373" spans="1:7" x14ac:dyDescent="0.3">
      <c r="A373" s="171"/>
      <c r="B373" s="172"/>
      <c r="C373" s="180"/>
      <c r="D373" s="172"/>
      <c r="E373" s="172"/>
      <c r="F373" s="172"/>
      <c r="G373" s="172"/>
    </row>
    <row r="374" spans="1:7" x14ac:dyDescent="0.3">
      <c r="A374" s="171"/>
      <c r="B374" s="172"/>
      <c r="C374" s="172"/>
      <c r="D374" s="172"/>
      <c r="E374" s="172"/>
      <c r="F374" s="172"/>
      <c r="G374" s="172"/>
    </row>
    <row r="375" spans="1:7" x14ac:dyDescent="0.3">
      <c r="A375" s="173"/>
      <c r="B375" s="172"/>
      <c r="C375" s="172"/>
      <c r="D375" s="172"/>
      <c r="E375" s="172"/>
      <c r="F375" s="172"/>
      <c r="G375" s="172"/>
    </row>
    <row r="376" spans="1:7" x14ac:dyDescent="0.3">
      <c r="A376" s="172"/>
      <c r="B376" s="172"/>
      <c r="C376" s="172"/>
      <c r="D376" s="172"/>
      <c r="E376" s="172"/>
      <c r="F376" s="172"/>
      <c r="G376" s="172"/>
    </row>
    <row r="377" spans="1:7" x14ac:dyDescent="0.3">
      <c r="A377" s="172"/>
      <c r="B377" s="172"/>
      <c r="C377" s="172"/>
      <c r="D377" s="172"/>
      <c r="E377" s="172"/>
      <c r="F377" s="172"/>
      <c r="G377" s="172"/>
    </row>
    <row r="378" spans="1:7" x14ac:dyDescent="0.3">
      <c r="A378" s="172"/>
      <c r="B378" s="172"/>
      <c r="C378" s="172"/>
      <c r="D378" s="172"/>
      <c r="E378" s="172"/>
      <c r="F378" s="172"/>
      <c r="G378" s="172"/>
    </row>
    <row r="379" spans="1:7" x14ac:dyDescent="0.3">
      <c r="A379" s="172"/>
      <c r="B379" s="172"/>
      <c r="C379" s="172"/>
      <c r="D379" s="172"/>
      <c r="E379" s="172"/>
      <c r="F379" s="172"/>
      <c r="G379" s="172"/>
    </row>
    <row r="380" spans="1:7" x14ac:dyDescent="0.3">
      <c r="D380" s="173"/>
      <c r="E380" s="172"/>
      <c r="F380" s="172"/>
      <c r="G380" s="172"/>
    </row>
    <row r="381" spans="1:7" x14ac:dyDescent="0.3">
      <c r="A381" s="172"/>
      <c r="B381" s="172"/>
      <c r="C381" s="172"/>
      <c r="D381" s="172"/>
      <c r="E381" s="172"/>
      <c r="F381" s="172"/>
      <c r="G381" s="172"/>
    </row>
    <row r="382" spans="1:7" x14ac:dyDescent="0.3">
      <c r="A382" s="172"/>
      <c r="B382" s="172"/>
      <c r="C382" s="172"/>
      <c r="D382" s="172"/>
      <c r="E382" s="172"/>
      <c r="F382" s="172"/>
      <c r="G382" s="172"/>
    </row>
    <row r="383" spans="1:7" x14ac:dyDescent="0.3">
      <c r="A383" s="172"/>
      <c r="B383" s="172"/>
      <c r="C383" s="172"/>
      <c r="D383" s="172"/>
      <c r="E383" s="172"/>
      <c r="F383" s="172"/>
      <c r="G383" s="172"/>
    </row>
    <row r="384" spans="1:7" x14ac:dyDescent="0.3">
      <c r="A384" s="172"/>
      <c r="B384" s="172"/>
      <c r="C384" s="172"/>
      <c r="D384" s="172"/>
      <c r="E384" s="172"/>
      <c r="F384" s="172"/>
      <c r="G384" s="172"/>
    </row>
    <row r="385" spans="1:7" x14ac:dyDescent="0.3">
      <c r="E385" s="173"/>
      <c r="F385" s="173"/>
      <c r="G385" s="172"/>
    </row>
    <row r="386" spans="1:7" x14ac:dyDescent="0.3">
      <c r="A386" s="172"/>
      <c r="B386" s="172"/>
      <c r="C386" s="172"/>
      <c r="D386" s="172"/>
      <c r="E386" s="172"/>
      <c r="F386" s="172"/>
      <c r="G386" s="172"/>
    </row>
    <row r="387" spans="1:7" x14ac:dyDescent="0.3">
      <c r="A387" s="172"/>
      <c r="B387" s="172"/>
      <c r="C387" s="172"/>
      <c r="D387" s="172"/>
      <c r="E387" s="172"/>
      <c r="F387" s="172"/>
      <c r="G387" s="172"/>
    </row>
    <row r="388" spans="1:7" x14ac:dyDescent="0.3">
      <c r="A388" s="172"/>
      <c r="B388" s="172"/>
      <c r="C388" s="172"/>
      <c r="D388" s="172"/>
      <c r="E388" s="172"/>
      <c r="F388" s="172"/>
      <c r="G388" s="172"/>
    </row>
    <row r="389" spans="1:7" x14ac:dyDescent="0.3">
      <c r="A389" s="172"/>
      <c r="B389" s="172"/>
      <c r="C389" s="172"/>
      <c r="D389" s="172"/>
      <c r="E389" s="172"/>
      <c r="F389" s="172"/>
      <c r="G389" s="172"/>
    </row>
    <row r="390" spans="1:7" x14ac:dyDescent="0.3">
      <c r="A390" s="174"/>
      <c r="B390" s="172"/>
      <c r="C390" s="172"/>
      <c r="D390" s="172"/>
      <c r="E390" s="172"/>
      <c r="F390" s="172"/>
      <c r="G390" s="172"/>
    </row>
    <row r="391" spans="1:7" x14ac:dyDescent="0.3">
      <c r="A391" s="171"/>
      <c r="B391" s="172"/>
      <c r="C391" s="172"/>
      <c r="D391" s="172"/>
      <c r="E391" s="172"/>
      <c r="F391" s="172"/>
      <c r="G391" s="172"/>
    </row>
    <row r="392" spans="1:7" x14ac:dyDescent="0.3">
      <c r="A392" s="171"/>
      <c r="B392" s="172"/>
      <c r="C392" s="172"/>
      <c r="D392" s="172"/>
      <c r="E392" s="172"/>
      <c r="F392" s="172"/>
      <c r="G392" s="172"/>
    </row>
    <row r="393" spans="1:7" x14ac:dyDescent="0.3">
      <c r="A393" s="173"/>
      <c r="B393" s="172"/>
      <c r="C393" s="172"/>
      <c r="D393" s="172"/>
      <c r="E393" s="172"/>
      <c r="F393" s="172"/>
      <c r="G393" s="172"/>
    </row>
    <row r="394" spans="1:7" x14ac:dyDescent="0.3">
      <c r="A394" s="171"/>
      <c r="B394" s="172"/>
      <c r="C394" s="172"/>
      <c r="D394" s="172"/>
      <c r="E394" s="172"/>
      <c r="F394" s="172"/>
      <c r="G394" s="172"/>
    </row>
    <row r="395" spans="1:7" x14ac:dyDescent="0.3">
      <c r="A395" s="171"/>
      <c r="B395" s="172"/>
      <c r="C395" s="172"/>
      <c r="D395" s="172"/>
      <c r="E395" s="172"/>
      <c r="F395" s="172"/>
      <c r="G395" s="172"/>
    </row>
    <row r="396" spans="1:7" x14ac:dyDescent="0.3">
      <c r="A396" s="172"/>
      <c r="B396" s="172"/>
      <c r="C396" s="172"/>
      <c r="D396" s="172"/>
      <c r="E396" s="172"/>
      <c r="F396" s="172"/>
      <c r="G396" s="172"/>
    </row>
    <row r="397" spans="1:7" x14ac:dyDescent="0.3">
      <c r="A397" s="172"/>
      <c r="B397" s="172"/>
      <c r="C397" s="172"/>
      <c r="D397" s="172"/>
      <c r="E397" s="172"/>
      <c r="F397" s="172"/>
      <c r="G397" s="172"/>
    </row>
    <row r="398" spans="1:7" x14ac:dyDescent="0.3">
      <c r="C398" s="173"/>
      <c r="D398" s="172"/>
      <c r="E398" s="172"/>
      <c r="F398" s="172"/>
      <c r="G398" s="172"/>
    </row>
    <row r="399" spans="1:7" x14ac:dyDescent="0.3">
      <c r="A399" s="172"/>
      <c r="B399" s="172"/>
      <c r="C399" s="172"/>
      <c r="D399" s="172"/>
      <c r="E399" s="172"/>
      <c r="F399" s="172"/>
      <c r="G399" s="172"/>
    </row>
    <row r="400" spans="1:7" x14ac:dyDescent="0.3">
      <c r="A400" s="172"/>
      <c r="B400" s="172"/>
      <c r="C400" s="172"/>
      <c r="D400" s="172"/>
      <c r="E400" s="172"/>
      <c r="F400" s="172"/>
      <c r="G400" s="172"/>
    </row>
    <row r="401" spans="1:7" x14ac:dyDescent="0.3">
      <c r="A401" s="172"/>
      <c r="B401" s="172"/>
      <c r="C401" s="172"/>
      <c r="D401" s="172"/>
      <c r="E401" s="172"/>
      <c r="F401" s="172"/>
      <c r="G401" s="172"/>
    </row>
    <row r="402" spans="1:7" x14ac:dyDescent="0.3">
      <c r="A402" s="172"/>
      <c r="B402" s="172"/>
      <c r="C402" s="172"/>
      <c r="D402" s="172"/>
      <c r="E402" s="172"/>
      <c r="F402" s="172"/>
      <c r="G402" s="172"/>
    </row>
    <row r="403" spans="1:7" x14ac:dyDescent="0.3">
      <c r="A403" s="174"/>
      <c r="B403" s="172"/>
      <c r="C403" s="172"/>
      <c r="D403" s="172"/>
      <c r="E403" s="172"/>
      <c r="F403" s="172"/>
      <c r="G403" s="172"/>
    </row>
    <row r="404" spans="1:7" x14ac:dyDescent="0.3">
      <c r="A404" s="171"/>
      <c r="B404" s="172"/>
      <c r="C404" s="172"/>
      <c r="D404" s="172"/>
      <c r="E404" s="172"/>
      <c r="F404" s="172"/>
      <c r="G404" s="172"/>
    </row>
    <row r="405" spans="1:7" x14ac:dyDescent="0.3">
      <c r="A405" s="171"/>
      <c r="B405" s="172"/>
      <c r="C405" s="172"/>
      <c r="D405" s="172"/>
      <c r="E405" s="172"/>
      <c r="F405" s="172"/>
      <c r="G405" s="172"/>
    </row>
    <row r="406" spans="1:7" x14ac:dyDescent="0.3">
      <c r="A406" s="171"/>
      <c r="B406" s="172"/>
      <c r="C406" s="172"/>
      <c r="D406" s="172"/>
      <c r="E406" s="172"/>
      <c r="F406" s="172"/>
      <c r="G406" s="172"/>
    </row>
    <row r="407" spans="1:7" x14ac:dyDescent="0.3">
      <c r="A407" s="171"/>
      <c r="B407" s="172"/>
      <c r="C407" s="172"/>
      <c r="D407" s="172"/>
      <c r="E407" s="172"/>
      <c r="F407" s="172"/>
      <c r="G407" s="172"/>
    </row>
    <row r="408" spans="1:7" x14ac:dyDescent="0.3">
      <c r="A408" s="173"/>
      <c r="B408" s="172"/>
      <c r="C408" s="172"/>
      <c r="D408" s="172"/>
      <c r="E408" s="172"/>
      <c r="F408" s="172"/>
      <c r="G408" s="172"/>
    </row>
    <row r="409" spans="1:7" x14ac:dyDescent="0.3">
      <c r="A409" s="173"/>
      <c r="B409" s="172"/>
      <c r="C409" s="172"/>
      <c r="D409" s="172"/>
      <c r="E409" s="172"/>
      <c r="F409" s="172"/>
      <c r="G409" s="172"/>
    </row>
    <row r="410" spans="1:7" x14ac:dyDescent="0.3">
      <c r="A410" s="173"/>
      <c r="B410" s="172"/>
      <c r="C410" s="172"/>
      <c r="D410" s="172"/>
      <c r="E410" s="172"/>
      <c r="F410" s="172"/>
      <c r="G410" s="172"/>
    </row>
    <row r="411" spans="1:7" x14ac:dyDescent="0.3">
      <c r="A411" s="172"/>
      <c r="B411" s="172"/>
      <c r="C411" s="172"/>
      <c r="D411" s="172"/>
      <c r="E411" s="172"/>
      <c r="F411" s="172"/>
      <c r="G411" s="172"/>
    </row>
    <row r="412" spans="1:7" x14ac:dyDescent="0.3">
      <c r="A412" s="172"/>
      <c r="B412" s="172"/>
      <c r="C412" s="172"/>
      <c r="D412" s="172"/>
      <c r="E412" s="172"/>
      <c r="F412" s="172"/>
      <c r="G412" s="172"/>
    </row>
    <row r="413" spans="1:7" x14ac:dyDescent="0.3">
      <c r="A413" s="174"/>
      <c r="B413" s="172"/>
      <c r="C413" s="172"/>
      <c r="D413" s="172"/>
      <c r="E413" s="172"/>
      <c r="F413" s="172"/>
      <c r="G413" s="172"/>
    </row>
    <row r="414" spans="1:7" x14ac:dyDescent="0.3">
      <c r="A414" s="171"/>
      <c r="B414" s="172"/>
      <c r="C414" s="172"/>
      <c r="D414" s="172"/>
      <c r="E414" s="172"/>
      <c r="F414" s="172"/>
      <c r="G414" s="172"/>
    </row>
    <row r="415" spans="1:7" x14ac:dyDescent="0.3">
      <c r="A415" s="171"/>
      <c r="B415" s="172"/>
      <c r="C415" s="172"/>
      <c r="D415" s="172"/>
      <c r="E415" s="172"/>
      <c r="F415" s="172"/>
      <c r="G415" s="172"/>
    </row>
    <row r="416" spans="1:7" x14ac:dyDescent="0.3">
      <c r="A416" s="171"/>
      <c r="B416" s="172"/>
      <c r="C416" s="172"/>
      <c r="D416" s="172"/>
      <c r="E416" s="172"/>
      <c r="F416" s="172"/>
      <c r="G416" s="172"/>
    </row>
    <row r="417" spans="1:7" x14ac:dyDescent="0.3">
      <c r="A417" s="171"/>
      <c r="B417" s="172"/>
      <c r="C417" s="172"/>
      <c r="D417" s="172"/>
      <c r="E417" s="172"/>
      <c r="F417" s="172"/>
      <c r="G417" s="172"/>
    </row>
    <row r="418" spans="1:7" x14ac:dyDescent="0.3">
      <c r="A418" s="173"/>
      <c r="B418" s="172"/>
      <c r="C418" s="172"/>
      <c r="D418" s="172"/>
      <c r="E418" s="172"/>
      <c r="F418" s="172"/>
      <c r="G418" s="172"/>
    </row>
    <row r="419" spans="1:7" x14ac:dyDescent="0.3">
      <c r="A419" s="172"/>
      <c r="B419" s="172"/>
      <c r="C419" s="172"/>
      <c r="D419" s="172"/>
      <c r="E419" s="172"/>
      <c r="F419" s="172"/>
      <c r="G419" s="172"/>
    </row>
    <row r="420" spans="1:7" x14ac:dyDescent="0.3">
      <c r="A420" s="172"/>
      <c r="B420" s="172"/>
      <c r="C420" s="172"/>
      <c r="D420" s="172"/>
      <c r="E420" s="172"/>
      <c r="F420" s="172"/>
      <c r="G420" s="172"/>
    </row>
    <row r="421" spans="1:7" x14ac:dyDescent="0.3">
      <c r="A421" s="172"/>
      <c r="B421" s="172"/>
      <c r="C421" s="172"/>
      <c r="D421" s="172"/>
      <c r="E421" s="172"/>
      <c r="F421" s="172"/>
      <c r="G421" s="172"/>
    </row>
    <row r="422" spans="1:7" x14ac:dyDescent="0.3">
      <c r="A422" s="172"/>
      <c r="B422" s="172"/>
      <c r="C422" s="172"/>
      <c r="D422" s="172"/>
      <c r="E422" s="172"/>
      <c r="F422" s="172"/>
      <c r="G422" s="172"/>
    </row>
    <row r="423" spans="1:7" x14ac:dyDescent="0.3">
      <c r="A423" s="174"/>
      <c r="B423" s="172"/>
      <c r="C423" s="172"/>
      <c r="D423" s="172"/>
      <c r="E423" s="172"/>
      <c r="F423" s="172"/>
      <c r="G423" s="172"/>
    </row>
    <row r="424" spans="1:7" x14ac:dyDescent="0.3">
      <c r="A424" s="171"/>
      <c r="B424" s="172"/>
      <c r="C424" s="172"/>
      <c r="D424" s="172"/>
      <c r="E424" s="172"/>
      <c r="F424" s="172"/>
      <c r="G424" s="172"/>
    </row>
    <row r="425" spans="1:7" x14ac:dyDescent="0.3">
      <c r="A425" s="173"/>
      <c r="B425" s="172"/>
      <c r="C425" s="172"/>
      <c r="D425" s="172"/>
      <c r="E425" s="172"/>
      <c r="F425" s="172"/>
      <c r="G425" s="172"/>
    </row>
    <row r="426" spans="1:7" x14ac:dyDescent="0.3">
      <c r="A426" s="172"/>
      <c r="B426" s="172"/>
      <c r="C426" s="172"/>
      <c r="D426" s="172"/>
      <c r="E426" s="172"/>
      <c r="F426" s="172"/>
      <c r="G426" s="172"/>
    </row>
    <row r="427" spans="1:7" x14ac:dyDescent="0.3">
      <c r="A427" s="172"/>
      <c r="B427" s="172"/>
      <c r="C427" s="172"/>
      <c r="D427" s="172"/>
      <c r="E427" s="172"/>
      <c r="F427" s="172"/>
      <c r="G427" s="172"/>
    </row>
    <row r="428" spans="1:7" x14ac:dyDescent="0.3">
      <c r="A428" s="172"/>
      <c r="B428" s="172"/>
      <c r="C428" s="172"/>
      <c r="D428" s="172"/>
      <c r="E428" s="172"/>
      <c r="F428" s="172"/>
      <c r="G428" s="172"/>
    </row>
    <row r="429" spans="1:7" x14ac:dyDescent="0.3">
      <c r="A429" s="172"/>
      <c r="B429" s="172"/>
      <c r="C429" s="172"/>
      <c r="D429" s="172"/>
      <c r="E429" s="172"/>
      <c r="F429" s="172"/>
      <c r="G429" s="172"/>
    </row>
    <row r="430" spans="1:7" x14ac:dyDescent="0.3">
      <c r="A430" s="174"/>
      <c r="B430" s="172"/>
      <c r="C430" s="172"/>
      <c r="D430" s="172"/>
      <c r="E430" s="172"/>
      <c r="F430" s="172"/>
      <c r="G430" s="172"/>
    </row>
    <row r="431" spans="1:7" x14ac:dyDescent="0.3">
      <c r="A431" s="171"/>
      <c r="B431" s="172"/>
      <c r="C431" s="172"/>
      <c r="D431" s="172"/>
      <c r="E431" s="172"/>
      <c r="F431" s="172"/>
      <c r="G431" s="172"/>
    </row>
    <row r="432" spans="1:7" x14ac:dyDescent="0.3">
      <c r="A432" s="173"/>
      <c r="B432" s="172"/>
      <c r="C432" s="172"/>
      <c r="D432" s="172"/>
      <c r="E432" s="172"/>
      <c r="F432" s="172"/>
      <c r="G432" s="172"/>
    </row>
    <row r="433" spans="1:7" x14ac:dyDescent="0.3">
      <c r="A433" s="172"/>
      <c r="B433" s="172"/>
      <c r="C433" s="172"/>
      <c r="D433" s="172"/>
      <c r="E433" s="172"/>
      <c r="F433" s="172"/>
      <c r="G433" s="172"/>
    </row>
    <row r="434" spans="1:7" x14ac:dyDescent="0.3">
      <c r="A434" s="172"/>
      <c r="B434" s="172"/>
      <c r="C434" s="172"/>
      <c r="D434" s="172"/>
      <c r="E434" s="172"/>
      <c r="F434" s="172"/>
      <c r="G434" s="172"/>
    </row>
    <row r="435" spans="1:7" x14ac:dyDescent="0.3">
      <c r="A435" s="172"/>
      <c r="B435" s="172"/>
      <c r="C435" s="172"/>
      <c r="D435" s="172"/>
      <c r="E435" s="172"/>
      <c r="F435" s="172"/>
      <c r="G435" s="172"/>
    </row>
    <row r="436" spans="1:7" x14ac:dyDescent="0.3">
      <c r="A436" s="172"/>
      <c r="B436" s="172"/>
      <c r="C436" s="172"/>
      <c r="D436" s="172"/>
      <c r="E436" s="172"/>
      <c r="F436" s="172"/>
      <c r="G436" s="172"/>
    </row>
    <row r="437" spans="1:7" x14ac:dyDescent="0.3">
      <c r="A437" s="172"/>
      <c r="B437" s="172"/>
      <c r="C437" s="172"/>
      <c r="D437" s="172"/>
      <c r="E437" s="172"/>
      <c r="F437" s="172"/>
      <c r="G437" s="172"/>
    </row>
    <row r="438" spans="1:7" x14ac:dyDescent="0.3">
      <c r="D438" s="173"/>
      <c r="E438" s="172"/>
      <c r="F438" s="172"/>
      <c r="G438" s="172"/>
    </row>
    <row r="439" spans="1:7" x14ac:dyDescent="0.3">
      <c r="A439" s="172"/>
      <c r="B439" s="172"/>
      <c r="C439" s="172"/>
      <c r="D439" s="172"/>
      <c r="E439" s="172"/>
      <c r="F439" s="172"/>
      <c r="G439" s="172"/>
    </row>
    <row r="440" spans="1:7" x14ac:dyDescent="0.3">
      <c r="A440" s="172"/>
      <c r="B440" s="172"/>
      <c r="C440" s="172"/>
      <c r="D440" s="172"/>
      <c r="E440" s="172"/>
      <c r="F440" s="172"/>
      <c r="G440" s="172"/>
    </row>
    <row r="441" spans="1:7" x14ac:dyDescent="0.3">
      <c r="A441" s="172"/>
      <c r="B441" s="172"/>
      <c r="C441" s="172"/>
      <c r="D441" s="172"/>
      <c r="E441" s="172"/>
      <c r="F441" s="172"/>
      <c r="G441" s="172"/>
    </row>
    <row r="442" spans="1:7" x14ac:dyDescent="0.3">
      <c r="A442" s="172"/>
      <c r="B442" s="172"/>
      <c r="C442" s="172"/>
      <c r="D442" s="172"/>
      <c r="E442" s="172"/>
      <c r="F442" s="172"/>
      <c r="G442" s="172"/>
    </row>
    <row r="443" spans="1:7" x14ac:dyDescent="0.3">
      <c r="A443" s="172"/>
      <c r="B443" s="172"/>
      <c r="C443" s="172"/>
      <c r="D443" s="172"/>
      <c r="E443" s="172"/>
      <c r="F443" s="172"/>
      <c r="G443" s="172"/>
    </row>
    <row r="444" spans="1:7" x14ac:dyDescent="0.3">
      <c r="G444" s="172"/>
    </row>
    <row r="445" spans="1:7" x14ac:dyDescent="0.3">
      <c r="G445" s="172"/>
    </row>
    <row r="446" spans="1:7" x14ac:dyDescent="0.3">
      <c r="B446" s="161"/>
      <c r="G446" s="172"/>
    </row>
    <row r="447" spans="1:7" x14ac:dyDescent="0.3">
      <c r="G447" s="172"/>
    </row>
    <row r="448" spans="1:7" x14ac:dyDescent="0.3">
      <c r="G448" s="172"/>
    </row>
    <row r="449" spans="1:8" x14ac:dyDescent="0.3">
      <c r="G449" s="172"/>
    </row>
    <row r="450" spans="1:8" x14ac:dyDescent="0.3">
      <c r="A450" s="174"/>
      <c r="B450" s="174"/>
      <c r="C450" s="174"/>
      <c r="D450" s="174"/>
      <c r="G450" s="172"/>
    </row>
    <row r="451" spans="1:8" x14ac:dyDescent="0.3">
      <c r="A451" s="171"/>
      <c r="B451" s="171"/>
      <c r="C451" s="171"/>
      <c r="D451" s="171"/>
      <c r="G451" s="172"/>
    </row>
    <row r="452" spans="1:8" x14ac:dyDescent="0.3">
      <c r="A452" s="174"/>
      <c r="B452" s="174"/>
      <c r="C452" s="174"/>
      <c r="D452" s="161"/>
      <c r="G452" s="172"/>
    </row>
    <row r="453" spans="1:8" x14ac:dyDescent="0.3">
      <c r="A453" s="174"/>
      <c r="B453" s="174"/>
      <c r="C453" s="174"/>
      <c r="D453" s="174"/>
      <c r="G453" s="172"/>
    </row>
    <row r="454" spans="1:8" x14ac:dyDescent="0.3">
      <c r="A454" s="172"/>
      <c r="B454" s="171"/>
      <c r="C454" s="176"/>
      <c r="D454" s="171"/>
      <c r="E454" s="176"/>
      <c r="F454" s="176"/>
      <c r="G454" s="173"/>
      <c r="H454" s="172"/>
    </row>
    <row r="455" spans="1:8" x14ac:dyDescent="0.3">
      <c r="A455" s="172"/>
      <c r="B455" s="172"/>
      <c r="C455" s="172"/>
      <c r="D455" s="173"/>
      <c r="E455" s="172"/>
      <c r="F455" s="172"/>
      <c r="G455" s="172"/>
    </row>
    <row r="456" spans="1:8" x14ac:dyDescent="0.3">
      <c r="A456" s="172"/>
      <c r="B456" s="172"/>
      <c r="C456" s="172"/>
      <c r="D456" s="172"/>
      <c r="E456" s="172"/>
      <c r="F456" s="172"/>
      <c r="G456" s="172"/>
    </row>
    <row r="457" spans="1:8" x14ac:dyDescent="0.3">
      <c r="A457" s="172"/>
      <c r="B457" s="172"/>
      <c r="C457" s="172"/>
      <c r="D457" s="172"/>
      <c r="E457" s="172"/>
      <c r="F457" s="172"/>
      <c r="G457" s="172"/>
    </row>
    <row r="458" spans="1:8" x14ac:dyDescent="0.3">
      <c r="A458" s="174"/>
      <c r="B458" s="172"/>
      <c r="C458" s="172"/>
      <c r="D458" s="172"/>
      <c r="E458" s="172"/>
      <c r="F458" s="172"/>
      <c r="G458" s="172"/>
    </row>
    <row r="459" spans="1:8" x14ac:dyDescent="0.3">
      <c r="A459" s="171"/>
      <c r="B459" s="172"/>
      <c r="C459" s="172"/>
      <c r="D459" s="172"/>
      <c r="E459" s="172"/>
      <c r="F459" s="172"/>
      <c r="G459" s="172"/>
    </row>
    <row r="460" spans="1:8" x14ac:dyDescent="0.3">
      <c r="A460" s="171"/>
      <c r="B460" s="172"/>
      <c r="C460" s="172"/>
      <c r="D460" s="172"/>
      <c r="E460" s="172"/>
      <c r="F460" s="172"/>
      <c r="G460" s="172"/>
    </row>
    <row r="461" spans="1:8" x14ac:dyDescent="0.3">
      <c r="A461" s="171"/>
      <c r="B461" s="172"/>
      <c r="C461" s="172"/>
      <c r="D461" s="172"/>
      <c r="E461" s="172"/>
      <c r="F461" s="172"/>
      <c r="G461" s="172"/>
    </row>
    <row r="462" spans="1:8" x14ac:dyDescent="0.3">
      <c r="A462" s="171"/>
      <c r="B462" s="172"/>
      <c r="C462" s="172"/>
      <c r="D462" s="172"/>
      <c r="E462" s="172"/>
      <c r="F462" s="172"/>
      <c r="G462" s="172"/>
    </row>
    <row r="463" spans="1:8" x14ac:dyDescent="0.3">
      <c r="A463" s="171"/>
      <c r="B463" s="172"/>
      <c r="C463" s="172"/>
      <c r="D463" s="172"/>
      <c r="E463" s="172"/>
      <c r="F463" s="172"/>
      <c r="G463" s="172"/>
    </row>
    <row r="464" spans="1:8" x14ac:dyDescent="0.3">
      <c r="A464" s="180"/>
      <c r="B464" s="172"/>
      <c r="C464" s="180"/>
      <c r="D464" s="172"/>
      <c r="E464" s="172"/>
      <c r="F464" s="172"/>
      <c r="G464" s="172"/>
    </row>
    <row r="465" spans="1:7" x14ac:dyDescent="0.3">
      <c r="A465" s="180"/>
      <c r="B465" s="172"/>
      <c r="C465" s="180"/>
      <c r="D465" s="172"/>
      <c r="E465" s="172"/>
      <c r="F465" s="172"/>
      <c r="G465" s="172"/>
    </row>
    <row r="466" spans="1:7" x14ac:dyDescent="0.3">
      <c r="A466" s="173"/>
      <c r="B466" s="172"/>
      <c r="C466" s="172"/>
      <c r="D466" s="172"/>
      <c r="E466" s="172"/>
      <c r="F466" s="172"/>
      <c r="G466" s="172"/>
    </row>
    <row r="467" spans="1:7" x14ac:dyDescent="0.3">
      <c r="A467" s="172"/>
      <c r="B467" s="172"/>
      <c r="C467" s="172"/>
      <c r="D467" s="172"/>
      <c r="E467" s="172"/>
      <c r="F467" s="172"/>
      <c r="G467" s="172"/>
    </row>
    <row r="468" spans="1:7" x14ac:dyDescent="0.3">
      <c r="A468" s="172"/>
      <c r="B468" s="172"/>
      <c r="C468" s="172"/>
      <c r="D468" s="172"/>
      <c r="E468" s="172"/>
      <c r="F468" s="172"/>
      <c r="G468" s="172"/>
    </row>
    <row r="469" spans="1:7" x14ac:dyDescent="0.3">
      <c r="A469" s="172"/>
      <c r="B469" s="172"/>
      <c r="C469" s="172"/>
      <c r="D469" s="172"/>
      <c r="E469" s="172"/>
      <c r="F469" s="172"/>
      <c r="G469" s="172"/>
    </row>
    <row r="470" spans="1:7" x14ac:dyDescent="0.3">
      <c r="A470" s="172"/>
      <c r="B470" s="172"/>
      <c r="C470" s="172"/>
      <c r="D470" s="172"/>
      <c r="E470" s="172"/>
      <c r="F470" s="172"/>
      <c r="G470" s="172"/>
    </row>
    <row r="471" spans="1:7" x14ac:dyDescent="0.3">
      <c r="A471" s="174"/>
      <c r="B471" s="172"/>
      <c r="C471" s="172"/>
      <c r="D471" s="172"/>
      <c r="E471" s="172"/>
      <c r="F471" s="172"/>
      <c r="G471" s="172"/>
    </row>
    <row r="472" spans="1:7" x14ac:dyDescent="0.3">
      <c r="A472" s="171"/>
      <c r="B472" s="172"/>
      <c r="C472" s="172"/>
      <c r="D472" s="172"/>
      <c r="E472" s="172"/>
      <c r="F472" s="172"/>
      <c r="G472" s="172"/>
    </row>
    <row r="473" spans="1:7" x14ac:dyDescent="0.3">
      <c r="A473" s="171"/>
      <c r="B473" s="172"/>
      <c r="C473" s="172"/>
      <c r="D473" s="172"/>
      <c r="E473" s="172"/>
      <c r="F473" s="172"/>
      <c r="G473" s="172"/>
    </row>
    <row r="474" spans="1:7" x14ac:dyDescent="0.3">
      <c r="A474" s="171"/>
      <c r="B474" s="172"/>
      <c r="C474" s="172"/>
      <c r="D474" s="172"/>
      <c r="E474" s="172"/>
      <c r="F474" s="172"/>
      <c r="G474" s="172"/>
    </row>
    <row r="475" spans="1:7" x14ac:dyDescent="0.3">
      <c r="A475" s="171"/>
      <c r="B475" s="172"/>
      <c r="C475" s="172"/>
      <c r="D475" s="172"/>
      <c r="E475" s="172"/>
      <c r="F475" s="172"/>
      <c r="G475" s="172"/>
    </row>
    <row r="476" spans="1:7" x14ac:dyDescent="0.3">
      <c r="A476" s="171"/>
      <c r="B476" s="172"/>
      <c r="C476" s="172"/>
      <c r="D476" s="172"/>
      <c r="E476" s="172"/>
      <c r="F476" s="172"/>
      <c r="G476" s="172"/>
    </row>
    <row r="477" spans="1:7" x14ac:dyDescent="0.3">
      <c r="A477" s="171"/>
      <c r="B477" s="172"/>
      <c r="C477" s="172"/>
      <c r="D477" s="172"/>
      <c r="E477" s="172"/>
      <c r="F477" s="172"/>
      <c r="G477" s="172"/>
    </row>
    <row r="478" spans="1:7" x14ac:dyDescent="0.3">
      <c r="A478" s="173"/>
      <c r="B478" s="172"/>
      <c r="C478" s="172"/>
      <c r="D478" s="172"/>
      <c r="E478" s="172"/>
      <c r="F478" s="172"/>
      <c r="G478" s="172"/>
    </row>
    <row r="479" spans="1:7" x14ac:dyDescent="0.3">
      <c r="A479" s="172"/>
      <c r="B479" s="172"/>
      <c r="C479" s="172"/>
      <c r="D479" s="172"/>
      <c r="E479" s="172"/>
      <c r="F479" s="172"/>
      <c r="G479" s="172"/>
    </row>
    <row r="480" spans="1:7" x14ac:dyDescent="0.3">
      <c r="A480" s="172"/>
      <c r="B480" s="172"/>
      <c r="C480" s="172"/>
      <c r="D480" s="172"/>
      <c r="E480" s="172"/>
      <c r="F480" s="172"/>
      <c r="G480" s="172"/>
    </row>
    <row r="481" spans="1:7" x14ac:dyDescent="0.3">
      <c r="A481" s="172"/>
      <c r="B481" s="172"/>
      <c r="C481" s="172"/>
      <c r="D481" s="172"/>
      <c r="E481" s="172"/>
      <c r="F481" s="172"/>
      <c r="G481" s="172"/>
    </row>
    <row r="482" spans="1:7" x14ac:dyDescent="0.3">
      <c r="A482" s="172"/>
      <c r="B482" s="172"/>
      <c r="C482" s="172"/>
      <c r="D482" s="172"/>
      <c r="E482" s="172"/>
      <c r="F482" s="172"/>
      <c r="G482" s="172"/>
    </row>
    <row r="483" spans="1:7" x14ac:dyDescent="0.3">
      <c r="A483" s="174"/>
      <c r="B483" s="172"/>
      <c r="C483" s="172"/>
      <c r="D483" s="172"/>
      <c r="E483" s="172"/>
      <c r="F483" s="172"/>
      <c r="G483" s="172"/>
    </row>
    <row r="484" spans="1:7" x14ac:dyDescent="0.3">
      <c r="A484" s="171"/>
      <c r="B484" s="172"/>
      <c r="C484" s="172"/>
      <c r="D484" s="172"/>
      <c r="E484" s="172"/>
      <c r="F484" s="172"/>
      <c r="G484" s="172"/>
    </row>
    <row r="485" spans="1:7" x14ac:dyDescent="0.3">
      <c r="A485" s="171"/>
      <c r="B485" s="172"/>
      <c r="C485" s="172"/>
      <c r="D485" s="172"/>
      <c r="E485" s="172"/>
      <c r="F485" s="172"/>
      <c r="G485" s="172"/>
    </row>
    <row r="486" spans="1:7" x14ac:dyDescent="0.3">
      <c r="A486" s="171"/>
      <c r="B486" s="172"/>
      <c r="C486" s="172"/>
      <c r="D486" s="172"/>
      <c r="E486" s="172"/>
      <c r="F486" s="172"/>
      <c r="G486" s="172"/>
    </row>
    <row r="487" spans="1:7" x14ac:dyDescent="0.3">
      <c r="A487" s="171"/>
      <c r="B487" s="172"/>
      <c r="C487" s="172"/>
      <c r="D487" s="172"/>
      <c r="E487" s="172"/>
      <c r="F487" s="172"/>
      <c r="G487" s="172"/>
    </row>
    <row r="488" spans="1:7" x14ac:dyDescent="0.3">
      <c r="A488" s="171"/>
      <c r="B488" s="172"/>
      <c r="C488" s="172"/>
      <c r="D488" s="172"/>
      <c r="E488" s="172"/>
      <c r="F488" s="172"/>
      <c r="G488" s="172"/>
    </row>
    <row r="489" spans="1:7" x14ac:dyDescent="0.3">
      <c r="A489" s="171"/>
      <c r="B489" s="172"/>
      <c r="C489" s="172"/>
      <c r="D489" s="172"/>
      <c r="E489" s="172"/>
      <c r="F489" s="172"/>
      <c r="G489" s="172"/>
    </row>
    <row r="490" spans="1:7" x14ac:dyDescent="0.3">
      <c r="A490" s="173"/>
      <c r="B490" s="172"/>
      <c r="C490" s="172"/>
      <c r="D490" s="172"/>
      <c r="E490" s="172"/>
      <c r="F490" s="172"/>
      <c r="G490" s="172"/>
    </row>
    <row r="491" spans="1:7" x14ac:dyDescent="0.3">
      <c r="A491" s="172"/>
      <c r="B491" s="172"/>
      <c r="C491" s="172"/>
      <c r="D491" s="172"/>
      <c r="E491" s="172"/>
      <c r="F491" s="172"/>
      <c r="G491" s="172"/>
    </row>
    <row r="492" spans="1:7" x14ac:dyDescent="0.3">
      <c r="A492" s="172"/>
      <c r="B492" s="172"/>
      <c r="C492" s="172"/>
      <c r="D492" s="172"/>
      <c r="E492" s="172"/>
      <c r="F492" s="172"/>
      <c r="G492" s="172"/>
    </row>
    <row r="493" spans="1:7" x14ac:dyDescent="0.3">
      <c r="A493" s="172"/>
      <c r="B493" s="172"/>
      <c r="C493" s="172"/>
      <c r="D493" s="172"/>
      <c r="E493" s="172"/>
      <c r="F493" s="172"/>
      <c r="G493" s="172"/>
    </row>
    <row r="494" spans="1:7" x14ac:dyDescent="0.3">
      <c r="A494" s="172"/>
      <c r="B494" s="172"/>
      <c r="C494" s="172"/>
      <c r="D494" s="172"/>
      <c r="E494" s="172"/>
      <c r="F494" s="172"/>
      <c r="G494" s="172"/>
    </row>
    <row r="495" spans="1:7" x14ac:dyDescent="0.3">
      <c r="D495" s="173"/>
      <c r="E495" s="172"/>
      <c r="F495" s="172"/>
      <c r="G495" s="172"/>
    </row>
    <row r="496" spans="1:7" x14ac:dyDescent="0.3">
      <c r="A496" s="172"/>
      <c r="B496" s="172"/>
      <c r="C496" s="172"/>
      <c r="D496" s="172"/>
      <c r="E496" s="172"/>
      <c r="F496" s="172"/>
      <c r="G496" s="172"/>
    </row>
    <row r="497" spans="1:7" x14ac:dyDescent="0.3">
      <c r="A497" s="172"/>
      <c r="B497" s="172"/>
      <c r="C497" s="172"/>
      <c r="D497" s="172"/>
      <c r="E497" s="172"/>
      <c r="F497" s="172"/>
      <c r="G497" s="172"/>
    </row>
    <row r="498" spans="1:7" x14ac:dyDescent="0.3">
      <c r="A498" s="172"/>
      <c r="B498" s="172"/>
      <c r="C498" s="172"/>
      <c r="D498" s="172"/>
      <c r="E498" s="172"/>
      <c r="F498" s="172"/>
      <c r="G498" s="172"/>
    </row>
    <row r="499" spans="1:7" x14ac:dyDescent="0.3">
      <c r="A499" s="172"/>
      <c r="B499" s="172"/>
      <c r="C499" s="172"/>
      <c r="D499" s="172"/>
      <c r="E499" s="172"/>
      <c r="F499" s="172"/>
      <c r="G499" s="172"/>
    </row>
    <row r="500" spans="1:7" x14ac:dyDescent="0.3">
      <c r="A500" s="172"/>
      <c r="B500" s="172"/>
      <c r="C500" s="172"/>
      <c r="D500" s="172"/>
      <c r="E500" s="172"/>
      <c r="F500" s="172"/>
      <c r="G500" s="172"/>
    </row>
    <row r="501" spans="1:7" ht="15.6" x14ac:dyDescent="0.3">
      <c r="A501" s="181"/>
      <c r="B501" s="181"/>
      <c r="C501" s="181"/>
      <c r="D501" s="181"/>
      <c r="E501" s="181"/>
      <c r="F501" s="181"/>
      <c r="G501" s="181"/>
    </row>
    <row r="502" spans="1:7" x14ac:dyDescent="0.3">
      <c r="A502" s="182"/>
      <c r="B502" s="182"/>
      <c r="C502" s="182"/>
      <c r="D502" s="183"/>
      <c r="E502" s="182"/>
      <c r="F502" s="182"/>
      <c r="G502" s="182"/>
    </row>
    <row r="503" spans="1:7" x14ac:dyDescent="0.3">
      <c r="A503" s="179"/>
      <c r="B503" s="179"/>
      <c r="C503" s="179"/>
      <c r="D503" s="179"/>
      <c r="E503" s="179"/>
      <c r="F503" s="179"/>
      <c r="G503" s="179"/>
    </row>
    <row r="504" spans="1:7" x14ac:dyDescent="0.3">
      <c r="A504" s="179"/>
      <c r="B504" s="179"/>
      <c r="C504" s="179"/>
      <c r="D504" s="179"/>
      <c r="E504" s="179"/>
      <c r="F504" s="179"/>
      <c r="G504" s="179"/>
    </row>
    <row r="505" spans="1:7" x14ac:dyDescent="0.3">
      <c r="A505" s="179"/>
      <c r="B505" s="179"/>
      <c r="C505" s="179"/>
      <c r="D505" s="179"/>
      <c r="E505" s="179"/>
      <c r="F505" s="179"/>
      <c r="G505" s="179"/>
    </row>
    <row r="506" spans="1:7" x14ac:dyDescent="0.3">
      <c r="A506" s="179"/>
      <c r="B506" s="179"/>
      <c r="C506" s="179"/>
      <c r="D506" s="179"/>
      <c r="E506" s="179"/>
      <c r="F506" s="179"/>
      <c r="G506" s="179"/>
    </row>
    <row r="507" spans="1:7" x14ac:dyDescent="0.3">
      <c r="A507" s="179"/>
      <c r="B507" s="179"/>
      <c r="C507" s="179"/>
      <c r="D507" s="179"/>
      <c r="E507" s="179"/>
      <c r="F507" s="179"/>
      <c r="G507" s="179"/>
    </row>
    <row r="508" spans="1:7" x14ac:dyDescent="0.3">
      <c r="A508" s="179"/>
      <c r="B508" s="179"/>
      <c r="C508" s="179"/>
      <c r="D508" s="179"/>
      <c r="E508" s="179"/>
      <c r="F508" s="179"/>
      <c r="G508" s="179"/>
    </row>
    <row r="509" spans="1:7" x14ac:dyDescent="0.3">
      <c r="A509" s="179"/>
      <c r="B509" s="179"/>
      <c r="C509" s="179"/>
      <c r="D509" s="179"/>
      <c r="E509" s="179"/>
      <c r="F509" s="179"/>
      <c r="G509" s="179"/>
    </row>
    <row r="510" spans="1:7" x14ac:dyDescent="0.3">
      <c r="A510" s="179"/>
      <c r="B510" s="179"/>
      <c r="C510" s="179"/>
      <c r="D510" s="179"/>
      <c r="E510" s="179"/>
      <c r="F510" s="179"/>
      <c r="G510" s="179"/>
    </row>
    <row r="511" spans="1:7" x14ac:dyDescent="0.3">
      <c r="A511" s="179"/>
      <c r="B511" s="179"/>
      <c r="C511" s="179"/>
      <c r="D511" s="179"/>
      <c r="E511" s="179"/>
      <c r="F511" s="179"/>
      <c r="G511" s="179"/>
    </row>
    <row r="512" spans="1:7" x14ac:dyDescent="0.3">
      <c r="A512" s="179"/>
      <c r="B512" s="179"/>
      <c r="C512" s="179"/>
      <c r="D512" s="179"/>
      <c r="E512" s="179"/>
      <c r="F512" s="179"/>
      <c r="G512" s="179"/>
    </row>
    <row r="513" spans="1:7" x14ac:dyDescent="0.3">
      <c r="A513" s="179"/>
      <c r="B513" s="179"/>
      <c r="C513" s="179"/>
      <c r="D513" s="179"/>
      <c r="E513" s="179"/>
      <c r="F513" s="179"/>
      <c r="G513" s="179"/>
    </row>
    <row r="514" spans="1:7" x14ac:dyDescent="0.3">
      <c r="A514" s="179"/>
      <c r="B514" s="179"/>
      <c r="C514" s="179"/>
      <c r="D514" s="179"/>
      <c r="E514" s="179"/>
      <c r="F514" s="179"/>
      <c r="G514" s="179"/>
    </row>
    <row r="515" spans="1:7" x14ac:dyDescent="0.3">
      <c r="A515" s="179"/>
      <c r="B515" s="179"/>
      <c r="C515" s="179"/>
      <c r="D515" s="179"/>
      <c r="E515" s="179"/>
      <c r="F515" s="179"/>
      <c r="G515" s="179"/>
    </row>
    <row r="516" spans="1:7" x14ac:dyDescent="0.3">
      <c r="A516" s="179"/>
      <c r="B516" s="179"/>
      <c r="C516" s="179"/>
      <c r="D516" s="179"/>
      <c r="E516" s="179"/>
      <c r="F516" s="179"/>
      <c r="G516" s="179"/>
    </row>
    <row r="517" spans="1:7" x14ac:dyDescent="0.3">
      <c r="A517" s="179"/>
      <c r="B517" s="179"/>
      <c r="C517" s="179"/>
      <c r="D517" s="179"/>
      <c r="E517" s="179"/>
      <c r="F517" s="179"/>
      <c r="G517" s="179"/>
    </row>
    <row r="518" spans="1:7" x14ac:dyDescent="0.3">
      <c r="A518" s="179"/>
      <c r="B518" s="179"/>
      <c r="C518" s="179"/>
      <c r="D518" s="179"/>
      <c r="E518" s="179"/>
      <c r="F518" s="179"/>
      <c r="G518" s="179"/>
    </row>
    <row r="519" spans="1:7" x14ac:dyDescent="0.3">
      <c r="A519" s="179"/>
      <c r="B519" s="179"/>
      <c r="C519" s="179"/>
      <c r="D519" s="179"/>
      <c r="E519" s="179"/>
      <c r="F519" s="179"/>
      <c r="G519" s="179"/>
    </row>
    <row r="520" spans="1:7" x14ac:dyDescent="0.3">
      <c r="A520" s="179"/>
      <c r="B520" s="179"/>
      <c r="C520" s="179"/>
      <c r="D520" s="179"/>
      <c r="E520" s="179"/>
      <c r="F520" s="179"/>
      <c r="G520" s="179"/>
    </row>
    <row r="521" spans="1:7" x14ac:dyDescent="0.3">
      <c r="A521" s="179"/>
      <c r="B521" s="179"/>
      <c r="C521" s="179"/>
      <c r="D521" s="179"/>
      <c r="E521" s="179"/>
      <c r="F521" s="179"/>
      <c r="G521" s="179"/>
    </row>
    <row r="522" spans="1:7" x14ac:dyDescent="0.3">
      <c r="A522" s="179"/>
      <c r="B522" s="179"/>
      <c r="C522" s="179"/>
      <c r="D522" s="179"/>
      <c r="E522" s="179"/>
      <c r="F522" s="179"/>
      <c r="G522" s="179"/>
    </row>
    <row r="523" spans="1:7" x14ac:dyDescent="0.3">
      <c r="A523" s="179"/>
      <c r="B523" s="179"/>
      <c r="C523" s="179"/>
      <c r="D523" s="179"/>
      <c r="E523" s="179"/>
      <c r="F523" s="179"/>
      <c r="G523" s="184"/>
    </row>
    <row r="524" spans="1:7" x14ac:dyDescent="0.3">
      <c r="A524" s="179"/>
      <c r="B524" s="179"/>
      <c r="C524" s="179"/>
      <c r="D524" s="179"/>
      <c r="E524" s="179"/>
      <c r="F524" s="179"/>
      <c r="G524" s="179"/>
    </row>
    <row r="525" spans="1:7" ht="15.6" x14ac:dyDescent="0.3">
      <c r="A525" s="181"/>
      <c r="B525" s="181"/>
      <c r="C525" s="181"/>
      <c r="D525" s="181"/>
      <c r="E525" s="181"/>
      <c r="F525" s="181"/>
      <c r="G525" s="181"/>
    </row>
    <row r="526" spans="1:7" x14ac:dyDescent="0.3">
      <c r="A526" s="182"/>
      <c r="B526" s="182"/>
      <c r="C526" s="182"/>
      <c r="D526" s="183"/>
      <c r="E526" s="182"/>
      <c r="F526" s="182"/>
      <c r="G526" s="182"/>
    </row>
    <row r="527" spans="1:7" x14ac:dyDescent="0.3">
      <c r="A527" s="179"/>
      <c r="B527" s="179"/>
      <c r="C527" s="179"/>
      <c r="D527" s="179"/>
      <c r="E527" s="179"/>
      <c r="F527" s="179"/>
      <c r="G527" s="179"/>
    </row>
    <row r="528" spans="1:7" x14ac:dyDescent="0.3">
      <c r="A528" s="179"/>
      <c r="B528" s="179"/>
      <c r="C528" s="179"/>
      <c r="D528" s="179"/>
      <c r="E528" s="179"/>
      <c r="F528" s="179"/>
      <c r="G528" s="179"/>
    </row>
    <row r="529" spans="1:8" x14ac:dyDescent="0.3">
      <c r="A529" s="179"/>
      <c r="B529" s="179"/>
      <c r="C529" s="179"/>
      <c r="D529" s="179"/>
      <c r="E529" s="179"/>
      <c r="F529" s="179"/>
      <c r="G529" s="179"/>
    </row>
    <row r="530" spans="1:8" x14ac:dyDescent="0.3">
      <c r="A530" s="179"/>
      <c r="B530" s="179"/>
      <c r="C530" s="179"/>
      <c r="D530" s="179"/>
      <c r="E530" s="179"/>
      <c r="F530" s="179"/>
      <c r="G530" s="179"/>
    </row>
    <row r="531" spans="1:8" x14ac:dyDescent="0.3">
      <c r="A531" s="179"/>
      <c r="B531" s="179"/>
      <c r="C531" s="179"/>
      <c r="D531" s="179"/>
      <c r="E531" s="179"/>
      <c r="F531" s="179"/>
      <c r="G531" s="179"/>
    </row>
    <row r="532" spans="1:8" x14ac:dyDescent="0.3">
      <c r="A532" s="179"/>
      <c r="B532" s="179"/>
      <c r="C532" s="179"/>
      <c r="D532" s="179"/>
      <c r="E532" s="179"/>
      <c r="F532" s="179"/>
      <c r="G532" s="179"/>
    </row>
    <row r="533" spans="1:8" x14ac:dyDescent="0.3">
      <c r="A533" s="179"/>
      <c r="B533" s="179"/>
      <c r="C533" s="179"/>
      <c r="D533" s="179"/>
      <c r="E533" s="179"/>
      <c r="F533" s="179"/>
      <c r="G533" s="179"/>
    </row>
    <row r="534" spans="1:8" x14ac:dyDescent="0.3">
      <c r="A534" s="179"/>
      <c r="B534" s="179"/>
      <c r="C534" s="179"/>
      <c r="D534" s="179"/>
      <c r="E534" s="179"/>
      <c r="F534" s="179"/>
      <c r="G534" s="179"/>
    </row>
    <row r="535" spans="1:8" x14ac:dyDescent="0.3">
      <c r="A535" s="179"/>
      <c r="B535" s="179"/>
      <c r="C535" s="179"/>
      <c r="D535" s="179"/>
      <c r="E535" s="179"/>
      <c r="F535" s="179"/>
      <c r="G535" s="179"/>
    </row>
    <row r="536" spans="1:8" x14ac:dyDescent="0.3">
      <c r="A536" s="179"/>
      <c r="B536" s="179"/>
      <c r="C536" s="179"/>
      <c r="D536" s="179"/>
      <c r="E536" s="179"/>
      <c r="F536" s="179"/>
      <c r="G536" s="179"/>
    </row>
    <row r="537" spans="1:8" x14ac:dyDescent="0.3">
      <c r="A537" s="179"/>
      <c r="B537" s="179"/>
      <c r="C537" s="179"/>
      <c r="D537" s="179"/>
      <c r="E537" s="179"/>
      <c r="F537" s="179"/>
      <c r="G537" s="179"/>
    </row>
    <row r="538" spans="1:8" x14ac:dyDescent="0.3">
      <c r="A538" s="179"/>
      <c r="B538" s="179"/>
      <c r="C538" s="179"/>
      <c r="D538" s="171"/>
      <c r="E538" s="179"/>
      <c r="F538" s="179"/>
      <c r="G538" s="179"/>
    </row>
    <row r="539" spans="1:8" x14ac:dyDescent="0.3">
      <c r="A539" s="179"/>
      <c r="B539" s="179"/>
      <c r="C539" s="179"/>
      <c r="D539" s="176"/>
      <c r="E539" s="179"/>
      <c r="F539" s="179"/>
      <c r="G539" s="179"/>
    </row>
    <row r="540" spans="1:8" x14ac:dyDescent="0.3">
      <c r="A540" s="179"/>
      <c r="B540" s="179"/>
      <c r="C540" s="179"/>
      <c r="D540" s="179"/>
      <c r="E540" s="179"/>
      <c r="F540" s="179"/>
      <c r="G540" s="179"/>
    </row>
    <row r="541" spans="1:8" x14ac:dyDescent="0.3">
      <c r="A541" s="185"/>
      <c r="B541" s="185"/>
      <c r="C541" s="185"/>
      <c r="D541" s="185"/>
      <c r="E541" s="185"/>
      <c r="F541" s="185"/>
      <c r="G541" s="184"/>
    </row>
    <row r="542" spans="1:8" x14ac:dyDescent="0.3">
      <c r="G542" s="179"/>
    </row>
    <row r="543" spans="1:8" x14ac:dyDescent="0.3">
      <c r="A543" s="186"/>
      <c r="B543" s="186"/>
      <c r="C543" s="171"/>
      <c r="D543" s="176"/>
      <c r="E543" s="171"/>
      <c r="F543" s="171"/>
      <c r="G543" s="176"/>
    </row>
    <row r="544" spans="1:8" x14ac:dyDescent="0.3">
      <c r="A544" s="186"/>
      <c r="B544" s="171"/>
      <c r="C544" s="176"/>
      <c r="D544" s="171"/>
      <c r="E544" s="176"/>
      <c r="F544" s="176"/>
      <c r="G544" s="171"/>
      <c r="H544" s="176"/>
    </row>
    <row r="545" spans="1:7" x14ac:dyDescent="0.3">
      <c r="A545" s="187"/>
      <c r="B545" s="173"/>
      <c r="C545" s="172"/>
      <c r="D545" s="172"/>
      <c r="E545" s="172"/>
      <c r="F545" s="172"/>
      <c r="G545" s="172"/>
    </row>
    <row r="546" spans="1:7" x14ac:dyDescent="0.3">
      <c r="G546" s="179"/>
    </row>
    <row r="547" spans="1:7" x14ac:dyDescent="0.3">
      <c r="G547" s="179"/>
    </row>
    <row r="548" spans="1:7" x14ac:dyDescent="0.3">
      <c r="G548" s="179"/>
    </row>
    <row r="549" spans="1:7" x14ac:dyDescent="0.3">
      <c r="G549" s="179"/>
    </row>
    <row r="550" spans="1:7" ht="15.6" x14ac:dyDescent="0.3">
      <c r="A550" s="181"/>
      <c r="B550" s="181"/>
      <c r="C550" s="181"/>
      <c r="D550" s="181"/>
      <c r="E550" s="181"/>
      <c r="F550" s="181"/>
      <c r="G550" s="181"/>
    </row>
    <row r="551" spans="1:7" x14ac:dyDescent="0.3">
      <c r="A551" s="182"/>
      <c r="B551" s="182"/>
      <c r="C551" s="182"/>
      <c r="D551" s="183"/>
      <c r="E551" s="182"/>
      <c r="F551" s="182"/>
      <c r="G551" s="182"/>
    </row>
    <row r="552" spans="1:7" x14ac:dyDescent="0.3">
      <c r="A552" s="179"/>
      <c r="B552" s="188"/>
      <c r="C552" s="179"/>
      <c r="G552" s="179"/>
    </row>
    <row r="553" spans="1:7" x14ac:dyDescent="0.3">
      <c r="A553" s="179"/>
      <c r="B553" s="188"/>
      <c r="C553" s="179"/>
    </row>
    <row r="554" spans="1:7" x14ac:dyDescent="0.3">
      <c r="A554" s="179"/>
      <c r="B554" s="188"/>
      <c r="C554" s="179"/>
    </row>
    <row r="555" spans="1:7" x14ac:dyDescent="0.3">
      <c r="A555" s="179"/>
      <c r="B555" s="188"/>
      <c r="C555" s="179"/>
    </row>
    <row r="556" spans="1:7" x14ac:dyDescent="0.3">
      <c r="A556" s="179"/>
      <c r="B556" s="188"/>
      <c r="C556" s="179"/>
    </row>
    <row r="557" spans="1:7" x14ac:dyDescent="0.3">
      <c r="A557" s="179"/>
      <c r="B557" s="188"/>
      <c r="C557" s="179"/>
    </row>
    <row r="558" spans="1:7" x14ac:dyDescent="0.3">
      <c r="A558" s="179"/>
      <c r="B558" s="188"/>
      <c r="C558" s="179"/>
    </row>
    <row r="559" spans="1:7" x14ac:dyDescent="0.3">
      <c r="A559" s="179"/>
      <c r="B559" s="188"/>
      <c r="C559" s="179"/>
    </row>
    <row r="560" spans="1:7" x14ac:dyDescent="0.3">
      <c r="A560" s="179"/>
      <c r="B560" s="188"/>
      <c r="C560" s="179"/>
    </row>
    <row r="561" spans="1:7" x14ac:dyDescent="0.3">
      <c r="A561" s="179"/>
      <c r="B561" s="188"/>
      <c r="C561" s="179"/>
    </row>
    <row r="562" spans="1:7" x14ac:dyDescent="0.3">
      <c r="A562" s="179"/>
      <c r="B562" s="188"/>
      <c r="C562" s="189"/>
      <c r="D562" s="172"/>
    </row>
    <row r="566" spans="1:7" x14ac:dyDescent="0.3">
      <c r="A566" s="172"/>
      <c r="B566" s="172"/>
      <c r="C566" s="172"/>
      <c r="D566" s="172"/>
      <c r="E566" s="172"/>
      <c r="F566" s="172"/>
      <c r="G566" s="172"/>
    </row>
    <row r="567" spans="1:7" x14ac:dyDescent="0.3">
      <c r="A567" s="172"/>
      <c r="B567" s="172"/>
      <c r="C567" s="172"/>
      <c r="D567" s="172"/>
      <c r="E567" s="172"/>
      <c r="F567" s="172"/>
      <c r="G567" s="172"/>
    </row>
    <row r="568" spans="1:7" ht="15.6" x14ac:dyDescent="0.3">
      <c r="A568" s="181"/>
      <c r="B568" s="181"/>
      <c r="C568" s="181"/>
      <c r="D568" s="181"/>
      <c r="E568" s="181"/>
      <c r="F568" s="181"/>
      <c r="G568" s="181"/>
    </row>
    <row r="569" spans="1:7" x14ac:dyDescent="0.3">
      <c r="A569" s="182"/>
      <c r="B569" s="182"/>
      <c r="C569" s="182"/>
      <c r="D569" s="183"/>
      <c r="E569" s="182"/>
      <c r="F569" s="182"/>
      <c r="G569" s="182"/>
    </row>
    <row r="570" spans="1:7" x14ac:dyDescent="0.3">
      <c r="A570" s="179"/>
      <c r="B570" s="179"/>
      <c r="C570" s="179"/>
      <c r="D570" s="179"/>
      <c r="E570" s="179"/>
      <c r="F570" s="179"/>
      <c r="G570" s="179"/>
    </row>
    <row r="571" spans="1:7" x14ac:dyDescent="0.3">
      <c r="A571" s="179"/>
      <c r="B571" s="179"/>
      <c r="C571" s="179"/>
      <c r="D571" s="179"/>
      <c r="E571" s="179"/>
      <c r="F571" s="179"/>
      <c r="G571" s="179"/>
    </row>
    <row r="572" spans="1:7" x14ac:dyDescent="0.3">
      <c r="A572" s="179"/>
      <c r="B572" s="179"/>
      <c r="C572" s="179"/>
      <c r="D572" s="179"/>
      <c r="E572" s="179"/>
      <c r="F572" s="179"/>
      <c r="G572" s="179"/>
    </row>
    <row r="573" spans="1:7" x14ac:dyDescent="0.3">
      <c r="A573" s="179"/>
      <c r="B573" s="179"/>
      <c r="C573" s="179"/>
      <c r="D573" s="179"/>
      <c r="E573" s="179"/>
      <c r="F573" s="179"/>
      <c r="G573" s="179"/>
    </row>
    <row r="574" spans="1:7" x14ac:dyDescent="0.3">
      <c r="A574" s="179"/>
      <c r="B574" s="179"/>
      <c r="C574" s="179"/>
      <c r="D574" s="179"/>
      <c r="E574" s="179"/>
      <c r="F574" s="179"/>
      <c r="G574" s="179"/>
    </row>
    <row r="575" spans="1:7" x14ac:dyDescent="0.3">
      <c r="A575" s="179"/>
      <c r="B575" s="179"/>
      <c r="C575" s="179"/>
      <c r="D575" s="171"/>
      <c r="E575" s="179"/>
      <c r="F575" s="179"/>
      <c r="G575" s="179"/>
    </row>
    <row r="576" spans="1:7" x14ac:dyDescent="0.3">
      <c r="A576" s="179"/>
      <c r="B576" s="179"/>
      <c r="C576" s="179"/>
      <c r="D576" s="171"/>
      <c r="E576" s="179"/>
      <c r="F576" s="179"/>
      <c r="G576" s="179"/>
    </row>
    <row r="577" spans="1:8" x14ac:dyDescent="0.3">
      <c r="A577" s="179"/>
      <c r="B577" s="179"/>
      <c r="C577" s="179"/>
      <c r="D577" s="176"/>
      <c r="E577" s="179"/>
      <c r="F577" s="179"/>
      <c r="G577" s="173"/>
      <c r="H577" s="172"/>
    </row>
    <row r="578" spans="1:8" x14ac:dyDescent="0.3">
      <c r="A578" s="179"/>
      <c r="B578" s="179"/>
      <c r="C578" s="179"/>
      <c r="D578" s="172"/>
      <c r="E578" s="172"/>
      <c r="F578" s="172"/>
      <c r="G578" s="172"/>
    </row>
    <row r="579" spans="1:8" x14ac:dyDescent="0.3">
      <c r="A579" s="179"/>
      <c r="B579" s="179"/>
      <c r="C579" s="179"/>
      <c r="D579" s="172"/>
      <c r="E579" s="172"/>
      <c r="F579" s="172"/>
      <c r="G579" s="172"/>
    </row>
    <row r="580" spans="1:8" x14ac:dyDescent="0.3">
      <c r="A580" s="172"/>
      <c r="B580" s="172"/>
      <c r="C580" s="172"/>
      <c r="D580" s="172"/>
      <c r="E580" s="172"/>
      <c r="F580" s="172"/>
      <c r="G580" s="172"/>
    </row>
    <row r="581" spans="1:8" x14ac:dyDescent="0.3">
      <c r="A581" s="172"/>
      <c r="B581" s="172"/>
      <c r="C581" s="172"/>
      <c r="D581" s="172"/>
      <c r="E581" s="172"/>
      <c r="F581" s="172"/>
      <c r="G581" s="172"/>
    </row>
    <row r="582" spans="1:8" ht="15.6" x14ac:dyDescent="0.3">
      <c r="A582" s="181"/>
      <c r="B582" s="181"/>
      <c r="C582" s="181"/>
      <c r="D582" s="181"/>
      <c r="E582" s="181"/>
      <c r="F582" s="181"/>
      <c r="G582" s="181"/>
    </row>
    <row r="583" spans="1:8" x14ac:dyDescent="0.3">
      <c r="A583" s="182"/>
      <c r="B583" s="182"/>
      <c r="C583" s="182"/>
      <c r="D583" s="183"/>
      <c r="E583" s="182"/>
      <c r="F583" s="182"/>
      <c r="G583" s="182"/>
    </row>
    <row r="584" spans="1:8" x14ac:dyDescent="0.3">
      <c r="A584" s="179"/>
      <c r="B584" s="179"/>
      <c r="C584" s="179"/>
      <c r="D584" s="179"/>
      <c r="E584" s="179"/>
      <c r="F584" s="179"/>
      <c r="G584" s="179"/>
    </row>
    <row r="585" spans="1:8" x14ac:dyDescent="0.3">
      <c r="A585" s="179"/>
      <c r="B585" s="179"/>
      <c r="C585" s="179"/>
      <c r="D585" s="179"/>
      <c r="E585" s="179"/>
      <c r="F585" s="179"/>
      <c r="G585" s="179"/>
    </row>
    <row r="586" spans="1:8" x14ac:dyDescent="0.3">
      <c r="A586" s="179"/>
      <c r="B586" s="179"/>
      <c r="C586" s="179"/>
      <c r="D586" s="179"/>
      <c r="E586" s="179"/>
      <c r="F586" s="179"/>
      <c r="G586" s="179"/>
    </row>
    <row r="587" spans="1:8" x14ac:dyDescent="0.3">
      <c r="A587" s="179"/>
      <c r="B587" s="179"/>
      <c r="C587" s="179"/>
      <c r="D587" s="179"/>
      <c r="E587" s="179"/>
      <c r="F587" s="179"/>
      <c r="G587" s="179"/>
    </row>
    <row r="588" spans="1:8" x14ac:dyDescent="0.3">
      <c r="A588" s="179"/>
      <c r="B588" s="179"/>
      <c r="C588" s="179"/>
      <c r="D588" s="179"/>
      <c r="E588" s="179"/>
      <c r="F588" s="179"/>
      <c r="G588" s="179"/>
    </row>
    <row r="589" spans="1:8" x14ac:dyDescent="0.3">
      <c r="A589" s="179"/>
      <c r="B589" s="179"/>
      <c r="C589" s="179"/>
      <c r="D589" s="179"/>
      <c r="E589" s="179"/>
      <c r="F589" s="179"/>
      <c r="G589" s="179"/>
    </row>
    <row r="590" spans="1:8" x14ac:dyDescent="0.3">
      <c r="A590" s="179"/>
      <c r="B590" s="179"/>
      <c r="C590" s="179"/>
      <c r="D590" s="171"/>
      <c r="E590" s="179"/>
      <c r="F590" s="179"/>
      <c r="G590" s="179"/>
    </row>
    <row r="591" spans="1:8" x14ac:dyDescent="0.3">
      <c r="A591" s="179"/>
      <c r="B591" s="179"/>
      <c r="C591" s="179"/>
      <c r="D591" s="176"/>
      <c r="E591" s="179"/>
      <c r="F591" s="179"/>
      <c r="G591" s="179"/>
    </row>
    <row r="592" spans="1:8" x14ac:dyDescent="0.3">
      <c r="A592" s="179"/>
      <c r="B592" s="179"/>
      <c r="C592" s="179"/>
      <c r="D592" s="179"/>
      <c r="E592" s="179"/>
      <c r="F592" s="179"/>
      <c r="G592" s="179"/>
    </row>
    <row r="593" spans="1:10" x14ac:dyDescent="0.3">
      <c r="A593" s="172"/>
      <c r="B593" s="172"/>
      <c r="C593" s="172"/>
      <c r="D593" s="172"/>
      <c r="E593" s="172"/>
      <c r="F593" s="172"/>
      <c r="G593" s="173"/>
      <c r="H593" s="172"/>
    </row>
    <row r="594" spans="1:10" x14ac:dyDescent="0.3">
      <c r="A594" s="172"/>
      <c r="B594" s="172"/>
      <c r="C594" s="172"/>
      <c r="D594" s="172"/>
      <c r="E594" s="172"/>
      <c r="F594" s="172"/>
      <c r="G594" s="172"/>
    </row>
    <row r="595" spans="1:10" x14ac:dyDescent="0.3">
      <c r="A595" s="172"/>
      <c r="B595" s="172"/>
      <c r="C595" s="172"/>
      <c r="D595" s="172"/>
      <c r="E595" s="172"/>
      <c r="F595" s="172"/>
      <c r="G595" s="172"/>
    </row>
    <row r="596" spans="1:10" x14ac:dyDescent="0.3">
      <c r="C596" s="171"/>
      <c r="D596" s="176"/>
      <c r="E596" s="171"/>
      <c r="F596" s="171"/>
      <c r="G596" s="175"/>
      <c r="H596" s="173"/>
      <c r="I596" s="172"/>
      <c r="J596" s="172"/>
    </row>
    <row r="597" spans="1:10" x14ac:dyDescent="0.3">
      <c r="A597" s="172"/>
      <c r="B597" s="172"/>
      <c r="C597" s="172"/>
      <c r="D597" s="172"/>
      <c r="E597" s="172"/>
      <c r="F597" s="172"/>
      <c r="G597" s="172"/>
    </row>
    <row r="598" spans="1:10" x14ac:dyDescent="0.3">
      <c r="A598" s="172"/>
      <c r="B598" s="172"/>
      <c r="C598" s="172"/>
      <c r="D598" s="172"/>
      <c r="E598" s="172"/>
      <c r="F598" s="172"/>
      <c r="G598" s="172"/>
    </row>
    <row r="599" spans="1:10" x14ac:dyDescent="0.3">
      <c r="A599" s="172"/>
      <c r="B599" s="172"/>
      <c r="C599" s="172"/>
      <c r="D599" s="172"/>
      <c r="E599" s="172"/>
      <c r="F599" s="172"/>
      <c r="G599" s="172"/>
    </row>
    <row r="600" spans="1:10" x14ac:dyDescent="0.3">
      <c r="B600" s="173"/>
      <c r="C600" s="172"/>
      <c r="D600" s="172"/>
      <c r="E600" s="172"/>
      <c r="F600" s="172"/>
      <c r="G600" s="172"/>
    </row>
    <row r="601" spans="1:10" x14ac:dyDescent="0.3">
      <c r="A601" s="172"/>
      <c r="B601" s="172"/>
      <c r="C601" s="172"/>
      <c r="D601" s="172"/>
      <c r="E601" s="172"/>
      <c r="F601" s="172"/>
      <c r="G601" s="172"/>
    </row>
    <row r="602" spans="1:10" x14ac:dyDescent="0.3">
      <c r="A602" s="172"/>
      <c r="B602" s="172"/>
      <c r="C602" s="172"/>
      <c r="D602" s="172"/>
      <c r="E602" s="172"/>
      <c r="F602" s="172"/>
      <c r="G602" s="172"/>
    </row>
    <row r="603" spans="1:10" x14ac:dyDescent="0.3">
      <c r="A603" s="172"/>
      <c r="B603" s="172"/>
      <c r="C603" s="172"/>
      <c r="D603" s="172"/>
      <c r="E603" s="172"/>
      <c r="F603" s="172"/>
      <c r="G603" s="172"/>
    </row>
    <row r="604" spans="1:10" ht="15.6" x14ac:dyDescent="0.3">
      <c r="A604" s="181"/>
      <c r="B604" s="181"/>
      <c r="C604" s="181"/>
      <c r="D604" s="181"/>
      <c r="E604" s="181"/>
      <c r="F604" s="181"/>
      <c r="G604" s="181"/>
    </row>
    <row r="605" spans="1:10" x14ac:dyDescent="0.3">
      <c r="A605" s="182"/>
      <c r="B605" s="182"/>
      <c r="C605" s="182"/>
      <c r="D605" s="183"/>
      <c r="E605" s="182"/>
      <c r="F605" s="182"/>
      <c r="G605" s="182"/>
    </row>
    <row r="606" spans="1:10" x14ac:dyDescent="0.3">
      <c r="A606" s="179"/>
      <c r="B606" s="179"/>
      <c r="C606" s="179"/>
      <c r="D606" s="179"/>
      <c r="E606" s="179"/>
      <c r="F606" s="179"/>
      <c r="G606" s="179"/>
    </row>
    <row r="607" spans="1:10" x14ac:dyDescent="0.3">
      <c r="A607" s="179"/>
      <c r="B607" s="179"/>
      <c r="C607" s="179"/>
      <c r="D607" s="179"/>
      <c r="E607" s="179"/>
      <c r="F607" s="179"/>
      <c r="G607" s="179"/>
    </row>
    <row r="608" spans="1:10" x14ac:dyDescent="0.3">
      <c r="A608" s="179"/>
      <c r="B608" s="179"/>
      <c r="C608" s="179"/>
      <c r="D608" s="179"/>
      <c r="E608" s="179"/>
      <c r="F608" s="179"/>
      <c r="G608" s="179"/>
    </row>
    <row r="609" spans="1:8" x14ac:dyDescent="0.3">
      <c r="A609" s="179"/>
      <c r="B609" s="179"/>
      <c r="C609" s="179"/>
      <c r="D609" s="179"/>
      <c r="E609" s="179"/>
      <c r="F609" s="179"/>
      <c r="G609" s="179"/>
    </row>
    <row r="610" spans="1:8" x14ac:dyDescent="0.3">
      <c r="A610" s="179"/>
      <c r="B610" s="179"/>
      <c r="C610" s="179"/>
      <c r="D610" s="179"/>
      <c r="E610" s="179"/>
      <c r="F610" s="179"/>
      <c r="G610" s="179"/>
    </row>
    <row r="611" spans="1:8" x14ac:dyDescent="0.3">
      <c r="A611" s="179"/>
      <c r="B611" s="179"/>
      <c r="C611" s="179"/>
      <c r="D611" s="179"/>
      <c r="E611" s="179"/>
      <c r="F611" s="179"/>
      <c r="G611" s="179"/>
    </row>
    <row r="612" spans="1:8" x14ac:dyDescent="0.3">
      <c r="A612" s="179"/>
      <c r="B612" s="179"/>
      <c r="C612" s="179"/>
      <c r="D612" s="179"/>
      <c r="E612" s="179"/>
      <c r="F612" s="179"/>
      <c r="G612" s="179"/>
    </row>
    <row r="613" spans="1:8" x14ac:dyDescent="0.3">
      <c r="A613" s="179"/>
      <c r="B613" s="179"/>
      <c r="C613" s="179"/>
      <c r="D613" s="179"/>
      <c r="E613" s="179"/>
      <c r="F613" s="179"/>
      <c r="G613" s="179"/>
    </row>
    <row r="614" spans="1:8" x14ac:dyDescent="0.3">
      <c r="A614" s="179"/>
      <c r="B614" s="179"/>
      <c r="C614" s="179"/>
      <c r="D614" s="179"/>
      <c r="E614" s="179"/>
      <c r="F614" s="179"/>
      <c r="G614" s="179"/>
    </row>
    <row r="615" spans="1:8" x14ac:dyDescent="0.3">
      <c r="A615" s="179"/>
      <c r="B615" s="179"/>
      <c r="C615" s="179"/>
      <c r="D615" s="179"/>
      <c r="E615" s="179"/>
      <c r="F615" s="179"/>
      <c r="G615" s="179"/>
    </row>
    <row r="616" spans="1:8" x14ac:dyDescent="0.3">
      <c r="A616" s="179"/>
      <c r="B616" s="179"/>
      <c r="C616" s="179"/>
      <c r="D616" s="179"/>
      <c r="E616" s="179"/>
      <c r="F616" s="179"/>
      <c r="G616" s="179"/>
    </row>
    <row r="617" spans="1:8" x14ac:dyDescent="0.3">
      <c r="A617" s="179"/>
      <c r="B617" s="179"/>
      <c r="C617" s="179"/>
      <c r="D617" s="171"/>
      <c r="E617" s="179"/>
      <c r="F617" s="179"/>
      <c r="G617" s="179"/>
    </row>
    <row r="618" spans="1:8" x14ac:dyDescent="0.3">
      <c r="A618" s="179"/>
      <c r="B618" s="179"/>
      <c r="C618" s="179"/>
      <c r="D618" s="176"/>
      <c r="E618" s="179"/>
      <c r="F618" s="179"/>
      <c r="G618" s="179"/>
    </row>
    <row r="619" spans="1:8" x14ac:dyDescent="0.3">
      <c r="A619" s="179"/>
      <c r="B619" s="179"/>
      <c r="C619" s="179"/>
      <c r="D619" s="179"/>
      <c r="E619" s="179"/>
      <c r="F619" s="179"/>
      <c r="G619" s="179"/>
    </row>
    <row r="620" spans="1:8" x14ac:dyDescent="0.3">
      <c r="A620" s="185"/>
      <c r="B620" s="185"/>
      <c r="C620" s="185"/>
      <c r="D620" s="185"/>
      <c r="E620" s="185"/>
      <c r="F620" s="185"/>
      <c r="G620" s="173"/>
      <c r="H620" s="172"/>
    </row>
    <row r="621" spans="1:8" x14ac:dyDescent="0.3">
      <c r="A621" s="172"/>
      <c r="B621" s="172"/>
      <c r="C621" s="172"/>
      <c r="D621" s="172"/>
      <c r="E621" s="172"/>
      <c r="F621" s="172"/>
      <c r="G621" s="172"/>
    </row>
    <row r="622" spans="1:8" x14ac:dyDescent="0.3">
      <c r="A622" s="172"/>
      <c r="B622" s="172"/>
      <c r="C622" s="172"/>
      <c r="D622" s="172"/>
      <c r="E622" s="172"/>
      <c r="F622" s="172"/>
      <c r="G622" s="172"/>
    </row>
    <row r="623" spans="1:8" x14ac:dyDescent="0.3">
      <c r="A623" s="172"/>
      <c r="B623" s="172"/>
      <c r="C623" s="172"/>
      <c r="D623" s="172"/>
      <c r="E623" s="172"/>
      <c r="F623" s="172"/>
      <c r="G623" s="172"/>
    </row>
    <row r="624" spans="1:8" x14ac:dyDescent="0.3">
      <c r="A624" s="172"/>
      <c r="B624" s="172"/>
      <c r="C624" s="172"/>
      <c r="D624" s="172"/>
      <c r="E624" s="172"/>
      <c r="F624" s="172"/>
      <c r="G624" s="172"/>
    </row>
    <row r="625" spans="1:7" x14ac:dyDescent="0.3">
      <c r="A625" s="174"/>
      <c r="B625" s="174"/>
      <c r="C625" s="174"/>
      <c r="D625" s="174"/>
      <c r="G625" s="172"/>
    </row>
    <row r="626" spans="1:7" x14ac:dyDescent="0.3">
      <c r="A626" s="179"/>
      <c r="B626" s="179"/>
      <c r="C626" s="179"/>
      <c r="D626" s="179"/>
      <c r="E626" s="172"/>
      <c r="F626" s="172"/>
      <c r="G626" s="172"/>
    </row>
    <row r="627" spans="1:7" x14ac:dyDescent="0.3">
      <c r="A627" s="179"/>
      <c r="B627" s="179"/>
      <c r="C627" s="179"/>
      <c r="D627" s="179"/>
      <c r="E627" s="172"/>
      <c r="F627" s="172"/>
      <c r="G627" s="172"/>
    </row>
    <row r="628" spans="1:7" x14ac:dyDescent="0.3">
      <c r="A628" s="179"/>
      <c r="B628" s="179"/>
      <c r="C628" s="179"/>
      <c r="D628" s="179"/>
      <c r="E628" s="172"/>
      <c r="F628" s="172"/>
      <c r="G628" s="172"/>
    </row>
    <row r="629" spans="1:7" x14ac:dyDescent="0.3">
      <c r="A629" s="172"/>
      <c r="B629" s="172"/>
      <c r="D629" s="173"/>
      <c r="E629" s="172"/>
      <c r="F629" s="172"/>
      <c r="G629" s="172"/>
    </row>
    <row r="630" spans="1:7" x14ac:dyDescent="0.3">
      <c r="A630" s="172"/>
      <c r="B630" s="172"/>
      <c r="C630" s="172"/>
      <c r="D630" s="172"/>
      <c r="E630" s="172"/>
      <c r="F630" s="172"/>
      <c r="G630" s="172"/>
    </row>
    <row r="631" spans="1:7" x14ac:dyDescent="0.3">
      <c r="A631" s="172"/>
      <c r="B631" s="172"/>
      <c r="C631" s="172"/>
      <c r="D631" s="172"/>
      <c r="E631" s="172"/>
      <c r="F631" s="172"/>
      <c r="G631" s="172"/>
    </row>
    <row r="632" spans="1:7" x14ac:dyDescent="0.3">
      <c r="A632" s="172"/>
      <c r="B632" s="172"/>
      <c r="C632" s="172"/>
      <c r="D632" s="172"/>
      <c r="E632" s="172"/>
      <c r="F632" s="172"/>
      <c r="G632" s="172"/>
    </row>
    <row r="633" spans="1:7" x14ac:dyDescent="0.3">
      <c r="A633" s="172"/>
      <c r="B633" s="172"/>
      <c r="C633" s="172"/>
      <c r="D633" s="172"/>
      <c r="E633" s="172"/>
      <c r="F633" s="172"/>
      <c r="G633" s="172"/>
    </row>
    <row r="634" spans="1:7" x14ac:dyDescent="0.3">
      <c r="A634" s="174"/>
      <c r="B634" s="174"/>
      <c r="C634" s="174"/>
      <c r="D634" s="174"/>
      <c r="E634" s="172"/>
      <c r="F634" s="172"/>
      <c r="G634" s="172"/>
    </row>
    <row r="635" spans="1:7" x14ac:dyDescent="0.3">
      <c r="A635" s="171"/>
      <c r="B635" s="171"/>
      <c r="C635" s="179"/>
      <c r="D635" s="179"/>
      <c r="E635" s="172"/>
      <c r="F635" s="172"/>
      <c r="G635" s="172"/>
    </row>
    <row r="636" spans="1:7" x14ac:dyDescent="0.3">
      <c r="A636" s="171"/>
      <c r="B636" s="171"/>
      <c r="C636" s="179"/>
      <c r="D636" s="179"/>
      <c r="E636" s="172"/>
      <c r="F636" s="172"/>
      <c r="G636" s="172"/>
    </row>
    <row r="637" spans="1:7" x14ac:dyDescent="0.3">
      <c r="A637" s="171"/>
      <c r="B637" s="171"/>
      <c r="C637" s="179"/>
      <c r="D637" s="179"/>
      <c r="E637" s="172"/>
      <c r="F637" s="172"/>
      <c r="G637" s="172"/>
    </row>
    <row r="638" spans="1:7" x14ac:dyDescent="0.3">
      <c r="A638" s="171"/>
      <c r="B638" s="171"/>
      <c r="C638" s="179"/>
      <c r="D638" s="179"/>
      <c r="E638" s="172"/>
      <c r="F638" s="172"/>
      <c r="G638" s="172"/>
    </row>
    <row r="639" spans="1:7" x14ac:dyDescent="0.3">
      <c r="A639" s="171"/>
      <c r="B639" s="171"/>
      <c r="C639" s="179"/>
      <c r="D639" s="179"/>
      <c r="E639" s="172"/>
      <c r="F639" s="172"/>
      <c r="G639" s="172"/>
    </row>
    <row r="640" spans="1:7" x14ac:dyDescent="0.3">
      <c r="A640" s="171"/>
      <c r="B640" s="171"/>
      <c r="C640" s="179"/>
      <c r="D640" s="179"/>
      <c r="E640" s="172"/>
      <c r="F640" s="172"/>
      <c r="G640" s="172"/>
    </row>
    <row r="641" spans="1:7" x14ac:dyDescent="0.3">
      <c r="A641" s="171"/>
      <c r="B641" s="171"/>
      <c r="C641" s="179"/>
      <c r="D641" s="179"/>
      <c r="E641" s="172"/>
      <c r="F641" s="172"/>
      <c r="G641" s="172"/>
    </row>
    <row r="642" spans="1:7" x14ac:dyDescent="0.3">
      <c r="A642" s="171"/>
      <c r="B642" s="171"/>
      <c r="C642" s="179"/>
      <c r="D642" s="179"/>
      <c r="E642" s="172"/>
      <c r="F642" s="172"/>
      <c r="G642" s="172"/>
    </row>
    <row r="643" spans="1:7" x14ac:dyDescent="0.3">
      <c r="A643" s="171"/>
      <c r="B643" s="171"/>
      <c r="C643" s="179"/>
      <c r="D643" s="179"/>
      <c r="E643" s="172"/>
      <c r="F643" s="172"/>
      <c r="G643" s="172"/>
    </row>
    <row r="644" spans="1:7" x14ac:dyDescent="0.3">
      <c r="A644" s="171"/>
      <c r="B644" s="171"/>
      <c r="C644" s="179"/>
      <c r="D644" s="179"/>
      <c r="E644" s="172"/>
      <c r="F644" s="172"/>
      <c r="G644" s="172"/>
    </row>
    <row r="645" spans="1:7" x14ac:dyDescent="0.3">
      <c r="A645" s="171"/>
      <c r="B645" s="171"/>
      <c r="C645" s="179"/>
      <c r="D645" s="179"/>
      <c r="E645" s="172"/>
      <c r="F645" s="172"/>
      <c r="G645" s="172"/>
    </row>
    <row r="646" spans="1:7" x14ac:dyDescent="0.3">
      <c r="A646" s="171"/>
      <c r="B646" s="171"/>
      <c r="C646" s="179"/>
      <c r="D646" s="173"/>
      <c r="E646" s="172"/>
      <c r="F646" s="172"/>
      <c r="G646" s="172"/>
    </row>
    <row r="647" spans="1:7" x14ac:dyDescent="0.3">
      <c r="A647" s="171"/>
      <c r="B647" s="171"/>
      <c r="C647" s="179"/>
      <c r="D647" s="179"/>
      <c r="E647" s="172"/>
      <c r="F647" s="172"/>
      <c r="G647" s="172"/>
    </row>
    <row r="648" spans="1:7" x14ac:dyDescent="0.3">
      <c r="A648" s="171"/>
      <c r="B648" s="171"/>
      <c r="C648" s="179"/>
      <c r="D648" s="179"/>
      <c r="E648" s="172"/>
      <c r="F648" s="172"/>
      <c r="G648" s="172"/>
    </row>
    <row r="649" spans="1:7" x14ac:dyDescent="0.3">
      <c r="A649" s="172"/>
      <c r="B649" s="172"/>
      <c r="C649" s="172"/>
      <c r="D649" s="172"/>
      <c r="E649" s="172"/>
      <c r="F649" s="172"/>
      <c r="G649" s="172"/>
    </row>
    <row r="650" spans="1:7" x14ac:dyDescent="0.3">
      <c r="A650" s="172"/>
      <c r="B650" s="172"/>
      <c r="C650" s="172"/>
      <c r="D650" s="172"/>
      <c r="E650" s="172"/>
      <c r="F650" s="172"/>
      <c r="G650" s="172"/>
    </row>
    <row r="651" spans="1:7" x14ac:dyDescent="0.3">
      <c r="A651" s="172"/>
      <c r="B651" s="172"/>
      <c r="C651" s="172"/>
      <c r="D651" s="172"/>
      <c r="E651" s="172"/>
      <c r="F651" s="172"/>
      <c r="G651" s="172"/>
    </row>
    <row r="652" spans="1:7" x14ac:dyDescent="0.3">
      <c r="A652" s="174"/>
      <c r="B652" s="172"/>
      <c r="C652" s="172"/>
      <c r="D652" s="172"/>
      <c r="E652" s="172"/>
      <c r="F652" s="172"/>
      <c r="G652" s="172"/>
    </row>
    <row r="653" spans="1:7" x14ac:dyDescent="0.3">
      <c r="A653" s="171"/>
      <c r="B653" s="172"/>
      <c r="C653" s="172"/>
      <c r="D653" s="172"/>
      <c r="E653" s="172"/>
      <c r="F653" s="172"/>
      <c r="G653" s="172"/>
    </row>
    <row r="654" spans="1:7" x14ac:dyDescent="0.3">
      <c r="A654" s="171"/>
      <c r="B654" s="172"/>
      <c r="C654" s="172"/>
      <c r="D654" s="172"/>
      <c r="E654" s="172"/>
      <c r="F654" s="172"/>
      <c r="G654" s="172"/>
    </row>
    <row r="655" spans="1:7" x14ac:dyDescent="0.3">
      <c r="A655" s="171"/>
      <c r="B655" s="172"/>
      <c r="C655" s="172"/>
      <c r="D655" s="172"/>
      <c r="E655" s="172"/>
      <c r="F655" s="172"/>
      <c r="G655" s="172"/>
    </row>
    <row r="656" spans="1:7" x14ac:dyDescent="0.3">
      <c r="A656" s="171"/>
      <c r="B656" s="172"/>
      <c r="C656" s="172"/>
      <c r="D656" s="172"/>
      <c r="E656" s="172"/>
      <c r="F656" s="172"/>
      <c r="G656" s="172"/>
    </row>
    <row r="657" spans="1:7" x14ac:dyDescent="0.3">
      <c r="A657" s="171"/>
      <c r="B657" s="172"/>
      <c r="C657" s="172"/>
      <c r="D657" s="172"/>
      <c r="E657" s="172"/>
      <c r="F657" s="172"/>
      <c r="G657" s="172"/>
    </row>
    <row r="658" spans="1:7" x14ac:dyDescent="0.3">
      <c r="A658" s="171"/>
      <c r="B658" s="172"/>
      <c r="C658" s="172"/>
      <c r="D658" s="172"/>
      <c r="E658" s="172"/>
      <c r="F658" s="172"/>
      <c r="G658" s="172"/>
    </row>
    <row r="659" spans="1:7" x14ac:dyDescent="0.3">
      <c r="A659" s="171"/>
      <c r="B659" s="172"/>
      <c r="C659" s="172"/>
      <c r="D659" s="172"/>
      <c r="E659" s="172"/>
      <c r="F659" s="172"/>
      <c r="G659" s="172"/>
    </row>
    <row r="660" spans="1:7" x14ac:dyDescent="0.3">
      <c r="A660" s="171"/>
      <c r="B660" s="172"/>
      <c r="C660" s="172"/>
      <c r="D660" s="172"/>
      <c r="E660" s="172"/>
      <c r="F660" s="172"/>
      <c r="G660" s="172"/>
    </row>
    <row r="661" spans="1:7" x14ac:dyDescent="0.3">
      <c r="A661" s="171"/>
      <c r="B661" s="172"/>
      <c r="C661" s="172"/>
      <c r="D661" s="172"/>
      <c r="E661" s="172"/>
      <c r="F661" s="172"/>
      <c r="G661" s="172"/>
    </row>
    <row r="662" spans="1:7" x14ac:dyDescent="0.3">
      <c r="A662" s="171"/>
      <c r="B662" s="172"/>
      <c r="C662" s="172"/>
      <c r="D662" s="172"/>
      <c r="E662" s="172"/>
      <c r="F662" s="172"/>
      <c r="G662" s="172"/>
    </row>
    <row r="663" spans="1:7" x14ac:dyDescent="0.3">
      <c r="A663" s="171"/>
      <c r="B663" s="172"/>
      <c r="C663" s="172"/>
      <c r="D663" s="172"/>
      <c r="E663" s="172"/>
      <c r="F663" s="172"/>
      <c r="G663" s="172"/>
    </row>
    <row r="664" spans="1:7" x14ac:dyDescent="0.3">
      <c r="A664" s="171"/>
      <c r="B664" s="172"/>
      <c r="C664" s="172"/>
      <c r="D664" s="172"/>
      <c r="E664" s="172"/>
      <c r="F664" s="172"/>
      <c r="G664" s="172"/>
    </row>
    <row r="665" spans="1:7" x14ac:dyDescent="0.3">
      <c r="A665" s="171"/>
      <c r="B665" s="172"/>
      <c r="C665" s="172"/>
      <c r="D665" s="172"/>
      <c r="E665" s="172"/>
      <c r="F665" s="172"/>
      <c r="G665" s="172"/>
    </row>
    <row r="666" spans="1:7" x14ac:dyDescent="0.3">
      <c r="A666" s="171"/>
      <c r="B666" s="172"/>
      <c r="C666" s="172"/>
      <c r="D666" s="172"/>
      <c r="E666" s="172"/>
      <c r="F666" s="172"/>
      <c r="G666" s="172"/>
    </row>
    <row r="667" spans="1:7" x14ac:dyDescent="0.3">
      <c r="A667" s="171"/>
      <c r="B667" s="172"/>
      <c r="C667" s="172"/>
      <c r="D667" s="172"/>
      <c r="E667" s="172"/>
      <c r="F667" s="172"/>
      <c r="G667" s="172"/>
    </row>
    <row r="668" spans="1:7" x14ac:dyDescent="0.3">
      <c r="A668" s="171"/>
      <c r="B668" s="172"/>
      <c r="C668" s="172"/>
      <c r="D668" s="172"/>
      <c r="E668" s="172"/>
      <c r="F668" s="172"/>
      <c r="G668" s="172"/>
    </row>
    <row r="669" spans="1:7" x14ac:dyDescent="0.3">
      <c r="A669" s="171"/>
      <c r="B669" s="172"/>
      <c r="C669" s="172"/>
      <c r="D669" s="172"/>
      <c r="E669" s="172"/>
      <c r="F669" s="172"/>
      <c r="G669" s="172"/>
    </row>
    <row r="670" spans="1:7" x14ac:dyDescent="0.3">
      <c r="A670" s="171"/>
      <c r="B670" s="172"/>
      <c r="C670" s="172"/>
      <c r="D670" s="172"/>
      <c r="E670" s="172"/>
      <c r="F670" s="172"/>
      <c r="G670" s="172"/>
    </row>
    <row r="671" spans="1:7" x14ac:dyDescent="0.3">
      <c r="A671" s="171"/>
      <c r="B671" s="172"/>
      <c r="C671" s="172"/>
      <c r="D671" s="172"/>
      <c r="E671" s="172"/>
      <c r="F671" s="172"/>
      <c r="G671" s="172"/>
    </row>
    <row r="672" spans="1:7" x14ac:dyDescent="0.3">
      <c r="A672" s="171"/>
      <c r="B672" s="172"/>
      <c r="C672" s="172"/>
      <c r="D672" s="172"/>
      <c r="E672" s="172"/>
      <c r="F672" s="172"/>
      <c r="G672" s="172"/>
    </row>
    <row r="673" spans="1:7" x14ac:dyDescent="0.3">
      <c r="A673" s="171"/>
      <c r="B673" s="172"/>
      <c r="C673" s="172"/>
      <c r="D673" s="172"/>
      <c r="E673" s="172"/>
      <c r="F673" s="172"/>
      <c r="G673" s="172"/>
    </row>
    <row r="674" spans="1:7" x14ac:dyDescent="0.3">
      <c r="A674" s="173"/>
      <c r="B674" s="172"/>
      <c r="C674" s="172"/>
      <c r="D674" s="172"/>
      <c r="E674" s="172"/>
      <c r="F674" s="172"/>
      <c r="G674" s="172"/>
    </row>
    <row r="675" spans="1:7" x14ac:dyDescent="0.3">
      <c r="B675" s="173"/>
      <c r="C675" s="172"/>
      <c r="D675" s="172"/>
      <c r="E675" s="172"/>
      <c r="F675" s="172"/>
      <c r="G675" s="172"/>
    </row>
    <row r="676" spans="1:7" x14ac:dyDescent="0.3">
      <c r="A676" s="172"/>
      <c r="B676" s="172"/>
      <c r="C676" s="172"/>
      <c r="D676" s="172"/>
      <c r="E676" s="172"/>
      <c r="F676" s="172"/>
      <c r="G676" s="172"/>
    </row>
    <row r="677" spans="1:7" x14ac:dyDescent="0.3">
      <c r="A677" s="172"/>
      <c r="B677" s="172"/>
      <c r="C677" s="172"/>
      <c r="D677" s="172"/>
      <c r="E677" s="172"/>
      <c r="F677" s="172"/>
      <c r="G677" s="172"/>
    </row>
    <row r="678" spans="1:7" x14ac:dyDescent="0.3">
      <c r="A678" s="172"/>
      <c r="B678" s="172"/>
      <c r="C678" s="172"/>
      <c r="D678" s="172"/>
      <c r="E678" s="172"/>
      <c r="F678" s="172"/>
      <c r="G678" s="172"/>
    </row>
    <row r="679" spans="1:7" x14ac:dyDescent="0.3">
      <c r="A679" s="174"/>
      <c r="B679" s="172"/>
      <c r="C679" s="172"/>
      <c r="D679" s="172"/>
      <c r="E679" s="172"/>
      <c r="F679" s="172"/>
      <c r="G679" s="172"/>
    </row>
    <row r="680" spans="1:7" x14ac:dyDescent="0.3">
      <c r="A680" s="171"/>
      <c r="B680" s="172"/>
      <c r="C680" s="172"/>
      <c r="D680" s="172"/>
      <c r="E680" s="172"/>
      <c r="F680" s="172"/>
      <c r="G680" s="172"/>
    </row>
    <row r="681" spans="1:7" x14ac:dyDescent="0.3">
      <c r="A681" s="173"/>
      <c r="B681" s="172"/>
      <c r="C681" s="172"/>
      <c r="D681" s="172"/>
      <c r="E681" s="172"/>
      <c r="F681" s="172"/>
      <c r="G681" s="172"/>
    </row>
    <row r="682" spans="1:7" x14ac:dyDescent="0.3">
      <c r="A682" s="172"/>
      <c r="B682" s="172"/>
      <c r="C682" s="172"/>
      <c r="D682" s="172"/>
      <c r="E682" s="172"/>
      <c r="F682" s="172"/>
      <c r="G682" s="172"/>
    </row>
    <row r="683" spans="1:7" x14ac:dyDescent="0.3">
      <c r="A683" s="172"/>
      <c r="B683" s="172"/>
      <c r="C683" s="172"/>
      <c r="D683" s="172"/>
      <c r="E683" s="172"/>
      <c r="F683" s="172"/>
      <c r="G683" s="172"/>
    </row>
    <row r="684" spans="1:7" ht="15.6" x14ac:dyDescent="0.3">
      <c r="A684" s="190"/>
      <c r="B684" s="190"/>
      <c r="C684" s="190"/>
      <c r="D684" s="190"/>
      <c r="E684" s="190"/>
      <c r="F684" s="190"/>
    </row>
    <row r="685" spans="1:7" x14ac:dyDescent="0.3">
      <c r="A685" s="172"/>
      <c r="B685" s="172"/>
    </row>
    <row r="686" spans="1:7" x14ac:dyDescent="0.3">
      <c r="B686" s="172"/>
    </row>
    <row r="687" spans="1:7" x14ac:dyDescent="0.3">
      <c r="A687" s="172"/>
      <c r="B687" s="172"/>
    </row>
    <row r="689" spans="1:4" x14ac:dyDescent="0.3">
      <c r="C689" s="191"/>
      <c r="D689" s="191"/>
    </row>
    <row r="690" spans="1:4" x14ac:dyDescent="0.3">
      <c r="C690" s="191"/>
      <c r="D690" s="191"/>
    </row>
    <row r="691" spans="1:4" x14ac:dyDescent="0.3">
      <c r="C691" s="179"/>
      <c r="D691" s="179"/>
    </row>
    <row r="692" spans="1:4" x14ac:dyDescent="0.3">
      <c r="A692" s="191"/>
      <c r="B692" s="191"/>
      <c r="C692" s="179"/>
      <c r="D692" s="179"/>
    </row>
    <row r="693" spans="1:4" x14ac:dyDescent="0.3">
      <c r="A693" s="191"/>
      <c r="B693" s="191"/>
    </row>
    <row r="694" spans="1:4" x14ac:dyDescent="0.3">
      <c r="A694" s="179"/>
      <c r="B694" s="179"/>
    </row>
    <row r="695" spans="1:4" x14ac:dyDescent="0.3">
      <c r="A695" s="179"/>
      <c r="B695" s="179"/>
    </row>
    <row r="713" spans="1:7" x14ac:dyDescent="0.3">
      <c r="A713" s="192"/>
      <c r="C713" s="176"/>
      <c r="D713" s="176"/>
      <c r="E713" s="176"/>
      <c r="F713" s="176"/>
      <c r="G713" s="176"/>
    </row>
    <row r="714" spans="1:7" x14ac:dyDescent="0.3">
      <c r="C714" s="171"/>
      <c r="D714" s="171"/>
      <c r="E714" s="171"/>
      <c r="F714" s="171"/>
      <c r="G714" s="171"/>
    </row>
    <row r="715" spans="1:7" x14ac:dyDescent="0.3">
      <c r="C715" s="171"/>
      <c r="D715" s="171"/>
      <c r="E715" s="171"/>
      <c r="F715" s="171"/>
      <c r="G715" s="171"/>
    </row>
    <row r="716" spans="1:7" x14ac:dyDescent="0.3">
      <c r="A716" s="176"/>
      <c r="B716" s="176"/>
      <c r="C716" s="171"/>
      <c r="D716" s="171"/>
      <c r="E716" s="171"/>
      <c r="F716" s="171"/>
      <c r="G716" s="171"/>
    </row>
    <row r="717" spans="1:7" x14ac:dyDescent="0.3">
      <c r="A717" s="171"/>
      <c r="B717" s="171"/>
      <c r="C717" s="171"/>
      <c r="D717" s="171"/>
      <c r="E717" s="171"/>
      <c r="F717" s="171"/>
      <c r="G717" s="171"/>
    </row>
    <row r="718" spans="1:7" x14ac:dyDescent="0.3">
      <c r="A718" s="171"/>
      <c r="B718" s="171"/>
      <c r="C718" s="171"/>
      <c r="D718" s="171"/>
      <c r="E718" s="171"/>
      <c r="F718" s="171"/>
      <c r="G718" s="171"/>
    </row>
    <row r="719" spans="1:7" x14ac:dyDescent="0.3">
      <c r="A719" s="171"/>
      <c r="B719" s="171"/>
      <c r="C719" s="171"/>
      <c r="D719" s="171"/>
      <c r="E719" s="171"/>
      <c r="F719" s="171"/>
      <c r="G719" s="171"/>
    </row>
    <row r="720" spans="1:7" x14ac:dyDescent="0.3">
      <c r="A720" s="171"/>
      <c r="B720" s="171"/>
      <c r="C720" s="171"/>
      <c r="D720" s="171"/>
      <c r="E720" s="171"/>
      <c r="F720" s="171"/>
      <c r="G720" s="171"/>
    </row>
    <row r="721" spans="1:7" x14ac:dyDescent="0.3">
      <c r="A721" s="171"/>
      <c r="B721" s="171"/>
      <c r="C721" s="171"/>
      <c r="D721" s="171"/>
      <c r="E721" s="171"/>
      <c r="F721" s="171"/>
      <c r="G721" s="171"/>
    </row>
    <row r="722" spans="1:7" x14ac:dyDescent="0.3">
      <c r="A722" s="171"/>
      <c r="B722" s="171"/>
      <c r="C722" s="171"/>
      <c r="D722" s="171"/>
      <c r="E722" s="171"/>
      <c r="F722" s="171"/>
      <c r="G722" s="171"/>
    </row>
    <row r="723" spans="1:7" x14ac:dyDescent="0.3">
      <c r="A723" s="171"/>
      <c r="B723" s="171"/>
      <c r="C723" s="171"/>
      <c r="D723" s="171"/>
      <c r="E723" s="171"/>
      <c r="F723" s="171"/>
      <c r="G723" s="171"/>
    </row>
    <row r="724" spans="1:7" x14ac:dyDescent="0.3">
      <c r="A724" s="171"/>
      <c r="B724" s="171"/>
      <c r="C724" s="171"/>
      <c r="D724" s="171"/>
      <c r="E724" s="171"/>
      <c r="F724" s="171"/>
      <c r="G724" s="171"/>
    </row>
    <row r="725" spans="1:7" x14ac:dyDescent="0.3">
      <c r="A725" s="171"/>
      <c r="B725" s="171"/>
      <c r="C725" s="171"/>
      <c r="D725" s="171"/>
      <c r="E725" s="171"/>
      <c r="F725" s="171"/>
      <c r="G725" s="171"/>
    </row>
    <row r="726" spans="1:7" x14ac:dyDescent="0.3">
      <c r="A726" s="171"/>
      <c r="B726" s="171"/>
      <c r="C726" s="171"/>
      <c r="D726" s="171"/>
      <c r="E726" s="171"/>
      <c r="F726" s="171"/>
      <c r="G726" s="171"/>
    </row>
    <row r="727" spans="1:7" x14ac:dyDescent="0.3">
      <c r="A727" s="171"/>
      <c r="B727" s="171"/>
      <c r="C727" s="171"/>
      <c r="D727" s="171"/>
      <c r="E727" s="171"/>
      <c r="F727" s="171"/>
      <c r="G727" s="171"/>
    </row>
    <row r="728" spans="1:7" x14ac:dyDescent="0.3">
      <c r="A728" s="171"/>
      <c r="B728" s="171"/>
      <c r="C728" s="171"/>
      <c r="D728" s="171"/>
      <c r="E728" s="171"/>
      <c r="F728" s="171"/>
      <c r="G728" s="171"/>
    </row>
    <row r="729" spans="1:7" x14ac:dyDescent="0.3">
      <c r="A729" s="171"/>
      <c r="B729" s="171"/>
      <c r="C729" s="171"/>
      <c r="D729" s="171"/>
      <c r="E729" s="171"/>
      <c r="F729" s="171"/>
      <c r="G729" s="171"/>
    </row>
    <row r="730" spans="1:7" x14ac:dyDescent="0.3">
      <c r="A730" s="171"/>
      <c r="B730" s="171"/>
      <c r="C730" s="171"/>
      <c r="D730" s="171"/>
      <c r="E730" s="171"/>
      <c r="F730" s="171"/>
      <c r="G730" s="171"/>
    </row>
    <row r="731" spans="1:7" x14ac:dyDescent="0.3">
      <c r="A731" s="171"/>
      <c r="B731" s="171"/>
      <c r="C731" s="171"/>
      <c r="D731" s="171"/>
      <c r="E731" s="171"/>
      <c r="F731" s="171"/>
      <c r="G731" s="171"/>
    </row>
    <row r="732" spans="1:7" x14ac:dyDescent="0.3">
      <c r="A732" s="171"/>
      <c r="B732" s="171"/>
      <c r="C732" s="171"/>
      <c r="D732" s="171"/>
      <c r="E732" s="171"/>
      <c r="F732" s="171"/>
      <c r="G732" s="171"/>
    </row>
    <row r="733" spans="1:7" x14ac:dyDescent="0.3">
      <c r="A733" s="171"/>
      <c r="B733" s="171"/>
      <c r="C733" s="171"/>
      <c r="D733" s="171"/>
      <c r="E733" s="171"/>
      <c r="F733" s="171"/>
      <c r="G733" s="171"/>
    </row>
    <row r="734" spans="1:7" x14ac:dyDescent="0.3">
      <c r="A734" s="171"/>
      <c r="B734" s="171"/>
      <c r="C734" s="171"/>
      <c r="D734" s="171"/>
      <c r="E734" s="171"/>
      <c r="F734" s="171"/>
      <c r="G734" s="171"/>
    </row>
    <row r="735" spans="1:7" x14ac:dyDescent="0.3">
      <c r="A735" s="171"/>
      <c r="B735" s="171"/>
      <c r="C735" s="171"/>
      <c r="D735" s="171"/>
      <c r="E735" s="171"/>
      <c r="F735" s="171"/>
      <c r="G735" s="171"/>
    </row>
    <row r="736" spans="1:7" x14ac:dyDescent="0.3">
      <c r="A736" s="171"/>
      <c r="B736" s="171"/>
      <c r="C736" s="171"/>
      <c r="D736" s="171"/>
      <c r="E736" s="171"/>
      <c r="F736" s="171"/>
      <c r="G736" s="171"/>
    </row>
    <row r="737" spans="1:7" x14ac:dyDescent="0.3">
      <c r="A737" s="171"/>
      <c r="B737" s="171"/>
      <c r="C737" s="171"/>
      <c r="D737" s="171"/>
      <c r="E737" s="171"/>
      <c r="F737" s="171"/>
      <c r="G737" s="171"/>
    </row>
    <row r="738" spans="1:7" x14ac:dyDescent="0.3">
      <c r="A738" s="171"/>
      <c r="B738" s="171"/>
      <c r="C738" s="171"/>
      <c r="D738" s="171"/>
      <c r="E738" s="171"/>
      <c r="F738" s="171"/>
      <c r="G738" s="171"/>
    </row>
    <row r="739" spans="1:7" x14ac:dyDescent="0.3">
      <c r="A739" s="171"/>
      <c r="B739" s="171"/>
      <c r="C739" s="171"/>
      <c r="D739" s="171"/>
      <c r="E739" s="171"/>
      <c r="F739" s="171"/>
      <c r="G739" s="171"/>
    </row>
    <row r="740" spans="1:7" x14ac:dyDescent="0.3">
      <c r="A740" s="171"/>
      <c r="B740" s="171"/>
      <c r="C740" s="171"/>
      <c r="D740" s="171"/>
      <c r="E740" s="171"/>
      <c r="F740" s="171"/>
      <c r="G740" s="171"/>
    </row>
    <row r="741" spans="1:7" x14ac:dyDescent="0.3">
      <c r="A741" s="171"/>
      <c r="B741" s="171"/>
      <c r="C741" s="171"/>
      <c r="D741" s="171"/>
      <c r="E741" s="171"/>
      <c r="F741" s="171"/>
      <c r="G741" s="171"/>
    </row>
    <row r="742" spans="1:7" x14ac:dyDescent="0.3">
      <c r="A742" s="171"/>
      <c r="B742" s="171"/>
      <c r="C742" s="171"/>
      <c r="D742" s="171"/>
      <c r="E742" s="171"/>
      <c r="F742" s="171"/>
      <c r="G742" s="171"/>
    </row>
    <row r="743" spans="1:7" x14ac:dyDescent="0.3">
      <c r="A743" s="171"/>
      <c r="B743" s="171"/>
      <c r="C743" s="171"/>
      <c r="D743" s="171"/>
      <c r="E743" s="171"/>
      <c r="F743" s="171"/>
      <c r="G743" s="171"/>
    </row>
    <row r="744" spans="1:7" x14ac:dyDescent="0.3">
      <c r="A744" s="171"/>
      <c r="B744" s="171"/>
      <c r="C744" s="171"/>
      <c r="D744" s="171"/>
      <c r="E744" s="171"/>
      <c r="F744" s="171"/>
      <c r="G744" s="171"/>
    </row>
    <row r="745" spans="1:7" x14ac:dyDescent="0.3">
      <c r="A745" s="171"/>
      <c r="B745" s="171"/>
      <c r="C745" s="171"/>
      <c r="D745" s="171"/>
      <c r="E745" s="171"/>
      <c r="F745" s="171"/>
      <c r="G745" s="171"/>
    </row>
    <row r="746" spans="1:7" x14ac:dyDescent="0.3">
      <c r="A746" s="171"/>
      <c r="B746" s="171"/>
      <c r="C746" s="171"/>
      <c r="D746" s="171"/>
      <c r="E746" s="171"/>
      <c r="F746" s="171"/>
      <c r="G746" s="171"/>
    </row>
    <row r="747" spans="1:7" x14ac:dyDescent="0.3">
      <c r="A747" s="171"/>
      <c r="B747" s="171"/>
      <c r="C747" s="171"/>
      <c r="D747" s="171"/>
      <c r="E747" s="171"/>
      <c r="F747" s="171"/>
      <c r="G747" s="171"/>
    </row>
    <row r="748" spans="1:7" x14ac:dyDescent="0.3">
      <c r="A748" s="171"/>
      <c r="B748" s="171"/>
      <c r="C748" s="171"/>
      <c r="D748" s="171"/>
      <c r="E748" s="171"/>
      <c r="F748" s="171"/>
      <c r="G748" s="171"/>
    </row>
    <row r="749" spans="1:7" x14ac:dyDescent="0.3">
      <c r="A749" s="176"/>
      <c r="B749" s="171"/>
      <c r="C749" s="171"/>
      <c r="D749" s="171"/>
      <c r="E749" s="171"/>
      <c r="F749" s="171"/>
      <c r="G749" s="171"/>
    </row>
    <row r="750" spans="1:7" x14ac:dyDescent="0.3">
      <c r="A750" s="176"/>
      <c r="B750" s="171"/>
      <c r="C750" s="171"/>
      <c r="D750" s="171"/>
      <c r="E750" s="171"/>
      <c r="F750" s="171"/>
      <c r="G750" s="171"/>
    </row>
    <row r="751" spans="1:7" x14ac:dyDescent="0.3">
      <c r="A751" s="171"/>
      <c r="B751" s="171"/>
      <c r="C751" s="171"/>
      <c r="D751" s="171"/>
      <c r="E751" s="171"/>
      <c r="F751" s="171"/>
      <c r="G751" s="171"/>
    </row>
    <row r="752" spans="1:7" x14ac:dyDescent="0.3">
      <c r="A752" s="171"/>
      <c r="B752" s="171"/>
      <c r="C752" s="161"/>
      <c r="D752" s="171"/>
      <c r="E752" s="171"/>
      <c r="F752" s="171"/>
      <c r="G752" s="171"/>
    </row>
    <row r="753" spans="1:8" x14ac:dyDescent="0.3">
      <c r="A753" s="171"/>
      <c r="B753" s="171"/>
      <c r="C753" s="172"/>
      <c r="D753" s="172"/>
      <c r="E753" s="172"/>
      <c r="F753" s="172"/>
      <c r="G753" s="173"/>
      <c r="H753" s="172"/>
    </row>
    <row r="754" spans="1:8" x14ac:dyDescent="0.3">
      <c r="A754" s="171"/>
      <c r="B754" s="171"/>
    </row>
    <row r="755" spans="1:8" x14ac:dyDescent="0.3">
      <c r="A755" s="161"/>
      <c r="B755" s="161"/>
      <c r="C755" s="192"/>
      <c r="D755" s="192"/>
      <c r="E755" s="192"/>
      <c r="F755" s="192"/>
      <c r="G755" s="192"/>
    </row>
    <row r="756" spans="1:8" x14ac:dyDescent="0.3">
      <c r="A756" s="172"/>
      <c r="B756" s="172"/>
      <c r="C756" s="192"/>
      <c r="D756" s="192"/>
      <c r="E756" s="192"/>
      <c r="F756" s="192"/>
      <c r="G756" s="192"/>
    </row>
    <row r="757" spans="1:8" x14ac:dyDescent="0.3">
      <c r="C757" s="192"/>
      <c r="D757" s="192"/>
      <c r="E757" s="192"/>
      <c r="F757" s="192"/>
      <c r="G757" s="192"/>
    </row>
    <row r="758" spans="1:8" x14ac:dyDescent="0.3">
      <c r="A758" s="192"/>
      <c r="B758" s="192"/>
      <c r="C758" s="193"/>
      <c r="D758" s="193"/>
      <c r="E758" s="193"/>
      <c r="F758" s="193"/>
      <c r="G758" s="193"/>
    </row>
    <row r="759" spans="1:8" x14ac:dyDescent="0.3">
      <c r="A759" s="192"/>
      <c r="B759" s="192"/>
      <c r="C759" s="193"/>
      <c r="D759" s="193"/>
      <c r="E759" s="193"/>
      <c r="F759" s="193"/>
      <c r="G759" s="193"/>
    </row>
    <row r="760" spans="1:8" x14ac:dyDescent="0.3">
      <c r="A760" s="192"/>
      <c r="B760" s="192"/>
      <c r="C760" s="193"/>
      <c r="D760" s="193"/>
      <c r="E760" s="193"/>
      <c r="F760" s="193"/>
      <c r="G760" s="193"/>
    </row>
    <row r="761" spans="1:8" x14ac:dyDescent="0.3">
      <c r="A761" s="176"/>
      <c r="B761" s="176"/>
      <c r="C761" s="193"/>
      <c r="D761" s="193"/>
      <c r="E761" s="193"/>
      <c r="F761" s="193"/>
      <c r="G761" s="193"/>
    </row>
    <row r="762" spans="1:8" x14ac:dyDescent="0.3">
      <c r="A762" s="194"/>
      <c r="B762" s="171"/>
      <c r="C762" s="193"/>
      <c r="D762" s="193"/>
      <c r="E762" s="193"/>
      <c r="F762" s="193"/>
      <c r="G762" s="193"/>
    </row>
    <row r="763" spans="1:8" x14ac:dyDescent="0.3">
      <c r="A763" s="194"/>
      <c r="B763" s="171"/>
      <c r="C763" s="193"/>
      <c r="D763" s="193"/>
      <c r="E763" s="193"/>
      <c r="F763" s="193"/>
      <c r="G763" s="193"/>
    </row>
    <row r="764" spans="1:8" x14ac:dyDescent="0.3">
      <c r="A764" s="176"/>
      <c r="B764" s="171"/>
      <c r="C764" s="193"/>
      <c r="D764" s="193"/>
      <c r="E764" s="193"/>
      <c r="F764" s="193"/>
      <c r="G764" s="193"/>
    </row>
    <row r="765" spans="1:8" x14ac:dyDescent="0.3">
      <c r="A765" s="176"/>
      <c r="B765" s="171"/>
      <c r="C765" s="193"/>
      <c r="D765" s="193"/>
      <c r="E765" s="193"/>
      <c r="F765" s="193"/>
      <c r="G765" s="193"/>
    </row>
    <row r="766" spans="1:8" x14ac:dyDescent="0.3">
      <c r="A766" s="176"/>
      <c r="B766" s="171"/>
      <c r="C766" s="193"/>
      <c r="D766" s="193"/>
      <c r="E766" s="193"/>
      <c r="F766" s="193"/>
      <c r="G766" s="193"/>
    </row>
    <row r="767" spans="1:8" x14ac:dyDescent="0.3">
      <c r="A767" s="176"/>
      <c r="B767" s="171"/>
      <c r="C767" s="193"/>
      <c r="D767" s="193"/>
      <c r="E767" s="193"/>
      <c r="F767" s="193"/>
      <c r="G767" s="193"/>
    </row>
    <row r="768" spans="1:8" x14ac:dyDescent="0.3">
      <c r="A768" s="176"/>
      <c r="B768" s="171"/>
      <c r="C768" s="193"/>
      <c r="D768" s="193"/>
      <c r="E768" s="193"/>
      <c r="F768" s="193"/>
      <c r="G768" s="193"/>
    </row>
    <row r="769" spans="1:7" x14ac:dyDescent="0.3">
      <c r="A769" s="194"/>
      <c r="B769" s="171"/>
      <c r="C769" s="193"/>
      <c r="D769" s="193"/>
      <c r="E769" s="193"/>
      <c r="F769" s="193"/>
      <c r="G769" s="193"/>
    </row>
    <row r="770" spans="1:7" x14ac:dyDescent="0.3">
      <c r="A770" s="194"/>
      <c r="B770" s="171"/>
      <c r="C770" s="172"/>
      <c r="D770" s="193"/>
      <c r="E770" s="193"/>
      <c r="F770" s="193"/>
      <c r="G770" s="193"/>
    </row>
    <row r="771" spans="1:7" x14ac:dyDescent="0.3">
      <c r="A771" s="176"/>
      <c r="B771" s="171"/>
      <c r="C771" s="193"/>
      <c r="D771" s="193"/>
      <c r="E771" s="193"/>
      <c r="F771" s="193"/>
      <c r="G771" s="193"/>
    </row>
    <row r="772" spans="1:7" x14ac:dyDescent="0.3">
      <c r="A772" s="176"/>
      <c r="B772" s="171"/>
      <c r="C772" s="195"/>
      <c r="D772" s="195"/>
      <c r="E772" s="195"/>
      <c r="F772" s="195"/>
      <c r="G772" s="195"/>
    </row>
    <row r="773" spans="1:7" x14ac:dyDescent="0.3">
      <c r="A773" s="171"/>
      <c r="B773" s="173"/>
      <c r="C773" s="195"/>
      <c r="D773" s="195"/>
      <c r="E773" s="195"/>
      <c r="F773" s="195"/>
      <c r="G773" s="195"/>
    </row>
    <row r="774" spans="1:7" x14ac:dyDescent="0.3">
      <c r="A774" s="171"/>
      <c r="B774" s="193"/>
      <c r="C774" s="193"/>
      <c r="D774" s="193"/>
      <c r="E774" s="193"/>
      <c r="F774" s="193"/>
      <c r="G774" s="193"/>
    </row>
    <row r="775" spans="1:7" x14ac:dyDescent="0.3">
      <c r="A775" s="195"/>
      <c r="B775" s="195"/>
      <c r="C775" s="173"/>
      <c r="D775" s="172"/>
      <c r="E775" s="193"/>
      <c r="F775" s="193"/>
      <c r="G775" s="193"/>
    </row>
    <row r="776" spans="1:7" x14ac:dyDescent="0.3">
      <c r="A776" s="195"/>
      <c r="B776" s="195"/>
      <c r="E776" s="193"/>
      <c r="F776" s="193"/>
      <c r="G776" s="193"/>
    </row>
    <row r="777" spans="1:7" x14ac:dyDescent="0.3">
      <c r="A777" s="193"/>
      <c r="B777" s="193"/>
      <c r="G777" s="193"/>
    </row>
    <row r="778" spans="1:7" x14ac:dyDescent="0.3">
      <c r="C778" s="176"/>
      <c r="D778" s="196"/>
      <c r="E778" s="176"/>
      <c r="F778" s="176"/>
      <c r="G778" s="193"/>
    </row>
    <row r="779" spans="1:7" x14ac:dyDescent="0.3">
      <c r="A779" s="193"/>
      <c r="C779" s="171"/>
      <c r="D779" s="171"/>
      <c r="E779" s="171"/>
      <c r="F779" s="171"/>
      <c r="G779" s="193"/>
    </row>
    <row r="780" spans="1:7" x14ac:dyDescent="0.3">
      <c r="C780" s="171"/>
      <c r="D780" s="171"/>
      <c r="E780" s="171"/>
      <c r="F780" s="171"/>
      <c r="G780" s="193"/>
    </row>
    <row r="781" spans="1:7" x14ac:dyDescent="0.3">
      <c r="A781" s="176"/>
      <c r="B781" s="176"/>
      <c r="C781" s="171"/>
      <c r="D781" s="171"/>
      <c r="E781" s="171"/>
      <c r="F781" s="171"/>
      <c r="G781" s="193"/>
    </row>
    <row r="782" spans="1:7" x14ac:dyDescent="0.3">
      <c r="A782" s="171"/>
      <c r="B782" s="171"/>
      <c r="C782" s="171"/>
      <c r="D782" s="171"/>
      <c r="E782" s="171"/>
      <c r="F782" s="171"/>
      <c r="G782" s="193"/>
    </row>
    <row r="783" spans="1:7" x14ac:dyDescent="0.3">
      <c r="A783" s="171"/>
      <c r="B783" s="171"/>
      <c r="C783" s="171"/>
      <c r="D783" s="171"/>
      <c r="E783" s="171"/>
      <c r="F783" s="171"/>
      <c r="G783" s="193"/>
    </row>
    <row r="784" spans="1:7" x14ac:dyDescent="0.3">
      <c r="A784" s="171"/>
      <c r="B784" s="171"/>
      <c r="C784" s="171"/>
      <c r="D784" s="171"/>
      <c r="E784" s="171"/>
      <c r="F784" s="171"/>
      <c r="G784" s="193"/>
    </row>
    <row r="785" spans="1:7" x14ac:dyDescent="0.3">
      <c r="A785" s="171"/>
      <c r="B785" s="171"/>
      <c r="C785" s="171"/>
      <c r="D785" s="171"/>
      <c r="E785" s="171"/>
      <c r="F785" s="171"/>
      <c r="G785" s="193"/>
    </row>
    <row r="786" spans="1:7" x14ac:dyDescent="0.3">
      <c r="A786" s="171"/>
      <c r="B786" s="171"/>
      <c r="C786" s="171"/>
      <c r="D786" s="171"/>
      <c r="E786" s="171"/>
      <c r="F786" s="171"/>
      <c r="G786" s="193"/>
    </row>
    <row r="787" spans="1:7" x14ac:dyDescent="0.3">
      <c r="A787" s="171"/>
      <c r="B787" s="171"/>
      <c r="C787" s="171"/>
      <c r="D787" s="171"/>
      <c r="E787" s="171"/>
      <c r="F787" s="171"/>
      <c r="G787" s="193"/>
    </row>
    <row r="788" spans="1:7" x14ac:dyDescent="0.3">
      <c r="A788" s="171"/>
      <c r="B788" s="171"/>
      <c r="C788" s="171"/>
      <c r="D788" s="171"/>
      <c r="E788" s="171"/>
      <c r="F788" s="171"/>
      <c r="G788" s="193"/>
    </row>
    <row r="789" spans="1:7" x14ac:dyDescent="0.3">
      <c r="A789" s="171"/>
      <c r="B789" s="171"/>
      <c r="C789" s="171"/>
      <c r="D789" s="171"/>
      <c r="E789" s="171"/>
      <c r="F789" s="171"/>
      <c r="G789" s="193"/>
    </row>
    <row r="790" spans="1:7" x14ac:dyDescent="0.3">
      <c r="A790" s="171"/>
      <c r="B790" s="171"/>
      <c r="C790" s="171"/>
      <c r="D790" s="171"/>
      <c r="E790" s="171"/>
      <c r="F790" s="171"/>
      <c r="G790" s="193"/>
    </row>
    <row r="791" spans="1:7" x14ac:dyDescent="0.3">
      <c r="A791" s="171"/>
      <c r="B791" s="171"/>
      <c r="C791" s="171"/>
      <c r="D791" s="171"/>
      <c r="E791" s="171"/>
      <c r="F791" s="171"/>
      <c r="G791" s="193"/>
    </row>
    <row r="792" spans="1:7" x14ac:dyDescent="0.3">
      <c r="A792" s="171"/>
      <c r="B792" s="171"/>
      <c r="C792" s="171"/>
      <c r="D792" s="171"/>
      <c r="E792" s="171"/>
      <c r="F792" s="171"/>
      <c r="G792" s="193"/>
    </row>
    <row r="793" spans="1:7" x14ac:dyDescent="0.3">
      <c r="A793" s="171"/>
      <c r="B793" s="171"/>
      <c r="C793" s="171"/>
      <c r="D793" s="171"/>
      <c r="E793" s="171"/>
      <c r="F793" s="171"/>
      <c r="G793" s="193"/>
    </row>
    <row r="794" spans="1:7" x14ac:dyDescent="0.3">
      <c r="A794" s="171"/>
      <c r="B794" s="171"/>
      <c r="C794" s="193"/>
      <c r="D794" s="193"/>
      <c r="E794" s="197"/>
      <c r="F794" s="197"/>
      <c r="G794" s="198"/>
    </row>
    <row r="795" spans="1:7" x14ac:dyDescent="0.3">
      <c r="A795" s="171"/>
      <c r="B795" s="171"/>
      <c r="C795" s="193"/>
      <c r="D795" s="193"/>
      <c r="E795" s="193"/>
      <c r="F795" s="193"/>
      <c r="G795" s="193"/>
    </row>
    <row r="796" spans="1:7" x14ac:dyDescent="0.3">
      <c r="A796" s="171"/>
      <c r="B796" s="171"/>
      <c r="C796" s="171"/>
      <c r="D796" s="175"/>
      <c r="E796" s="173"/>
      <c r="F796" s="173"/>
      <c r="G796" s="172"/>
    </row>
    <row r="797" spans="1:7" x14ac:dyDescent="0.3">
      <c r="A797" s="193"/>
      <c r="B797" s="193"/>
      <c r="C797" s="173"/>
      <c r="D797" s="172"/>
      <c r="E797" s="193"/>
      <c r="F797" s="193"/>
      <c r="G797" s="193"/>
    </row>
    <row r="798" spans="1:7" x14ac:dyDescent="0.3">
      <c r="A798" s="193"/>
      <c r="B798" s="193"/>
      <c r="C798" s="173"/>
      <c r="D798" s="172"/>
      <c r="E798" s="193"/>
      <c r="F798" s="193"/>
      <c r="G798" s="193"/>
    </row>
    <row r="799" spans="1:7" x14ac:dyDescent="0.3">
      <c r="A799" s="171"/>
      <c r="B799" s="176"/>
      <c r="C799" s="192"/>
      <c r="D799" s="192"/>
      <c r="E799" s="192"/>
      <c r="F799" s="192"/>
      <c r="G799" s="192"/>
    </row>
    <row r="800" spans="1:7" x14ac:dyDescent="0.3">
      <c r="A800" s="176"/>
      <c r="B800" s="176"/>
      <c r="C800" s="192"/>
      <c r="D800" s="192"/>
      <c r="E800" s="192"/>
      <c r="F800" s="192"/>
      <c r="G800" s="192"/>
    </row>
    <row r="801" spans="1:7" x14ac:dyDescent="0.3">
      <c r="A801" s="176"/>
      <c r="B801" s="176"/>
      <c r="C801" s="176"/>
      <c r="D801" s="192"/>
      <c r="E801" s="192"/>
      <c r="F801" s="192"/>
      <c r="G801" s="192"/>
    </row>
    <row r="802" spans="1:7" x14ac:dyDescent="0.3">
      <c r="A802" s="192"/>
      <c r="B802" s="192"/>
      <c r="C802" s="171"/>
      <c r="D802" s="192"/>
      <c r="E802" s="192"/>
      <c r="F802" s="192"/>
      <c r="G802" s="192"/>
    </row>
    <row r="803" spans="1:7" x14ac:dyDescent="0.3">
      <c r="A803" s="192"/>
      <c r="B803" s="192"/>
      <c r="C803" s="171"/>
      <c r="D803" s="192"/>
      <c r="E803" s="192"/>
      <c r="F803" s="192"/>
      <c r="G803" s="192"/>
    </row>
    <row r="804" spans="1:7" x14ac:dyDescent="0.3">
      <c r="A804" s="176"/>
      <c r="B804" s="176"/>
      <c r="C804" s="171"/>
      <c r="D804" s="192"/>
      <c r="E804" s="192"/>
      <c r="F804" s="192"/>
      <c r="G804" s="192"/>
    </row>
    <row r="805" spans="1:7" x14ac:dyDescent="0.3">
      <c r="A805" s="171"/>
      <c r="B805" s="171"/>
      <c r="C805" s="171"/>
      <c r="D805" s="192"/>
      <c r="E805" s="192"/>
      <c r="F805" s="192"/>
      <c r="G805" s="192"/>
    </row>
    <row r="806" spans="1:7" x14ac:dyDescent="0.3">
      <c r="A806" s="171"/>
      <c r="B806" s="171"/>
      <c r="C806" s="171"/>
      <c r="D806" s="192"/>
      <c r="E806" s="192"/>
      <c r="F806" s="192"/>
      <c r="G806" s="192"/>
    </row>
    <row r="807" spans="1:7" x14ac:dyDescent="0.3">
      <c r="A807" s="171"/>
      <c r="B807" s="171"/>
      <c r="C807" s="171"/>
      <c r="D807" s="192"/>
      <c r="E807" s="192"/>
      <c r="F807" s="192"/>
      <c r="G807" s="192"/>
    </row>
    <row r="808" spans="1:7" x14ac:dyDescent="0.3">
      <c r="A808" s="171"/>
      <c r="B808" s="171"/>
      <c r="C808" s="173"/>
      <c r="D808" s="172"/>
      <c r="E808" s="192"/>
      <c r="F808" s="192"/>
      <c r="G808" s="192"/>
    </row>
    <row r="809" spans="1:7" x14ac:dyDescent="0.3">
      <c r="A809" s="171"/>
      <c r="B809" s="171"/>
      <c r="C809" s="171"/>
      <c r="D809" s="193"/>
      <c r="E809" s="193"/>
      <c r="F809" s="193"/>
      <c r="G809" s="193"/>
    </row>
    <row r="810" spans="1:7" x14ac:dyDescent="0.3">
      <c r="A810" s="171"/>
      <c r="B810" s="171"/>
      <c r="C810" s="192"/>
      <c r="D810" s="192"/>
      <c r="E810" s="192"/>
      <c r="F810" s="192"/>
      <c r="G810" s="193"/>
    </row>
    <row r="811" spans="1:7" x14ac:dyDescent="0.3">
      <c r="A811" s="192"/>
      <c r="B811" s="171"/>
      <c r="C811" s="195"/>
      <c r="D811" s="195"/>
      <c r="E811" s="195"/>
      <c r="F811" s="195"/>
      <c r="G811" s="195"/>
    </row>
    <row r="812" spans="1:7" x14ac:dyDescent="0.3">
      <c r="A812" s="193"/>
      <c r="B812" s="171"/>
      <c r="C812" s="195"/>
      <c r="D812" s="195"/>
      <c r="E812" s="195"/>
      <c r="F812" s="195"/>
      <c r="G812" s="195"/>
    </row>
    <row r="813" spans="1:7" x14ac:dyDescent="0.3">
      <c r="A813" s="192"/>
      <c r="B813" s="192"/>
      <c r="C813" s="193"/>
      <c r="D813" s="193"/>
      <c r="E813" s="193"/>
      <c r="F813" s="193"/>
      <c r="G813" s="193"/>
    </row>
    <row r="814" spans="1:7" x14ac:dyDescent="0.3">
      <c r="A814" s="195"/>
      <c r="B814" s="195"/>
      <c r="C814" s="176"/>
      <c r="D814" s="176"/>
      <c r="E814" s="176"/>
      <c r="F814" s="176"/>
      <c r="G814" s="193"/>
    </row>
    <row r="815" spans="1:7" x14ac:dyDescent="0.3">
      <c r="A815" s="195"/>
      <c r="B815" s="195"/>
      <c r="C815" s="171"/>
      <c r="D815" s="171"/>
      <c r="E815" s="171"/>
      <c r="F815" s="171"/>
      <c r="G815" s="193"/>
    </row>
    <row r="816" spans="1:7" x14ac:dyDescent="0.3">
      <c r="A816" s="176"/>
      <c r="B816" s="176"/>
      <c r="C816" s="171"/>
      <c r="D816" s="171"/>
      <c r="E816" s="171"/>
      <c r="F816" s="171"/>
      <c r="G816" s="193"/>
    </row>
    <row r="817" spans="1:7" x14ac:dyDescent="0.3">
      <c r="A817" s="176"/>
      <c r="B817" s="196"/>
      <c r="C817" s="171"/>
      <c r="D817" s="171"/>
      <c r="E817" s="171"/>
      <c r="F817" s="171"/>
      <c r="G817" s="193"/>
    </row>
    <row r="818" spans="1:7" x14ac:dyDescent="0.3">
      <c r="A818" s="171"/>
      <c r="B818" s="171"/>
      <c r="C818" s="171"/>
      <c r="D818" s="171"/>
      <c r="E818" s="171"/>
      <c r="F818" s="171"/>
      <c r="G818" s="193"/>
    </row>
    <row r="819" spans="1:7" x14ac:dyDescent="0.3">
      <c r="A819" s="171"/>
      <c r="B819" s="171"/>
      <c r="C819" s="171"/>
      <c r="D819" s="171"/>
      <c r="E819" s="171"/>
      <c r="F819" s="171"/>
      <c r="G819" s="193"/>
    </row>
    <row r="820" spans="1:7" x14ac:dyDescent="0.3">
      <c r="A820" s="171"/>
      <c r="B820" s="171"/>
      <c r="C820" s="171"/>
      <c r="D820" s="171"/>
      <c r="E820" s="171"/>
      <c r="F820" s="171"/>
      <c r="G820" s="193"/>
    </row>
    <row r="821" spans="1:7" x14ac:dyDescent="0.3">
      <c r="A821" s="171"/>
      <c r="B821" s="171"/>
      <c r="C821" s="171"/>
      <c r="D821" s="171"/>
      <c r="E821" s="171"/>
      <c r="F821" s="171"/>
      <c r="G821" s="193"/>
    </row>
    <row r="822" spans="1:7" x14ac:dyDescent="0.3">
      <c r="A822" s="171"/>
      <c r="B822" s="171"/>
      <c r="C822" s="171"/>
      <c r="D822" s="171"/>
      <c r="E822" s="171"/>
      <c r="F822" s="171"/>
      <c r="G822" s="193"/>
    </row>
    <row r="823" spans="1:7" x14ac:dyDescent="0.3">
      <c r="A823" s="171"/>
      <c r="B823" s="171"/>
      <c r="C823" s="171"/>
      <c r="D823" s="171"/>
      <c r="E823" s="171"/>
      <c r="F823" s="171"/>
      <c r="G823" s="193"/>
    </row>
    <row r="824" spans="1:7" x14ac:dyDescent="0.3">
      <c r="A824" s="171"/>
      <c r="B824" s="171"/>
      <c r="C824" s="171"/>
      <c r="D824" s="171"/>
      <c r="E824" s="171"/>
      <c r="F824" s="171"/>
      <c r="G824" s="193"/>
    </row>
    <row r="825" spans="1:7" x14ac:dyDescent="0.3">
      <c r="A825" s="171"/>
      <c r="B825" s="171"/>
      <c r="C825" s="171"/>
      <c r="D825" s="171"/>
      <c r="E825" s="171"/>
      <c r="F825" s="171"/>
      <c r="G825" s="193"/>
    </row>
    <row r="826" spans="1:7" x14ac:dyDescent="0.3">
      <c r="A826" s="171"/>
      <c r="B826" s="171"/>
      <c r="C826" s="171"/>
      <c r="D826" s="171"/>
      <c r="E826" s="171"/>
      <c r="F826" s="171"/>
      <c r="G826" s="193"/>
    </row>
    <row r="827" spans="1:7" x14ac:dyDescent="0.3">
      <c r="A827" s="171"/>
      <c r="B827" s="171"/>
      <c r="C827" s="171"/>
      <c r="D827" s="171"/>
      <c r="E827" s="171"/>
      <c r="F827" s="171"/>
      <c r="G827" s="193"/>
    </row>
    <row r="828" spans="1:7" x14ac:dyDescent="0.3">
      <c r="A828" s="171"/>
      <c r="B828" s="171"/>
      <c r="C828" s="171"/>
      <c r="D828" s="171"/>
      <c r="E828" s="171"/>
      <c r="F828" s="171"/>
      <c r="G828" s="193"/>
    </row>
    <row r="829" spans="1:7" x14ac:dyDescent="0.3">
      <c r="A829" s="171"/>
      <c r="B829" s="171"/>
      <c r="C829" s="171"/>
      <c r="D829" s="171"/>
      <c r="E829" s="171"/>
      <c r="F829" s="171"/>
      <c r="G829" s="193"/>
    </row>
    <row r="830" spans="1:7" x14ac:dyDescent="0.3">
      <c r="A830" s="171"/>
      <c r="B830" s="171"/>
      <c r="C830" s="171"/>
      <c r="D830" s="171"/>
      <c r="E830" s="171"/>
      <c r="F830" s="171"/>
      <c r="G830" s="193"/>
    </row>
    <row r="831" spans="1:7" x14ac:dyDescent="0.3">
      <c r="A831" s="171"/>
      <c r="B831" s="171"/>
      <c r="C831" s="171"/>
      <c r="D831" s="171"/>
      <c r="E831" s="171"/>
      <c r="F831" s="171"/>
      <c r="G831" s="193"/>
    </row>
    <row r="832" spans="1:7" x14ac:dyDescent="0.3">
      <c r="A832" s="171"/>
      <c r="B832" s="171"/>
      <c r="C832" s="171"/>
      <c r="D832" s="171"/>
      <c r="E832" s="171"/>
      <c r="F832" s="171"/>
      <c r="G832" s="193"/>
    </row>
    <row r="833" spans="1:7" x14ac:dyDescent="0.3">
      <c r="A833" s="171"/>
      <c r="B833" s="171"/>
      <c r="C833" s="193"/>
      <c r="D833" s="193"/>
      <c r="E833" s="173"/>
      <c r="F833" s="173"/>
      <c r="G833" s="172"/>
    </row>
    <row r="834" spans="1:7" x14ac:dyDescent="0.3">
      <c r="A834" s="171"/>
      <c r="B834" s="171"/>
      <c r="C834" s="193"/>
      <c r="D834" s="193"/>
      <c r="E834" s="193"/>
      <c r="F834" s="193"/>
      <c r="G834" s="193"/>
    </row>
    <row r="835" spans="1:7" x14ac:dyDescent="0.3">
      <c r="A835" s="171"/>
      <c r="B835" s="171"/>
      <c r="C835" s="195"/>
      <c r="D835" s="195"/>
      <c r="E835" s="195"/>
      <c r="F835" s="195"/>
      <c r="G835" s="195"/>
    </row>
    <row r="836" spans="1:7" x14ac:dyDescent="0.3">
      <c r="A836" s="176"/>
      <c r="B836" s="176"/>
      <c r="C836" s="195"/>
      <c r="D836" s="195"/>
      <c r="E836" s="195"/>
      <c r="F836" s="195"/>
      <c r="G836" s="195"/>
    </row>
    <row r="837" spans="1:7" x14ac:dyDescent="0.3">
      <c r="A837" s="176"/>
      <c r="B837" s="176"/>
      <c r="C837" s="193"/>
      <c r="D837" s="193"/>
      <c r="E837" s="193"/>
      <c r="F837" s="193"/>
      <c r="G837" s="193"/>
    </row>
    <row r="838" spans="1:7" x14ac:dyDescent="0.3">
      <c r="A838" s="195"/>
      <c r="B838" s="195"/>
      <c r="C838" s="171"/>
      <c r="D838" s="171"/>
      <c r="E838" s="171"/>
      <c r="F838" s="171"/>
      <c r="G838" s="193"/>
    </row>
    <row r="839" spans="1:7" x14ac:dyDescent="0.3">
      <c r="A839" s="195"/>
      <c r="B839" s="195"/>
      <c r="C839" s="171"/>
      <c r="D839" s="171"/>
      <c r="E839" s="171"/>
      <c r="F839" s="171"/>
      <c r="G839" s="193"/>
    </row>
    <row r="840" spans="1:7" x14ac:dyDescent="0.3">
      <c r="A840" s="193"/>
      <c r="B840" s="193"/>
      <c r="C840" s="171"/>
      <c r="D840" s="171"/>
      <c r="E840" s="171"/>
      <c r="F840" s="171"/>
      <c r="G840" s="193"/>
    </row>
    <row r="841" spans="1:7" x14ac:dyDescent="0.3">
      <c r="A841" s="171"/>
      <c r="B841" s="171"/>
      <c r="C841" s="171"/>
      <c r="D841" s="171"/>
      <c r="E841" s="171"/>
      <c r="F841" s="171"/>
      <c r="G841" s="193"/>
    </row>
    <row r="842" spans="1:7" x14ac:dyDescent="0.3">
      <c r="A842" s="171"/>
      <c r="B842" s="171"/>
      <c r="C842" s="171"/>
      <c r="D842" s="171"/>
      <c r="E842" s="171"/>
      <c r="F842" s="171"/>
      <c r="G842" s="193"/>
    </row>
    <row r="843" spans="1:7" x14ac:dyDescent="0.3">
      <c r="A843" s="171"/>
      <c r="B843" s="171"/>
      <c r="C843" s="193"/>
      <c r="D843" s="193"/>
      <c r="E843" s="173"/>
      <c r="F843" s="173"/>
      <c r="G843" s="172"/>
    </row>
    <row r="844" spans="1:7" x14ac:dyDescent="0.3">
      <c r="A844" s="171"/>
      <c r="B844" s="171"/>
      <c r="C844" s="193"/>
      <c r="D844" s="193"/>
      <c r="E844" s="193"/>
      <c r="F844" s="193"/>
      <c r="G844" s="193"/>
    </row>
    <row r="845" spans="1:7" x14ac:dyDescent="0.3">
      <c r="A845" s="171"/>
      <c r="B845" s="171"/>
      <c r="C845" s="192"/>
      <c r="D845" s="192"/>
      <c r="E845" s="192"/>
      <c r="F845" s="192"/>
      <c r="G845" s="192"/>
    </row>
    <row r="846" spans="1:7" x14ac:dyDescent="0.3">
      <c r="A846" s="176"/>
      <c r="B846" s="176"/>
      <c r="C846" s="192"/>
      <c r="D846" s="192"/>
      <c r="E846" s="192"/>
      <c r="F846" s="192"/>
      <c r="G846" s="192"/>
    </row>
    <row r="847" spans="1:7" x14ac:dyDescent="0.3">
      <c r="A847" s="176"/>
      <c r="B847" s="176"/>
      <c r="C847" s="176"/>
      <c r="D847" s="176"/>
      <c r="E847" s="192"/>
      <c r="F847" s="192"/>
      <c r="G847" s="192"/>
    </row>
    <row r="848" spans="1:7" x14ac:dyDescent="0.3">
      <c r="A848" s="192"/>
      <c r="B848" s="192"/>
      <c r="C848" s="171"/>
      <c r="D848" s="171"/>
      <c r="E848" s="192"/>
      <c r="F848" s="192"/>
      <c r="G848" s="192"/>
    </row>
    <row r="849" spans="1:7" x14ac:dyDescent="0.3">
      <c r="A849" s="192"/>
      <c r="B849" s="192"/>
      <c r="C849" s="171"/>
      <c r="D849" s="171"/>
      <c r="E849" s="192"/>
      <c r="F849" s="192"/>
      <c r="G849" s="192"/>
    </row>
    <row r="850" spans="1:7" x14ac:dyDescent="0.3">
      <c r="A850" s="176"/>
      <c r="B850" s="176"/>
      <c r="C850" s="171"/>
      <c r="D850" s="171"/>
      <c r="E850" s="192"/>
      <c r="F850" s="192"/>
      <c r="G850" s="192"/>
    </row>
    <row r="851" spans="1:7" x14ac:dyDescent="0.3">
      <c r="A851" s="194"/>
      <c r="B851" s="171"/>
      <c r="C851" s="171"/>
      <c r="D851" s="171"/>
      <c r="E851" s="192"/>
      <c r="F851" s="192"/>
      <c r="G851" s="192"/>
    </row>
    <row r="852" spans="1:7" x14ac:dyDescent="0.3">
      <c r="A852" s="194"/>
      <c r="B852" s="171"/>
      <c r="C852" s="171"/>
      <c r="D852" s="171"/>
      <c r="E852" s="192"/>
      <c r="F852" s="192"/>
      <c r="G852" s="192"/>
    </row>
    <row r="853" spans="1:7" x14ac:dyDescent="0.3">
      <c r="A853" s="176"/>
      <c r="B853" s="171"/>
      <c r="C853" s="171"/>
      <c r="D853" s="171"/>
      <c r="E853" s="192"/>
      <c r="F853" s="192"/>
      <c r="G853" s="192"/>
    </row>
    <row r="854" spans="1:7" x14ac:dyDescent="0.3">
      <c r="A854" s="176"/>
      <c r="B854" s="171"/>
      <c r="C854" s="171"/>
      <c r="D854" s="171"/>
      <c r="E854" s="192"/>
      <c r="F854" s="192"/>
      <c r="G854" s="192"/>
    </row>
    <row r="855" spans="1:7" x14ac:dyDescent="0.3">
      <c r="A855" s="176"/>
      <c r="B855" s="171"/>
      <c r="C855" s="171"/>
      <c r="D855" s="171"/>
      <c r="E855" s="192"/>
      <c r="F855" s="192"/>
      <c r="G855" s="192"/>
    </row>
    <row r="856" spans="1:7" x14ac:dyDescent="0.3">
      <c r="A856" s="176"/>
      <c r="B856" s="171"/>
      <c r="C856" s="171"/>
      <c r="D856" s="171"/>
      <c r="E856" s="192"/>
      <c r="F856" s="192"/>
      <c r="G856" s="192"/>
    </row>
    <row r="857" spans="1:7" x14ac:dyDescent="0.3">
      <c r="A857" s="176"/>
      <c r="B857" s="171"/>
      <c r="C857" s="171"/>
      <c r="D857" s="171"/>
      <c r="E857" s="192"/>
      <c r="F857" s="192"/>
      <c r="G857" s="192"/>
    </row>
    <row r="858" spans="1:7" x14ac:dyDescent="0.3">
      <c r="A858" s="194"/>
      <c r="B858" s="171"/>
      <c r="C858" s="171"/>
      <c r="D858" s="171"/>
      <c r="E858" s="192"/>
      <c r="F858" s="192"/>
      <c r="G858" s="192"/>
    </row>
    <row r="859" spans="1:7" x14ac:dyDescent="0.3">
      <c r="A859" s="194"/>
      <c r="B859" s="171"/>
      <c r="C859" s="192"/>
      <c r="D859" s="173"/>
      <c r="E859" s="172"/>
      <c r="F859" s="172"/>
      <c r="G859" s="192"/>
    </row>
    <row r="860" spans="1:7" x14ac:dyDescent="0.3">
      <c r="A860" s="176"/>
      <c r="B860" s="171"/>
      <c r="C860" s="192"/>
      <c r="D860" s="192"/>
      <c r="E860" s="192"/>
      <c r="F860" s="192"/>
      <c r="G860" s="192"/>
    </row>
    <row r="861" spans="1:7" x14ac:dyDescent="0.3">
      <c r="A861" s="176"/>
      <c r="B861" s="171"/>
      <c r="C861" s="192"/>
      <c r="D861" s="192"/>
      <c r="E861" s="192"/>
      <c r="F861" s="192"/>
      <c r="G861" s="193"/>
    </row>
    <row r="862" spans="1:7" x14ac:dyDescent="0.3">
      <c r="A862" s="192"/>
      <c r="B862" s="171"/>
      <c r="C862" s="192"/>
      <c r="D862" s="192"/>
      <c r="E862" s="192"/>
      <c r="F862" s="192"/>
      <c r="G862" s="192"/>
    </row>
    <row r="863" spans="1:7" x14ac:dyDescent="0.3">
      <c r="A863" s="192"/>
      <c r="B863" s="192"/>
      <c r="C863" s="192"/>
      <c r="D863" s="192"/>
      <c r="E863" s="192"/>
      <c r="F863" s="192"/>
      <c r="G863" s="192"/>
    </row>
    <row r="864" spans="1:7" x14ac:dyDescent="0.3">
      <c r="A864" s="192"/>
      <c r="B864" s="192"/>
      <c r="C864" s="192"/>
      <c r="D864" s="192"/>
      <c r="E864" s="192"/>
      <c r="F864" s="192"/>
      <c r="G864" s="192"/>
    </row>
    <row r="865" spans="1:7" x14ac:dyDescent="0.3">
      <c r="A865" s="192"/>
      <c r="B865" s="192"/>
      <c r="C865" s="192"/>
      <c r="D865" s="192"/>
      <c r="E865" s="192"/>
      <c r="F865" s="192"/>
      <c r="G865" s="192"/>
    </row>
    <row r="866" spans="1:7" x14ac:dyDescent="0.3">
      <c r="A866" s="192"/>
      <c r="B866" s="192"/>
      <c r="C866" s="192"/>
      <c r="D866" s="192"/>
      <c r="E866" s="192"/>
      <c r="F866" s="192"/>
      <c r="G866" s="192"/>
    </row>
    <row r="867" spans="1:7" x14ac:dyDescent="0.3">
      <c r="A867" s="176"/>
      <c r="B867" s="176"/>
      <c r="C867" s="192"/>
      <c r="D867" s="192"/>
      <c r="E867" s="192"/>
      <c r="F867" s="192"/>
      <c r="G867" s="192"/>
    </row>
    <row r="868" spans="1:7" x14ac:dyDescent="0.3">
      <c r="A868" s="194"/>
      <c r="B868" s="171"/>
      <c r="C868" s="192"/>
      <c r="D868" s="192"/>
      <c r="E868" s="192"/>
      <c r="F868" s="192"/>
      <c r="G868" s="192"/>
    </row>
    <row r="869" spans="1:7" x14ac:dyDescent="0.3">
      <c r="A869" s="194"/>
      <c r="B869" s="171"/>
      <c r="C869" s="172"/>
      <c r="D869" s="192"/>
      <c r="E869" s="192"/>
      <c r="F869" s="192"/>
      <c r="G869" s="192"/>
    </row>
    <row r="870" spans="1:7" x14ac:dyDescent="0.3">
      <c r="A870" s="194"/>
      <c r="B870" s="171"/>
      <c r="C870" s="192"/>
      <c r="D870" s="192"/>
      <c r="E870" s="192"/>
      <c r="F870" s="192"/>
      <c r="G870" s="192"/>
    </row>
    <row r="871" spans="1:7" x14ac:dyDescent="0.3">
      <c r="A871" s="194"/>
      <c r="B871" s="171"/>
      <c r="C871" s="192"/>
      <c r="D871" s="192"/>
      <c r="E871" s="192"/>
      <c r="F871" s="192"/>
      <c r="G871" s="192"/>
    </row>
    <row r="872" spans="1:7" x14ac:dyDescent="0.3">
      <c r="A872" s="192"/>
      <c r="B872" s="173"/>
      <c r="C872" s="192"/>
      <c r="D872" s="192"/>
      <c r="E872" s="192"/>
      <c r="F872" s="192"/>
      <c r="G872" s="192"/>
    </row>
    <row r="873" spans="1:7" x14ac:dyDescent="0.3">
      <c r="A873" s="192"/>
      <c r="B873" s="192"/>
      <c r="C873" s="192"/>
      <c r="D873" s="192"/>
      <c r="E873" s="192"/>
      <c r="F873" s="192"/>
      <c r="G873" s="192"/>
    </row>
    <row r="874" spans="1:7" x14ac:dyDescent="0.3">
      <c r="A874" s="192"/>
      <c r="B874" s="192"/>
      <c r="C874" s="192"/>
      <c r="D874" s="192"/>
      <c r="E874" s="192"/>
      <c r="F874" s="192"/>
      <c r="G874" s="192"/>
    </row>
    <row r="875" spans="1:7" x14ac:dyDescent="0.3">
      <c r="A875" s="192"/>
      <c r="B875" s="192"/>
      <c r="C875" s="192"/>
      <c r="D875" s="192"/>
      <c r="E875" s="192"/>
      <c r="F875" s="192"/>
      <c r="G875" s="192"/>
    </row>
    <row r="876" spans="1:7" x14ac:dyDescent="0.3">
      <c r="A876" s="176"/>
      <c r="B876" s="176"/>
      <c r="C876" s="192"/>
      <c r="D876" s="192"/>
      <c r="E876" s="192"/>
      <c r="F876" s="192"/>
      <c r="G876" s="192"/>
    </row>
    <row r="877" spans="1:7" x14ac:dyDescent="0.3">
      <c r="A877" s="194"/>
      <c r="B877" s="171"/>
      <c r="C877" s="192"/>
      <c r="D877" s="192"/>
      <c r="E877" s="192"/>
      <c r="F877" s="192"/>
      <c r="G877" s="192"/>
    </row>
    <row r="878" spans="1:7" x14ac:dyDescent="0.3">
      <c r="A878" s="194"/>
      <c r="B878" s="171"/>
      <c r="C878" s="172"/>
      <c r="D878" s="192"/>
      <c r="E878" s="192"/>
      <c r="F878" s="192"/>
      <c r="G878" s="192"/>
    </row>
    <row r="879" spans="1:7" x14ac:dyDescent="0.3">
      <c r="A879" s="194"/>
      <c r="B879" s="171"/>
      <c r="C879" s="192"/>
      <c r="D879" s="192"/>
      <c r="E879" s="192"/>
      <c r="F879" s="192"/>
      <c r="G879" s="192"/>
    </row>
    <row r="880" spans="1:7" x14ac:dyDescent="0.3">
      <c r="A880" s="194"/>
      <c r="B880" s="171"/>
      <c r="C880" s="192"/>
      <c r="D880" s="192"/>
      <c r="E880" s="192"/>
      <c r="F880" s="192"/>
      <c r="G880" s="192"/>
    </row>
    <row r="881" spans="1:7" x14ac:dyDescent="0.3">
      <c r="A881" s="192"/>
      <c r="B881" s="173"/>
      <c r="C881" s="192"/>
      <c r="D881" s="192"/>
      <c r="E881" s="192"/>
      <c r="F881" s="192"/>
      <c r="G881" s="192"/>
    </row>
    <row r="882" spans="1:7" x14ac:dyDescent="0.3">
      <c r="A882" s="192"/>
      <c r="B882" s="192"/>
      <c r="C882" s="192"/>
      <c r="D882" s="192"/>
      <c r="E882" s="192"/>
      <c r="F882" s="192"/>
      <c r="G882" s="192"/>
    </row>
    <row r="883" spans="1:7" x14ac:dyDescent="0.3">
      <c r="A883" s="192"/>
      <c r="B883" s="192"/>
      <c r="C883" s="172"/>
      <c r="D883" s="192"/>
      <c r="E883" s="192"/>
      <c r="F883" s="192"/>
      <c r="G883" s="192"/>
    </row>
    <row r="884" spans="1:7" x14ac:dyDescent="0.3">
      <c r="A884" s="192"/>
      <c r="B884" s="192"/>
      <c r="C884" s="192"/>
      <c r="D884" s="192"/>
      <c r="E884" s="192"/>
      <c r="F884" s="192"/>
      <c r="G884" s="192"/>
    </row>
    <row r="885" spans="1:7" x14ac:dyDescent="0.3">
      <c r="A885" s="176"/>
      <c r="B885" s="176"/>
      <c r="C885" s="192"/>
      <c r="D885" s="192"/>
      <c r="E885" s="192"/>
      <c r="F885" s="192"/>
      <c r="G885" s="192"/>
    </row>
    <row r="886" spans="1:7" x14ac:dyDescent="0.3">
      <c r="A886" s="194"/>
      <c r="B886" s="173"/>
      <c r="C886" s="192"/>
      <c r="D886" s="192"/>
      <c r="E886" s="192"/>
      <c r="F886" s="192"/>
      <c r="G886" s="192"/>
    </row>
    <row r="887" spans="1:7" x14ac:dyDescent="0.3">
      <c r="A887" s="192"/>
      <c r="B887" s="192"/>
      <c r="C887" s="171"/>
      <c r="D887" s="171"/>
      <c r="E887" s="192"/>
      <c r="F887" s="192"/>
      <c r="G887" s="192"/>
    </row>
    <row r="888" spans="1:7" x14ac:dyDescent="0.3">
      <c r="A888" s="192"/>
      <c r="B888" s="192"/>
      <c r="C888" s="171"/>
      <c r="D888" s="171"/>
      <c r="E888" s="192"/>
      <c r="F888" s="192"/>
      <c r="G888" s="192"/>
    </row>
    <row r="889" spans="1:7" x14ac:dyDescent="0.3">
      <c r="A889" s="192"/>
      <c r="B889" s="192"/>
      <c r="C889" s="171"/>
      <c r="D889" s="171"/>
      <c r="E889" s="192"/>
      <c r="F889" s="192"/>
      <c r="G889" s="192"/>
    </row>
    <row r="890" spans="1:7" x14ac:dyDescent="0.3">
      <c r="A890" s="176"/>
      <c r="B890" s="171"/>
      <c r="C890" s="171"/>
      <c r="D890" s="171"/>
      <c r="E890" s="192"/>
      <c r="F890" s="192"/>
      <c r="G890" s="192"/>
    </row>
    <row r="891" spans="1:7" x14ac:dyDescent="0.3">
      <c r="A891" s="194"/>
      <c r="B891" s="171"/>
      <c r="C891" s="171"/>
      <c r="D891" s="171"/>
      <c r="E891" s="192"/>
      <c r="F891" s="192"/>
      <c r="G891" s="192"/>
    </row>
    <row r="892" spans="1:7" x14ac:dyDescent="0.3">
      <c r="A892" s="194"/>
      <c r="B892" s="171"/>
      <c r="C892" s="171"/>
      <c r="D892" s="171"/>
      <c r="E892" s="192"/>
      <c r="F892" s="192"/>
      <c r="G892" s="192"/>
    </row>
    <row r="893" spans="1:7" x14ac:dyDescent="0.3">
      <c r="A893" s="194"/>
      <c r="B893" s="171"/>
      <c r="C893" s="192"/>
      <c r="D893" s="173"/>
      <c r="E893" s="172"/>
      <c r="F893" s="172"/>
      <c r="G893" s="192"/>
    </row>
    <row r="894" spans="1:7" x14ac:dyDescent="0.3">
      <c r="A894" s="194"/>
      <c r="B894" s="171"/>
      <c r="C894" s="192"/>
      <c r="D894" s="192"/>
      <c r="E894" s="192"/>
      <c r="F894" s="192"/>
      <c r="G894" s="192"/>
    </row>
    <row r="895" spans="1:7" x14ac:dyDescent="0.3">
      <c r="A895" s="194"/>
      <c r="B895" s="171"/>
      <c r="C895" s="195"/>
      <c r="D895" s="195"/>
      <c r="E895" s="195"/>
      <c r="F895" s="195"/>
      <c r="G895" s="195"/>
    </row>
    <row r="896" spans="1:7" x14ac:dyDescent="0.3">
      <c r="A896" s="192"/>
      <c r="B896" s="192"/>
      <c r="C896" s="195"/>
      <c r="D896" s="195"/>
      <c r="E896" s="195"/>
      <c r="F896" s="195"/>
      <c r="G896" s="195"/>
    </row>
    <row r="897" spans="1:7" x14ac:dyDescent="0.3">
      <c r="A897" s="192"/>
      <c r="B897" s="192"/>
      <c r="C897" s="193"/>
      <c r="D897" s="193"/>
      <c r="E897" s="193"/>
      <c r="F897" s="193"/>
      <c r="G897" s="193"/>
    </row>
    <row r="898" spans="1:7" x14ac:dyDescent="0.3">
      <c r="A898" s="195"/>
      <c r="B898" s="195"/>
      <c r="C898" s="193"/>
      <c r="D898" s="193"/>
      <c r="E898" s="193"/>
      <c r="F898" s="193"/>
      <c r="G898" s="193"/>
    </row>
    <row r="899" spans="1:7" x14ac:dyDescent="0.3">
      <c r="A899" s="195"/>
      <c r="B899" s="195"/>
      <c r="C899" s="193"/>
      <c r="D899" s="193"/>
      <c r="E899" s="193"/>
      <c r="F899" s="193"/>
      <c r="G899" s="193"/>
    </row>
    <row r="900" spans="1:7" x14ac:dyDescent="0.3">
      <c r="A900" s="193"/>
      <c r="B900" s="193"/>
      <c r="C900" s="193"/>
      <c r="D900" s="193"/>
      <c r="E900" s="193"/>
      <c r="F900" s="193"/>
      <c r="G900" s="193"/>
    </row>
    <row r="901" spans="1:7" x14ac:dyDescent="0.3">
      <c r="A901" s="176"/>
      <c r="B901" s="176"/>
      <c r="C901" s="193"/>
      <c r="D901" s="193"/>
      <c r="E901" s="193"/>
      <c r="F901" s="193"/>
      <c r="G901" s="193"/>
    </row>
    <row r="902" spans="1:7" x14ac:dyDescent="0.3">
      <c r="A902" s="194"/>
      <c r="B902" s="171"/>
      <c r="C902" s="193"/>
      <c r="D902" s="193"/>
      <c r="E902" s="193"/>
      <c r="F902" s="193"/>
      <c r="G902" s="193"/>
    </row>
    <row r="903" spans="1:7" x14ac:dyDescent="0.3">
      <c r="A903" s="194"/>
      <c r="B903" s="171"/>
      <c r="C903" s="193"/>
      <c r="D903" s="193"/>
      <c r="E903" s="193"/>
      <c r="F903" s="193"/>
      <c r="G903" s="193"/>
    </row>
    <row r="904" spans="1:7" x14ac:dyDescent="0.3">
      <c r="A904" s="194"/>
      <c r="B904" s="171"/>
      <c r="C904" s="199"/>
      <c r="D904" s="192"/>
      <c r="E904" s="192"/>
      <c r="F904" s="192"/>
      <c r="G904" s="192"/>
    </row>
    <row r="905" spans="1:7" x14ac:dyDescent="0.3">
      <c r="A905" s="194"/>
      <c r="B905" s="171"/>
      <c r="C905" s="192"/>
      <c r="D905" s="192"/>
      <c r="E905" s="192"/>
      <c r="F905" s="192"/>
      <c r="G905" s="192"/>
    </row>
    <row r="906" spans="1:7" x14ac:dyDescent="0.3">
      <c r="A906" s="194"/>
      <c r="B906" s="171"/>
      <c r="C906" s="192"/>
      <c r="D906" s="192"/>
      <c r="E906" s="192"/>
      <c r="F906" s="192"/>
      <c r="G906" s="192"/>
    </row>
    <row r="907" spans="1:7" x14ac:dyDescent="0.3">
      <c r="A907" s="192"/>
      <c r="B907" s="200"/>
      <c r="C907" s="192"/>
      <c r="D907" s="192"/>
      <c r="E907" s="192"/>
      <c r="F907" s="192"/>
      <c r="G907" s="192"/>
    </row>
    <row r="908" spans="1:7" x14ac:dyDescent="0.3">
      <c r="A908" s="192"/>
      <c r="B908" s="192"/>
      <c r="C908" s="192"/>
      <c r="D908" s="192"/>
      <c r="E908" s="192"/>
      <c r="F908" s="192"/>
      <c r="G908" s="192"/>
    </row>
    <row r="909" spans="1:7" x14ac:dyDescent="0.3">
      <c r="A909" s="192"/>
      <c r="B909" s="192"/>
      <c r="C909" s="192"/>
      <c r="D909" s="192"/>
      <c r="E909" s="192"/>
      <c r="F909" s="192"/>
      <c r="G909" s="192"/>
    </row>
    <row r="910" spans="1:7" x14ac:dyDescent="0.3">
      <c r="A910" s="192"/>
      <c r="B910" s="192"/>
      <c r="C910" s="192"/>
      <c r="D910" s="192"/>
      <c r="E910" s="192"/>
      <c r="F910" s="192"/>
      <c r="G910" s="192"/>
    </row>
    <row r="911" spans="1:7" x14ac:dyDescent="0.3">
      <c r="A911" s="176"/>
      <c r="B911" s="171"/>
      <c r="C911" s="192"/>
      <c r="D911" s="192"/>
      <c r="E911" s="192"/>
      <c r="F911" s="192"/>
      <c r="G911" s="192"/>
    </row>
    <row r="912" spans="1:7" x14ac:dyDescent="0.3">
      <c r="A912" s="186"/>
      <c r="B912" s="171"/>
      <c r="C912" s="192"/>
      <c r="D912" s="192"/>
      <c r="E912" s="192"/>
      <c r="F912" s="192"/>
      <c r="G912" s="192"/>
    </row>
    <row r="913" spans="1:7" x14ac:dyDescent="0.3">
      <c r="A913" s="186"/>
      <c r="B913" s="171"/>
      <c r="C913" s="192"/>
      <c r="D913" s="192"/>
      <c r="E913" s="192"/>
      <c r="F913" s="192"/>
      <c r="G913" s="192"/>
    </row>
    <row r="914" spans="1:7" x14ac:dyDescent="0.3">
      <c r="A914" s="186"/>
      <c r="B914" s="171"/>
      <c r="C914" s="192"/>
      <c r="D914" s="192"/>
      <c r="E914" s="192"/>
      <c r="F914" s="192"/>
      <c r="G914" s="192"/>
    </row>
    <row r="915" spans="1:7" x14ac:dyDescent="0.3">
      <c r="A915" s="186"/>
      <c r="B915" s="171"/>
      <c r="C915" s="192"/>
      <c r="D915" s="192"/>
      <c r="E915" s="192"/>
      <c r="F915" s="192"/>
      <c r="G915" s="192"/>
    </row>
    <row r="916" spans="1:7" x14ac:dyDescent="0.3">
      <c r="A916" s="194"/>
      <c r="B916" s="171"/>
      <c r="C916" s="192"/>
      <c r="D916" s="192"/>
      <c r="E916" s="192"/>
      <c r="F916" s="192"/>
      <c r="G916" s="192"/>
    </row>
    <row r="917" spans="1:7" x14ac:dyDescent="0.3">
      <c r="A917" s="194"/>
      <c r="B917" s="171"/>
      <c r="C917" s="199"/>
      <c r="D917" s="192"/>
      <c r="E917" s="192"/>
      <c r="F917" s="192"/>
      <c r="G917" s="192"/>
    </row>
    <row r="918" spans="1:7" x14ac:dyDescent="0.3">
      <c r="A918" s="186"/>
      <c r="B918" s="171"/>
      <c r="C918" s="192"/>
      <c r="D918" s="192"/>
      <c r="E918" s="192"/>
      <c r="F918" s="192"/>
      <c r="G918" s="192"/>
    </row>
    <row r="919" spans="1:7" x14ac:dyDescent="0.3">
      <c r="A919" s="186"/>
      <c r="B919" s="171"/>
      <c r="C919" s="192"/>
      <c r="D919" s="192"/>
      <c r="E919" s="192"/>
      <c r="F919" s="192"/>
      <c r="G919" s="192"/>
    </row>
    <row r="920" spans="1:7" x14ac:dyDescent="0.3">
      <c r="A920" s="192"/>
      <c r="B920" s="200"/>
      <c r="C920" s="192"/>
      <c r="D920" s="192"/>
      <c r="E920" s="192"/>
      <c r="F920" s="192"/>
      <c r="G920" s="192"/>
    </row>
    <row r="921" spans="1:7" x14ac:dyDescent="0.3">
      <c r="A921" s="192"/>
      <c r="B921" s="192"/>
      <c r="C921" s="192"/>
      <c r="D921" s="192"/>
      <c r="E921" s="192"/>
      <c r="F921" s="192"/>
      <c r="G921" s="192"/>
    </row>
    <row r="922" spans="1:7" x14ac:dyDescent="0.3">
      <c r="A922" s="192"/>
      <c r="B922" s="192"/>
      <c r="C922" s="192"/>
      <c r="D922" s="192"/>
      <c r="E922" s="192"/>
      <c r="F922" s="192"/>
      <c r="G922" s="192"/>
    </row>
    <row r="923" spans="1:7" x14ac:dyDescent="0.3">
      <c r="A923" s="192"/>
      <c r="B923" s="192"/>
      <c r="C923" s="192"/>
      <c r="D923" s="192"/>
      <c r="E923" s="192"/>
      <c r="F923" s="192"/>
      <c r="G923" s="192"/>
    </row>
    <row r="924" spans="1:7" x14ac:dyDescent="0.3">
      <c r="A924" s="176"/>
      <c r="B924" s="171"/>
      <c r="C924" s="192"/>
      <c r="D924" s="192"/>
      <c r="E924" s="192"/>
      <c r="F924" s="192"/>
      <c r="G924" s="192"/>
    </row>
    <row r="925" spans="1:7" x14ac:dyDescent="0.3">
      <c r="A925" s="186"/>
      <c r="B925" s="171"/>
      <c r="C925" s="192"/>
      <c r="D925" s="192"/>
      <c r="E925" s="192"/>
      <c r="F925" s="192"/>
      <c r="G925" s="192"/>
    </row>
    <row r="926" spans="1:7" x14ac:dyDescent="0.3">
      <c r="A926" s="186"/>
      <c r="B926" s="171"/>
      <c r="C926" s="192"/>
      <c r="D926" s="192"/>
      <c r="E926" s="192"/>
      <c r="F926" s="192"/>
      <c r="G926" s="192"/>
    </row>
    <row r="927" spans="1:7" x14ac:dyDescent="0.3">
      <c r="A927" s="186"/>
      <c r="B927" s="171"/>
      <c r="C927" s="192"/>
      <c r="D927" s="192"/>
      <c r="E927" s="192"/>
      <c r="F927" s="192"/>
      <c r="G927" s="192"/>
    </row>
    <row r="928" spans="1:7" x14ac:dyDescent="0.3">
      <c r="A928" s="186"/>
      <c r="B928" s="171"/>
      <c r="C928" s="192"/>
      <c r="D928" s="192"/>
      <c r="E928" s="192"/>
      <c r="F928" s="192"/>
      <c r="G928" s="192"/>
    </row>
    <row r="929" spans="1:7" x14ac:dyDescent="0.3">
      <c r="A929" s="194"/>
      <c r="B929" s="171"/>
      <c r="C929" s="192"/>
      <c r="D929" s="192"/>
      <c r="E929" s="192"/>
      <c r="F929" s="192"/>
      <c r="G929" s="192"/>
    </row>
    <row r="930" spans="1:7" x14ac:dyDescent="0.3">
      <c r="A930" s="194"/>
      <c r="B930" s="171"/>
      <c r="C930" s="199"/>
      <c r="D930" s="192"/>
      <c r="E930" s="192"/>
      <c r="F930" s="192"/>
      <c r="G930" s="192"/>
    </row>
    <row r="931" spans="1:7" x14ac:dyDescent="0.3">
      <c r="A931" s="186"/>
      <c r="B931" s="171"/>
      <c r="C931" s="192"/>
      <c r="D931" s="192"/>
      <c r="E931" s="192"/>
      <c r="F931" s="192"/>
      <c r="G931" s="192"/>
    </row>
    <row r="932" spans="1:7" x14ac:dyDescent="0.3">
      <c r="A932" s="186"/>
      <c r="B932" s="171"/>
      <c r="C932" s="192"/>
      <c r="D932" s="192"/>
      <c r="E932" s="192"/>
      <c r="F932" s="192"/>
      <c r="G932" s="192"/>
    </row>
    <row r="933" spans="1:7" x14ac:dyDescent="0.3">
      <c r="A933" s="192"/>
      <c r="B933" s="200"/>
      <c r="C933" s="192"/>
      <c r="D933" s="192"/>
      <c r="E933" s="192"/>
      <c r="F933" s="192"/>
      <c r="G933" s="192"/>
    </row>
    <row r="934" spans="1:7" x14ac:dyDescent="0.3">
      <c r="A934" s="192"/>
      <c r="B934" s="192"/>
      <c r="C934" s="192"/>
      <c r="D934" s="192"/>
      <c r="E934" s="192"/>
      <c r="F934" s="192"/>
      <c r="G934" s="192"/>
    </row>
    <row r="935" spans="1:7" x14ac:dyDescent="0.3">
      <c r="A935" s="192"/>
      <c r="B935" s="192"/>
      <c r="C935" s="192"/>
      <c r="D935" s="192"/>
      <c r="E935" s="192"/>
      <c r="F935" s="192"/>
      <c r="G935" s="192"/>
    </row>
    <row r="936" spans="1:7" x14ac:dyDescent="0.3">
      <c r="A936" s="192"/>
      <c r="B936" s="192"/>
      <c r="C936" s="192"/>
      <c r="D936" s="192"/>
      <c r="E936" s="192"/>
      <c r="F936" s="192"/>
      <c r="G936" s="192"/>
    </row>
    <row r="937" spans="1:7" x14ac:dyDescent="0.3">
      <c r="A937" s="176"/>
      <c r="B937" s="176"/>
      <c r="C937" s="192"/>
      <c r="D937" s="192"/>
      <c r="E937" s="192"/>
      <c r="F937" s="192"/>
      <c r="G937" s="192"/>
    </row>
    <row r="938" spans="1:7" x14ac:dyDescent="0.3">
      <c r="A938" s="194"/>
      <c r="B938" s="171"/>
      <c r="C938" s="192"/>
      <c r="D938" s="192"/>
      <c r="E938" s="192"/>
      <c r="F938" s="192"/>
      <c r="G938" s="192"/>
    </row>
    <row r="939" spans="1:7" x14ac:dyDescent="0.3">
      <c r="A939" s="194"/>
      <c r="B939" s="171"/>
      <c r="C939" s="199"/>
      <c r="D939" s="192"/>
      <c r="E939" s="192"/>
      <c r="F939" s="192"/>
      <c r="G939" s="192"/>
    </row>
    <row r="940" spans="1:7" x14ac:dyDescent="0.3">
      <c r="A940" s="194"/>
      <c r="B940" s="171"/>
      <c r="C940" s="192"/>
      <c r="D940" s="192"/>
      <c r="E940" s="192"/>
      <c r="F940" s="192"/>
      <c r="G940" s="192"/>
    </row>
    <row r="941" spans="1:7" x14ac:dyDescent="0.3">
      <c r="A941" s="194"/>
      <c r="B941" s="171"/>
      <c r="C941" s="192"/>
      <c r="D941" s="192"/>
      <c r="E941" s="192"/>
      <c r="F941" s="192"/>
      <c r="G941" s="192"/>
    </row>
    <row r="942" spans="1:7" x14ac:dyDescent="0.3">
      <c r="A942" s="192"/>
      <c r="B942" s="200"/>
      <c r="C942" s="192"/>
      <c r="D942" s="192"/>
      <c r="E942" s="192"/>
      <c r="F942" s="192"/>
      <c r="G942" s="192"/>
    </row>
    <row r="943" spans="1:7" x14ac:dyDescent="0.3">
      <c r="A943" s="192"/>
      <c r="B943" s="192"/>
      <c r="C943" s="192"/>
      <c r="D943" s="192"/>
      <c r="E943" s="192"/>
      <c r="F943" s="192"/>
      <c r="G943" s="192"/>
    </row>
    <row r="944" spans="1:7" x14ac:dyDescent="0.3">
      <c r="A944" s="192"/>
      <c r="B944" s="192"/>
      <c r="C944" s="192"/>
      <c r="D944" s="192"/>
      <c r="E944" s="192"/>
      <c r="F944" s="192"/>
      <c r="G944" s="192"/>
    </row>
    <row r="945" spans="1:7" x14ac:dyDescent="0.3">
      <c r="A945" s="192"/>
      <c r="B945" s="192"/>
      <c r="C945" s="199"/>
      <c r="D945" s="192"/>
      <c r="E945" s="192"/>
      <c r="F945" s="192"/>
      <c r="G945" s="192"/>
    </row>
    <row r="946" spans="1:7" x14ac:dyDescent="0.3">
      <c r="A946" s="176"/>
      <c r="B946" s="176"/>
      <c r="C946" s="192"/>
      <c r="D946" s="192"/>
      <c r="E946" s="192"/>
      <c r="F946" s="192"/>
      <c r="G946" s="192"/>
    </row>
    <row r="947" spans="1:7" x14ac:dyDescent="0.3">
      <c r="A947" s="194"/>
      <c r="B947" s="171"/>
      <c r="C947" s="192"/>
      <c r="D947" s="192"/>
      <c r="E947" s="192"/>
      <c r="F947" s="192"/>
      <c r="G947" s="192"/>
    </row>
    <row r="948" spans="1:7" x14ac:dyDescent="0.3">
      <c r="A948" s="194"/>
      <c r="B948" s="200"/>
      <c r="C948" s="195"/>
      <c r="D948" s="195"/>
      <c r="E948" s="195"/>
      <c r="F948" s="195"/>
      <c r="G948" s="192"/>
    </row>
    <row r="949" spans="1:7" x14ac:dyDescent="0.3">
      <c r="A949" s="192"/>
      <c r="B949" s="192"/>
      <c r="C949" s="195"/>
      <c r="D949" s="195"/>
      <c r="E949" s="195"/>
      <c r="F949" s="195"/>
      <c r="G949" s="192"/>
    </row>
    <row r="950" spans="1:7" x14ac:dyDescent="0.3">
      <c r="A950" s="192"/>
      <c r="B950" s="192"/>
      <c r="C950" s="193"/>
      <c r="D950" s="193"/>
      <c r="E950" s="193"/>
      <c r="F950" s="193"/>
      <c r="G950" s="193"/>
    </row>
    <row r="951" spans="1:7" x14ac:dyDescent="0.3">
      <c r="A951" s="195"/>
      <c r="B951" s="195"/>
      <c r="C951" s="176"/>
      <c r="D951" s="176"/>
      <c r="E951" s="201"/>
      <c r="F951" s="201"/>
      <c r="G951" s="201"/>
    </row>
    <row r="952" spans="1:7" x14ac:dyDescent="0.3">
      <c r="A952" s="195"/>
      <c r="B952" s="195"/>
      <c r="C952" s="171"/>
      <c r="D952" s="171"/>
      <c r="E952" s="201"/>
      <c r="F952" s="201"/>
      <c r="G952" s="201"/>
    </row>
    <row r="953" spans="1:7" x14ac:dyDescent="0.3">
      <c r="A953" s="193"/>
      <c r="B953" s="193"/>
      <c r="C953" s="171"/>
      <c r="D953" s="171"/>
      <c r="E953" s="201"/>
      <c r="F953" s="201"/>
      <c r="G953" s="201"/>
    </row>
    <row r="954" spans="1:7" x14ac:dyDescent="0.3">
      <c r="A954" s="176"/>
      <c r="B954" s="176"/>
      <c r="C954" s="171"/>
      <c r="D954" s="171"/>
      <c r="E954" s="201"/>
      <c r="F954" s="201"/>
      <c r="G954" s="201"/>
    </row>
    <row r="955" spans="1:7" x14ac:dyDescent="0.3">
      <c r="A955" s="176"/>
      <c r="B955" s="171"/>
      <c r="C955" s="171"/>
      <c r="D955" s="171"/>
      <c r="E955" s="201"/>
      <c r="F955" s="201"/>
      <c r="G955" s="201"/>
    </row>
    <row r="956" spans="1:7" x14ac:dyDescent="0.3">
      <c r="A956" s="176"/>
      <c r="B956" s="171"/>
      <c r="C956" s="171"/>
      <c r="D956" s="171"/>
      <c r="E956" s="201"/>
      <c r="F956" s="201"/>
      <c r="G956" s="201"/>
    </row>
    <row r="957" spans="1:7" x14ac:dyDescent="0.3">
      <c r="A957" s="176"/>
      <c r="B957" s="171"/>
      <c r="C957" s="171"/>
      <c r="D957" s="171"/>
      <c r="E957" s="201"/>
      <c r="F957" s="201"/>
      <c r="G957" s="201"/>
    </row>
    <row r="958" spans="1:7" x14ac:dyDescent="0.3">
      <c r="A958" s="176"/>
      <c r="B958" s="171"/>
      <c r="C958" s="201"/>
      <c r="D958" s="200"/>
      <c r="E958" s="199"/>
      <c r="F958" s="199"/>
      <c r="G958" s="201"/>
    </row>
    <row r="959" spans="1:7" x14ac:dyDescent="0.3">
      <c r="A959" s="176"/>
      <c r="B959" s="171"/>
      <c r="C959" s="201"/>
      <c r="D959" s="201"/>
      <c r="E959" s="201"/>
      <c r="F959" s="201"/>
      <c r="G959" s="201"/>
    </row>
    <row r="960" spans="1:7" x14ac:dyDescent="0.3">
      <c r="A960" s="176"/>
      <c r="B960" s="171"/>
      <c r="C960" s="195"/>
      <c r="D960" s="195"/>
      <c r="E960" s="195"/>
      <c r="F960" s="195"/>
      <c r="G960" s="192"/>
    </row>
    <row r="961" spans="1:7" x14ac:dyDescent="0.3">
      <c r="A961" s="176"/>
      <c r="B961" s="176"/>
      <c r="C961" s="195"/>
      <c r="D961" s="195"/>
      <c r="E961" s="195"/>
      <c r="F961" s="195"/>
      <c r="G961" s="192"/>
    </row>
    <row r="962" spans="1:7" x14ac:dyDescent="0.3">
      <c r="A962" s="176"/>
      <c r="B962" s="176"/>
      <c r="C962" s="192"/>
      <c r="D962" s="192"/>
      <c r="E962" s="192"/>
      <c r="F962" s="192"/>
      <c r="G962" s="192"/>
    </row>
    <row r="963" spans="1:7" x14ac:dyDescent="0.3">
      <c r="A963" s="195"/>
      <c r="B963" s="195"/>
      <c r="C963" s="176"/>
      <c r="D963" s="176"/>
      <c r="E963" s="193"/>
      <c r="F963" s="193"/>
      <c r="G963" s="193"/>
    </row>
    <row r="964" spans="1:7" x14ac:dyDescent="0.3">
      <c r="A964" s="195"/>
      <c r="B964" s="195"/>
      <c r="C964" s="171"/>
      <c r="D964" s="171"/>
      <c r="E964" s="193"/>
      <c r="F964" s="193"/>
      <c r="G964" s="193"/>
    </row>
    <row r="965" spans="1:7" x14ac:dyDescent="0.3">
      <c r="A965" s="192"/>
      <c r="B965" s="192"/>
      <c r="C965" s="171"/>
      <c r="D965" s="171"/>
      <c r="E965" s="193"/>
      <c r="F965" s="193"/>
      <c r="G965" s="193"/>
    </row>
    <row r="966" spans="1:7" x14ac:dyDescent="0.3">
      <c r="A966" s="176"/>
      <c r="B966" s="176"/>
      <c r="C966" s="171"/>
      <c r="D966" s="171"/>
      <c r="E966" s="193"/>
      <c r="F966" s="193"/>
      <c r="G966" s="193"/>
    </row>
    <row r="967" spans="1:7" x14ac:dyDescent="0.3">
      <c r="A967" s="194"/>
      <c r="B967" s="171"/>
      <c r="C967" s="171"/>
      <c r="D967" s="171"/>
      <c r="E967" s="193"/>
      <c r="F967" s="193"/>
      <c r="G967" s="193"/>
    </row>
    <row r="968" spans="1:7" x14ac:dyDescent="0.3">
      <c r="A968" s="194"/>
      <c r="B968" s="171"/>
      <c r="C968" s="172"/>
      <c r="D968" s="200"/>
      <c r="E968" s="199"/>
      <c r="F968" s="199"/>
      <c r="G968" s="193"/>
    </row>
    <row r="969" spans="1:7" x14ac:dyDescent="0.3">
      <c r="A969" s="194"/>
      <c r="B969" s="171"/>
      <c r="C969" s="193"/>
      <c r="D969" s="193"/>
      <c r="E969" s="193"/>
      <c r="F969" s="193"/>
      <c r="G969" s="193"/>
    </row>
    <row r="970" spans="1:7" x14ac:dyDescent="0.3">
      <c r="A970" s="194"/>
      <c r="B970" s="171"/>
      <c r="C970" s="193"/>
      <c r="D970" s="193"/>
      <c r="E970" s="193"/>
      <c r="F970" s="193"/>
      <c r="G970" s="193"/>
    </row>
    <row r="971" spans="1:7" x14ac:dyDescent="0.3">
      <c r="A971" s="193"/>
      <c r="B971" s="173"/>
      <c r="C971" s="193"/>
      <c r="D971" s="193"/>
      <c r="E971" s="193"/>
      <c r="F971" s="193"/>
      <c r="G971" s="193"/>
    </row>
    <row r="972" spans="1:7" x14ac:dyDescent="0.3">
      <c r="A972" s="193"/>
      <c r="B972" s="193"/>
      <c r="C972" s="193"/>
      <c r="D972" s="193"/>
      <c r="E972" s="193"/>
      <c r="F972" s="193"/>
      <c r="G972" s="193"/>
    </row>
    <row r="973" spans="1:7" x14ac:dyDescent="0.3">
      <c r="A973" s="192"/>
      <c r="B973" s="192"/>
      <c r="C973" s="200"/>
      <c r="D973" s="199"/>
      <c r="E973" s="193"/>
      <c r="F973" s="193"/>
      <c r="G973" s="193"/>
    </row>
    <row r="974" spans="1:7" x14ac:dyDescent="0.3">
      <c r="A974" s="192"/>
      <c r="B974" s="192"/>
      <c r="C974" s="193"/>
      <c r="D974" s="193"/>
      <c r="E974" s="193"/>
      <c r="F974" s="193"/>
      <c r="G974" s="193"/>
    </row>
    <row r="975" spans="1:7" x14ac:dyDescent="0.3">
      <c r="A975" s="192"/>
      <c r="B975" s="192"/>
      <c r="C975" s="193"/>
      <c r="D975" s="193"/>
      <c r="E975" s="193"/>
      <c r="F975" s="193"/>
      <c r="G975" s="193"/>
    </row>
    <row r="976" spans="1:7" x14ac:dyDescent="0.3">
      <c r="A976" s="176"/>
      <c r="B976" s="176"/>
      <c r="C976" s="193"/>
      <c r="D976" s="193"/>
      <c r="E976" s="193"/>
      <c r="F976" s="193"/>
      <c r="G976" s="193"/>
    </row>
    <row r="977" spans="1:11" x14ac:dyDescent="0.3">
      <c r="A977" s="192"/>
      <c r="B977" s="192"/>
      <c r="C977" s="193"/>
      <c r="D977" s="193"/>
      <c r="E977" s="193"/>
      <c r="F977" s="193"/>
      <c r="G977" s="193"/>
    </row>
    <row r="978" spans="1:11" x14ac:dyDescent="0.3">
      <c r="A978" s="192"/>
      <c r="B978" s="192"/>
      <c r="C978" s="200"/>
      <c r="D978" s="199"/>
      <c r="E978" s="193"/>
      <c r="F978" s="193"/>
      <c r="G978" s="193"/>
    </row>
    <row r="979" spans="1:11" x14ac:dyDescent="0.3">
      <c r="A979" s="192"/>
      <c r="B979" s="192"/>
      <c r="C979" s="193"/>
      <c r="D979" s="193"/>
      <c r="E979" s="193"/>
      <c r="F979" s="193"/>
      <c r="G979" s="193"/>
    </row>
    <row r="980" spans="1:11" x14ac:dyDescent="0.3">
      <c r="A980" s="192"/>
      <c r="B980" s="192"/>
      <c r="C980" s="193"/>
      <c r="D980" s="193"/>
      <c r="E980" s="193"/>
      <c r="F980" s="193"/>
      <c r="G980" s="193"/>
    </row>
    <row r="981" spans="1:11" x14ac:dyDescent="0.3">
      <c r="A981" s="176"/>
      <c r="B981" s="176"/>
      <c r="C981" s="202"/>
      <c r="D981" s="202"/>
      <c r="E981" s="202"/>
      <c r="F981" s="202"/>
      <c r="G981" s="203"/>
      <c r="H981" s="169"/>
      <c r="I981" s="169"/>
      <c r="J981" s="169"/>
      <c r="K981" s="169"/>
    </row>
    <row r="982" spans="1:11" x14ac:dyDescent="0.3">
      <c r="A982" s="193"/>
      <c r="B982" s="193"/>
      <c r="C982" s="193"/>
      <c r="D982" s="193"/>
      <c r="E982" s="193"/>
      <c r="F982" s="193"/>
      <c r="G982" s="193"/>
    </row>
    <row r="983" spans="1:11" x14ac:dyDescent="0.3">
      <c r="A983" s="192"/>
      <c r="B983" s="192"/>
      <c r="C983" s="193"/>
      <c r="D983" s="193"/>
      <c r="E983" s="193"/>
      <c r="F983" s="193"/>
      <c r="G983" s="193"/>
    </row>
    <row r="984" spans="1:11" x14ac:dyDescent="0.3">
      <c r="A984" s="202"/>
      <c r="B984" s="202"/>
      <c r="C984" s="193"/>
      <c r="D984" s="193"/>
      <c r="E984" s="193"/>
      <c r="F984" s="193"/>
      <c r="G984" s="193"/>
    </row>
    <row r="985" spans="1:11" x14ac:dyDescent="0.3">
      <c r="A985" s="193"/>
      <c r="B985" s="193"/>
      <c r="C985" s="193"/>
      <c r="D985" s="193"/>
      <c r="E985" s="193"/>
      <c r="F985" s="193"/>
      <c r="G985" s="193"/>
    </row>
    <row r="986" spans="1:11" x14ac:dyDescent="0.3">
      <c r="A986" s="176"/>
      <c r="B986" s="176"/>
      <c r="C986" s="193"/>
      <c r="D986" s="193"/>
      <c r="E986" s="193"/>
      <c r="F986" s="193"/>
      <c r="G986" s="193"/>
    </row>
    <row r="987" spans="1:11" x14ac:dyDescent="0.3">
      <c r="A987" s="176"/>
      <c r="B987" s="171"/>
      <c r="C987" s="199"/>
      <c r="D987" s="193"/>
      <c r="E987" s="193"/>
      <c r="F987" s="193"/>
      <c r="G987" s="193"/>
    </row>
    <row r="988" spans="1:11" x14ac:dyDescent="0.3">
      <c r="A988" s="194"/>
      <c r="B988" s="171"/>
      <c r="C988" s="172"/>
      <c r="D988" s="193"/>
      <c r="E988" s="193"/>
      <c r="F988" s="193"/>
      <c r="G988" s="193"/>
    </row>
    <row r="989" spans="1:11" x14ac:dyDescent="0.3">
      <c r="A989" s="194"/>
      <c r="B989" s="171"/>
      <c r="C989" s="192"/>
      <c r="D989" s="192"/>
      <c r="E989" s="192"/>
      <c r="F989" s="192"/>
      <c r="G989" s="192"/>
    </row>
    <row r="990" spans="1:11" x14ac:dyDescent="0.3">
      <c r="A990" s="196"/>
      <c r="B990" s="200"/>
      <c r="C990" s="193"/>
      <c r="D990" s="193"/>
      <c r="E990" s="193"/>
      <c r="F990" s="193"/>
      <c r="G990" s="193"/>
    </row>
    <row r="991" spans="1:11" x14ac:dyDescent="0.3">
      <c r="A991" s="196"/>
      <c r="B991" s="173"/>
      <c r="C991" s="200"/>
      <c r="D991" s="199"/>
      <c r="E991" s="193"/>
      <c r="F991" s="193"/>
      <c r="G991" s="193"/>
    </row>
    <row r="992" spans="1:11" x14ac:dyDescent="0.3">
      <c r="A992" s="192"/>
      <c r="B992" s="192"/>
      <c r="C992" s="193"/>
      <c r="D992" s="193"/>
      <c r="E992" s="193"/>
      <c r="F992" s="193"/>
      <c r="G992" s="193"/>
    </row>
    <row r="993" spans="1:7" x14ac:dyDescent="0.3">
      <c r="A993" s="193"/>
      <c r="B993" s="193"/>
      <c r="C993" s="202"/>
      <c r="D993" s="193"/>
      <c r="E993" s="193"/>
      <c r="F993" s="193"/>
      <c r="G993" s="193"/>
    </row>
    <row r="994" spans="1:7" x14ac:dyDescent="0.3">
      <c r="A994" s="176"/>
      <c r="B994" s="176"/>
      <c r="C994" s="193"/>
      <c r="D994" s="193"/>
      <c r="E994" s="193"/>
      <c r="F994" s="193"/>
      <c r="G994" s="193"/>
    </row>
    <row r="995" spans="1:7" x14ac:dyDescent="0.3">
      <c r="A995" s="176"/>
      <c r="B995" s="171"/>
      <c r="C995" s="193"/>
      <c r="D995" s="193"/>
      <c r="E995" s="193"/>
      <c r="F995" s="193"/>
      <c r="G995" s="193"/>
    </row>
    <row r="996" spans="1:7" x14ac:dyDescent="0.3">
      <c r="A996" s="202"/>
      <c r="B996" s="202"/>
      <c r="C996" s="193"/>
      <c r="D996" s="193"/>
      <c r="E996" s="193"/>
      <c r="F996" s="193"/>
      <c r="G996" s="193"/>
    </row>
    <row r="997" spans="1:7" x14ac:dyDescent="0.3">
      <c r="A997" s="193"/>
      <c r="B997" s="193"/>
      <c r="C997" s="193"/>
      <c r="D997" s="193"/>
      <c r="E997" s="193"/>
      <c r="F997" s="193"/>
      <c r="G997" s="193"/>
    </row>
    <row r="998" spans="1:7" x14ac:dyDescent="0.3">
      <c r="A998" s="176"/>
      <c r="B998" s="176"/>
      <c r="C998" s="199"/>
      <c r="D998" s="193"/>
      <c r="E998" s="193"/>
      <c r="F998" s="193"/>
      <c r="G998" s="193"/>
    </row>
    <row r="999" spans="1:7" x14ac:dyDescent="0.3">
      <c r="A999" s="176"/>
      <c r="B999" s="171"/>
      <c r="C999" s="193"/>
      <c r="D999" s="193"/>
      <c r="E999" s="193"/>
      <c r="F999" s="193"/>
      <c r="G999" s="193"/>
    </row>
    <row r="1000" spans="1:7" x14ac:dyDescent="0.3">
      <c r="A1000" s="176"/>
      <c r="B1000" s="171"/>
      <c r="C1000" s="192"/>
      <c r="D1000" s="192"/>
      <c r="E1000" s="193"/>
      <c r="F1000" s="193"/>
      <c r="G1000" s="193"/>
    </row>
    <row r="1001" spans="1:7" x14ac:dyDescent="0.3">
      <c r="A1001" s="196"/>
      <c r="B1001" s="200"/>
      <c r="C1001" s="193"/>
      <c r="D1001" s="193"/>
      <c r="E1001" s="193"/>
      <c r="F1001" s="193"/>
      <c r="G1001" s="193"/>
    </row>
    <row r="1002" spans="1:7" x14ac:dyDescent="0.3">
      <c r="A1002" s="194"/>
      <c r="B1002" s="171"/>
      <c r="C1002" s="200"/>
      <c r="D1002" s="199"/>
      <c r="E1002" s="193"/>
      <c r="F1002" s="193"/>
      <c r="G1002" s="193"/>
    </row>
    <row r="1003" spans="1:7" x14ac:dyDescent="0.3">
      <c r="A1003" s="192"/>
      <c r="B1003" s="192"/>
      <c r="C1003" s="193"/>
      <c r="D1003" s="193"/>
      <c r="E1003" s="193"/>
      <c r="F1003" s="193"/>
      <c r="G1003" s="193"/>
    </row>
    <row r="1004" spans="1:7" x14ac:dyDescent="0.3">
      <c r="A1004" s="193"/>
      <c r="B1004" s="193"/>
      <c r="C1004" s="192"/>
      <c r="D1004" s="192"/>
      <c r="E1004" s="192"/>
      <c r="F1004" s="192"/>
      <c r="G1004" s="192"/>
    </row>
    <row r="1005" spans="1:7" x14ac:dyDescent="0.3">
      <c r="A1005" s="176"/>
      <c r="B1005" s="176"/>
      <c r="C1005" s="193"/>
      <c r="D1005" s="193"/>
      <c r="E1005" s="193"/>
      <c r="F1005" s="193"/>
      <c r="G1005" s="193"/>
    </row>
    <row r="1006" spans="1:7" x14ac:dyDescent="0.3">
      <c r="A1006" s="193"/>
      <c r="B1006" s="193"/>
      <c r="C1006" s="193"/>
      <c r="D1006" s="193"/>
      <c r="E1006" s="193"/>
      <c r="F1006" s="193"/>
      <c r="G1006" s="193"/>
    </row>
    <row r="1007" spans="1:7" x14ac:dyDescent="0.3">
      <c r="A1007" s="192"/>
      <c r="B1007" s="192"/>
      <c r="C1007" s="193"/>
      <c r="D1007" s="193"/>
      <c r="E1007" s="193"/>
      <c r="F1007" s="193"/>
      <c r="G1007" s="193"/>
    </row>
    <row r="1008" spans="1:7" x14ac:dyDescent="0.3">
      <c r="A1008" s="193"/>
      <c r="B1008" s="193"/>
      <c r="C1008" s="193"/>
      <c r="D1008" s="193"/>
      <c r="E1008" s="193"/>
      <c r="F1008" s="193"/>
      <c r="G1008" s="193"/>
    </row>
    <row r="1009" spans="1:7" x14ac:dyDescent="0.3">
      <c r="A1009" s="176"/>
      <c r="B1009" s="176"/>
      <c r="C1009" s="193"/>
      <c r="D1009" s="193"/>
      <c r="E1009" s="193"/>
      <c r="F1009" s="193"/>
      <c r="G1009" s="193"/>
    </row>
    <row r="1010" spans="1:7" x14ac:dyDescent="0.3">
      <c r="A1010" s="176"/>
      <c r="B1010" s="171"/>
      <c r="C1010" s="199"/>
      <c r="D1010" s="193"/>
      <c r="E1010" s="193"/>
      <c r="F1010" s="193"/>
      <c r="G1010" s="193"/>
    </row>
    <row r="1011" spans="1:7" x14ac:dyDescent="0.3">
      <c r="A1011" s="176"/>
      <c r="B1011" s="171"/>
      <c r="C1011" s="193"/>
      <c r="D1011" s="193"/>
      <c r="E1011" s="193"/>
      <c r="F1011" s="193"/>
      <c r="G1011" s="193"/>
    </row>
    <row r="1012" spans="1:7" x14ac:dyDescent="0.3">
      <c r="A1012" s="176"/>
      <c r="B1012" s="171"/>
      <c r="C1012" s="192"/>
      <c r="D1012" s="192"/>
      <c r="E1012" s="192"/>
      <c r="F1012" s="192"/>
      <c r="G1012" s="193"/>
    </row>
    <row r="1013" spans="1:7" x14ac:dyDescent="0.3">
      <c r="A1013" s="196"/>
      <c r="B1013" s="200"/>
      <c r="C1013" s="193"/>
      <c r="D1013" s="193"/>
      <c r="E1013" s="193"/>
      <c r="F1013" s="193"/>
      <c r="G1013" s="193"/>
    </row>
    <row r="1014" spans="1:7" x14ac:dyDescent="0.3">
      <c r="A1014" s="194"/>
      <c r="B1014" s="171"/>
      <c r="C1014" s="200"/>
      <c r="D1014" s="199"/>
      <c r="E1014" s="193"/>
      <c r="F1014" s="193"/>
      <c r="G1014" s="193"/>
    </row>
    <row r="1015" spans="1:7" x14ac:dyDescent="0.3">
      <c r="A1015" s="192"/>
      <c r="B1015" s="192"/>
      <c r="C1015" s="193"/>
      <c r="D1015" s="193"/>
      <c r="E1015" s="193"/>
      <c r="F1015" s="193"/>
      <c r="G1015" s="193"/>
    </row>
    <row r="1016" spans="1:7" x14ac:dyDescent="0.3">
      <c r="A1016" s="194"/>
      <c r="B1016" s="179"/>
      <c r="C1016" s="192"/>
      <c r="D1016" s="192"/>
      <c r="E1016" s="192"/>
      <c r="F1016" s="192"/>
      <c r="G1016" s="192"/>
    </row>
    <row r="1017" spans="1:7" x14ac:dyDescent="0.3">
      <c r="A1017" s="176"/>
      <c r="B1017" s="176"/>
      <c r="C1017" s="172"/>
      <c r="D1017" s="193"/>
      <c r="E1017" s="193"/>
      <c r="F1017" s="193"/>
      <c r="G1017" s="193"/>
    </row>
    <row r="1018" spans="1:7" x14ac:dyDescent="0.3">
      <c r="A1018" s="194"/>
      <c r="B1018" s="171"/>
      <c r="C1018" s="172"/>
      <c r="D1018" s="193"/>
      <c r="E1018" s="193"/>
      <c r="F1018" s="193"/>
      <c r="G1018" s="193"/>
    </row>
    <row r="1019" spans="1:7" x14ac:dyDescent="0.3">
      <c r="A1019" s="192"/>
      <c r="B1019" s="192"/>
      <c r="C1019" s="172"/>
      <c r="D1019" s="193"/>
      <c r="E1019" s="193"/>
      <c r="F1019" s="193"/>
      <c r="G1019" s="193"/>
    </row>
    <row r="1020" spans="1:7" x14ac:dyDescent="0.3">
      <c r="A1020" s="193"/>
      <c r="B1020" s="173"/>
      <c r="C1020" s="172"/>
      <c r="D1020" s="193"/>
      <c r="E1020" s="193"/>
      <c r="F1020" s="193"/>
      <c r="G1020" s="193"/>
    </row>
    <row r="1021" spans="1:7" x14ac:dyDescent="0.3">
      <c r="A1021" s="176"/>
      <c r="B1021" s="176"/>
      <c r="C1021" s="172"/>
      <c r="D1021" s="193"/>
      <c r="E1021" s="193"/>
      <c r="F1021" s="193"/>
      <c r="G1021" s="193"/>
    </row>
    <row r="1022" spans="1:7" x14ac:dyDescent="0.3">
      <c r="A1022" s="176"/>
      <c r="B1022" s="171"/>
      <c r="C1022" s="172"/>
      <c r="D1022" s="193"/>
      <c r="E1022" s="193"/>
      <c r="F1022" s="193"/>
      <c r="G1022" s="193"/>
    </row>
    <row r="1023" spans="1:7" x14ac:dyDescent="0.3">
      <c r="A1023" s="176"/>
      <c r="B1023" s="171"/>
      <c r="C1023" s="172"/>
      <c r="D1023" s="193"/>
      <c r="E1023" s="193"/>
      <c r="F1023" s="193"/>
      <c r="G1023" s="193"/>
    </row>
    <row r="1024" spans="1:7" x14ac:dyDescent="0.3">
      <c r="A1024" s="176"/>
      <c r="B1024" s="171"/>
      <c r="C1024" s="172"/>
      <c r="D1024" s="193"/>
      <c r="E1024" s="193"/>
      <c r="F1024" s="193"/>
      <c r="G1024" s="193"/>
    </row>
    <row r="1025" spans="1:7" x14ac:dyDescent="0.3">
      <c r="A1025" s="176"/>
      <c r="B1025" s="171"/>
      <c r="C1025" s="192"/>
      <c r="D1025" s="192"/>
      <c r="E1025" s="192"/>
      <c r="F1025" s="192"/>
      <c r="G1025" s="192"/>
    </row>
    <row r="1026" spans="1:7" x14ac:dyDescent="0.3">
      <c r="A1026" s="194"/>
      <c r="B1026" s="171"/>
      <c r="C1026" s="172"/>
      <c r="D1026" s="193"/>
      <c r="E1026" s="193"/>
      <c r="F1026" s="193"/>
      <c r="G1026" s="193"/>
    </row>
    <row r="1027" spans="1:7" x14ac:dyDescent="0.3">
      <c r="A1027" s="194"/>
      <c r="B1027" s="171"/>
      <c r="C1027" s="199"/>
      <c r="D1027" s="193"/>
      <c r="E1027" s="193"/>
      <c r="F1027" s="193"/>
      <c r="G1027" s="193"/>
    </row>
  </sheetData>
  <mergeCells count="145">
    <mergeCell ref="F127:F128"/>
    <mergeCell ref="A116:A118"/>
    <mergeCell ref="J109:J110"/>
    <mergeCell ref="C96:C98"/>
    <mergeCell ref="H65:H68"/>
    <mergeCell ref="A78:A79"/>
    <mergeCell ref="C78:C79"/>
    <mergeCell ref="H78:H79"/>
    <mergeCell ref="A80:A81"/>
    <mergeCell ref="C80:C81"/>
    <mergeCell ref="H80:H81"/>
    <mergeCell ref="A82:A83"/>
    <mergeCell ref="C82:C83"/>
    <mergeCell ref="C90:C91"/>
    <mergeCell ref="D88:D89"/>
    <mergeCell ref="D90:D91"/>
    <mergeCell ref="D109:D110"/>
    <mergeCell ref="E109:E110"/>
    <mergeCell ref="G109:G110"/>
    <mergeCell ref="A99:D99"/>
    <mergeCell ref="G107:G108"/>
    <mergeCell ref="B105:B106"/>
    <mergeCell ref="C105:C106"/>
    <mergeCell ref="D105:D106"/>
    <mergeCell ref="E105:E106"/>
    <mergeCell ref="G105:G106"/>
    <mergeCell ref="A119:D119"/>
    <mergeCell ref="G119:H119"/>
    <mergeCell ref="I109:I110"/>
    <mergeCell ref="A146:A149"/>
    <mergeCell ref="A150:A152"/>
    <mergeCell ref="C138:C141"/>
    <mergeCell ref="C144:C145"/>
    <mergeCell ref="A138:A145"/>
    <mergeCell ref="C148:C149"/>
    <mergeCell ref="D148:D149"/>
    <mergeCell ref="E127:E128"/>
    <mergeCell ref="G127:G128"/>
    <mergeCell ref="H129:H133"/>
    <mergeCell ref="E131:E133"/>
    <mergeCell ref="B129:B130"/>
    <mergeCell ref="D129:D130"/>
    <mergeCell ref="H124:H128"/>
    <mergeCell ref="E129:E130"/>
    <mergeCell ref="C142:C143"/>
    <mergeCell ref="D142:D143"/>
    <mergeCell ref="A111:A115"/>
    <mergeCell ref="B109:B110"/>
    <mergeCell ref="C109:C110"/>
    <mergeCell ref="A153:D153"/>
    <mergeCell ref="C103:C104"/>
    <mergeCell ref="D103:D104"/>
    <mergeCell ref="C146:C147"/>
    <mergeCell ref="D146:D147"/>
    <mergeCell ref="C150:C152"/>
    <mergeCell ref="A122:D122"/>
    <mergeCell ref="A136:A137"/>
    <mergeCell ref="C136:C137"/>
    <mergeCell ref="A134:A135"/>
    <mergeCell ref="C134:C135"/>
    <mergeCell ref="B107:B108"/>
    <mergeCell ref="C107:C108"/>
    <mergeCell ref="D107:D108"/>
    <mergeCell ref="A105:A106"/>
    <mergeCell ref="A107:A108"/>
    <mergeCell ref="A109:A110"/>
    <mergeCell ref="A124:A128"/>
    <mergeCell ref="B127:B128"/>
    <mergeCell ref="C124:C128"/>
    <mergeCell ref="D127:D128"/>
    <mergeCell ref="A129:A133"/>
    <mergeCell ref="D131:D133"/>
    <mergeCell ref="B47:G47"/>
    <mergeCell ref="A53:D53"/>
    <mergeCell ref="A55:A58"/>
    <mergeCell ref="C55:C58"/>
    <mergeCell ref="B131:B133"/>
    <mergeCell ref="H103:H104"/>
    <mergeCell ref="E54:G54"/>
    <mergeCell ref="B55:B56"/>
    <mergeCell ref="D55:D56"/>
    <mergeCell ref="H55:H58"/>
    <mergeCell ref="A62:A63"/>
    <mergeCell ref="C62:C63"/>
    <mergeCell ref="H62:H63"/>
    <mergeCell ref="B103:B104"/>
    <mergeCell ref="C65:C66"/>
    <mergeCell ref="A92:A95"/>
    <mergeCell ref="C94:C95"/>
    <mergeCell ref="D94:D95"/>
    <mergeCell ref="A84:A91"/>
    <mergeCell ref="D92:D93"/>
    <mergeCell ref="A96:A98"/>
    <mergeCell ref="E57:E58"/>
    <mergeCell ref="G57:G58"/>
    <mergeCell ref="A59:A61"/>
    <mergeCell ref="A1:L1"/>
    <mergeCell ref="A2:L2"/>
    <mergeCell ref="A3:L3"/>
    <mergeCell ref="A4:L4"/>
    <mergeCell ref="A43:D43"/>
    <mergeCell ref="A27:D27"/>
    <mergeCell ref="C41:E41"/>
    <mergeCell ref="A6:D6"/>
    <mergeCell ref="C9:E9"/>
    <mergeCell ref="A11:D11"/>
    <mergeCell ref="C25:E25"/>
    <mergeCell ref="A72:D72"/>
    <mergeCell ref="A74:A77"/>
    <mergeCell ref="C74:C77"/>
    <mergeCell ref="A65:A68"/>
    <mergeCell ref="D65:D66"/>
    <mergeCell ref="D67:D68"/>
    <mergeCell ref="A69:G69"/>
    <mergeCell ref="C67:C68"/>
    <mergeCell ref="A49:I49"/>
    <mergeCell ref="A64:G64"/>
    <mergeCell ref="B59:B60"/>
    <mergeCell ref="C59:C61"/>
    <mergeCell ref="D59:D60"/>
    <mergeCell ref="H59:H61"/>
    <mergeCell ref="I153:J153"/>
    <mergeCell ref="C129:C133"/>
    <mergeCell ref="C84:C87"/>
    <mergeCell ref="C88:C89"/>
    <mergeCell ref="C92:C93"/>
    <mergeCell ref="H134:H135"/>
    <mergeCell ref="H136:H137"/>
    <mergeCell ref="H74:H77"/>
    <mergeCell ref="H105:H106"/>
    <mergeCell ref="I105:I106"/>
    <mergeCell ref="J105:J106"/>
    <mergeCell ref="H107:H108"/>
    <mergeCell ref="I107:I108"/>
    <mergeCell ref="J107:J108"/>
    <mergeCell ref="H109:H110"/>
    <mergeCell ref="I123:J123"/>
    <mergeCell ref="E107:E108"/>
    <mergeCell ref="A101:D101"/>
    <mergeCell ref="A103:A104"/>
    <mergeCell ref="I103:I104"/>
    <mergeCell ref="H82:H83"/>
    <mergeCell ref="J103:J104"/>
    <mergeCell ref="E103:E104"/>
    <mergeCell ref="G103:G104"/>
  </mergeCells>
  <printOptions horizontalCentered="1"/>
  <pageMargins left="0" right="0" top="0.39370078740157483" bottom="0" header="0" footer="0"/>
  <pageSetup paperSize="9" scale="65" orientation="landscape" r:id="rId1"/>
  <rowBreaks count="2" manualBreakCount="2">
    <brk id="51" max="10" man="1"/>
    <brk id="9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7"/>
  <sheetViews>
    <sheetView view="pageBreakPreview" topLeftCell="A93" zoomScaleNormal="115" zoomScaleSheetLayoutView="100" workbookViewId="0">
      <selection activeCell="C46" sqref="C46"/>
    </sheetView>
  </sheetViews>
  <sheetFormatPr defaultRowHeight="13.2" x14ac:dyDescent="0.25"/>
  <cols>
    <col min="1" max="1" width="10.5546875" customWidth="1"/>
    <col min="2" max="2" width="16" customWidth="1"/>
    <col min="3" max="3" width="49.21875" customWidth="1"/>
    <col min="4" max="4" width="7.109375" bestFit="1" customWidth="1"/>
    <col min="5" max="5" width="10.44140625" bestFit="1" customWidth="1"/>
    <col min="6" max="6" width="11.88671875" bestFit="1" customWidth="1"/>
    <col min="7" max="7" width="15.6640625" customWidth="1"/>
    <col min="10" max="10" width="12.33203125" customWidth="1"/>
    <col min="11" max="11" width="13.109375" customWidth="1"/>
    <col min="12" max="12" width="12.109375" customWidth="1"/>
    <col min="257" max="257" width="10.5546875" customWidth="1"/>
    <col min="258" max="258" width="16" customWidth="1"/>
    <col min="259" max="259" width="40.6640625" customWidth="1"/>
    <col min="260" max="260" width="7.109375" bestFit="1" customWidth="1"/>
    <col min="261" max="261" width="10.44140625" bestFit="1" customWidth="1"/>
    <col min="262" max="262" width="11.88671875" bestFit="1" customWidth="1"/>
    <col min="263" max="263" width="15.6640625" customWidth="1"/>
    <col min="266" max="266" width="12.33203125" customWidth="1"/>
    <col min="267" max="267" width="13.109375" customWidth="1"/>
    <col min="268" max="268" width="12.109375" customWidth="1"/>
    <col min="513" max="513" width="10.5546875" customWidth="1"/>
    <col min="514" max="514" width="16" customWidth="1"/>
    <col min="515" max="515" width="40.6640625" customWidth="1"/>
    <col min="516" max="516" width="7.109375" bestFit="1" customWidth="1"/>
    <col min="517" max="517" width="10.44140625" bestFit="1" customWidth="1"/>
    <col min="518" max="518" width="11.88671875" bestFit="1" customWidth="1"/>
    <col min="519" max="519" width="15.6640625" customWidth="1"/>
    <col min="522" max="522" width="12.33203125" customWidth="1"/>
    <col min="523" max="523" width="13.109375" customWidth="1"/>
    <col min="524" max="524" width="12.109375" customWidth="1"/>
    <col min="769" max="769" width="10.5546875" customWidth="1"/>
    <col min="770" max="770" width="16" customWidth="1"/>
    <col min="771" max="771" width="40.6640625" customWidth="1"/>
    <col min="772" max="772" width="7.109375" bestFit="1" customWidth="1"/>
    <col min="773" max="773" width="10.44140625" bestFit="1" customWidth="1"/>
    <col min="774" max="774" width="11.88671875" bestFit="1" customWidth="1"/>
    <col min="775" max="775" width="15.6640625" customWidth="1"/>
    <col min="778" max="778" width="12.33203125" customWidth="1"/>
    <col min="779" max="779" width="13.109375" customWidth="1"/>
    <col min="780" max="780" width="12.109375" customWidth="1"/>
    <col min="1025" max="1025" width="10.5546875" customWidth="1"/>
    <col min="1026" max="1026" width="16" customWidth="1"/>
    <col min="1027" max="1027" width="40.6640625" customWidth="1"/>
    <col min="1028" max="1028" width="7.109375" bestFit="1" customWidth="1"/>
    <col min="1029" max="1029" width="10.44140625" bestFit="1" customWidth="1"/>
    <col min="1030" max="1030" width="11.88671875" bestFit="1" customWidth="1"/>
    <col min="1031" max="1031" width="15.6640625" customWidth="1"/>
    <col min="1034" max="1034" width="12.33203125" customWidth="1"/>
    <col min="1035" max="1035" width="13.109375" customWidth="1"/>
    <col min="1036" max="1036" width="12.109375" customWidth="1"/>
    <col min="1281" max="1281" width="10.5546875" customWidth="1"/>
    <col min="1282" max="1282" width="16" customWidth="1"/>
    <col min="1283" max="1283" width="40.6640625" customWidth="1"/>
    <col min="1284" max="1284" width="7.109375" bestFit="1" customWidth="1"/>
    <col min="1285" max="1285" width="10.44140625" bestFit="1" customWidth="1"/>
    <col min="1286" max="1286" width="11.88671875" bestFit="1" customWidth="1"/>
    <col min="1287" max="1287" width="15.6640625" customWidth="1"/>
    <col min="1290" max="1290" width="12.33203125" customWidth="1"/>
    <col min="1291" max="1291" width="13.109375" customWidth="1"/>
    <col min="1292" max="1292" width="12.109375" customWidth="1"/>
    <col min="1537" max="1537" width="10.5546875" customWidth="1"/>
    <col min="1538" max="1538" width="16" customWidth="1"/>
    <col min="1539" max="1539" width="40.6640625" customWidth="1"/>
    <col min="1540" max="1540" width="7.109375" bestFit="1" customWidth="1"/>
    <col min="1541" max="1541" width="10.44140625" bestFit="1" customWidth="1"/>
    <col min="1542" max="1542" width="11.88671875" bestFit="1" customWidth="1"/>
    <col min="1543" max="1543" width="15.6640625" customWidth="1"/>
    <col min="1546" max="1546" width="12.33203125" customWidth="1"/>
    <col min="1547" max="1547" width="13.109375" customWidth="1"/>
    <col min="1548" max="1548" width="12.109375" customWidth="1"/>
    <col min="1793" max="1793" width="10.5546875" customWidth="1"/>
    <col min="1794" max="1794" width="16" customWidth="1"/>
    <col min="1795" max="1795" width="40.6640625" customWidth="1"/>
    <col min="1796" max="1796" width="7.109375" bestFit="1" customWidth="1"/>
    <col min="1797" max="1797" width="10.44140625" bestFit="1" customWidth="1"/>
    <col min="1798" max="1798" width="11.88671875" bestFit="1" customWidth="1"/>
    <col min="1799" max="1799" width="15.6640625" customWidth="1"/>
    <col min="1802" max="1802" width="12.33203125" customWidth="1"/>
    <col min="1803" max="1803" width="13.109375" customWidth="1"/>
    <col min="1804" max="1804" width="12.109375" customWidth="1"/>
    <col min="2049" max="2049" width="10.5546875" customWidth="1"/>
    <col min="2050" max="2050" width="16" customWidth="1"/>
    <col min="2051" max="2051" width="40.6640625" customWidth="1"/>
    <col min="2052" max="2052" width="7.109375" bestFit="1" customWidth="1"/>
    <col min="2053" max="2053" width="10.44140625" bestFit="1" customWidth="1"/>
    <col min="2054" max="2054" width="11.88671875" bestFit="1" customWidth="1"/>
    <col min="2055" max="2055" width="15.6640625" customWidth="1"/>
    <col min="2058" max="2058" width="12.33203125" customWidth="1"/>
    <col min="2059" max="2059" width="13.109375" customWidth="1"/>
    <col min="2060" max="2060" width="12.109375" customWidth="1"/>
    <col min="2305" max="2305" width="10.5546875" customWidth="1"/>
    <col min="2306" max="2306" width="16" customWidth="1"/>
    <col min="2307" max="2307" width="40.6640625" customWidth="1"/>
    <col min="2308" max="2308" width="7.109375" bestFit="1" customWidth="1"/>
    <col min="2309" max="2309" width="10.44140625" bestFit="1" customWidth="1"/>
    <col min="2310" max="2310" width="11.88671875" bestFit="1" customWidth="1"/>
    <col min="2311" max="2311" width="15.6640625" customWidth="1"/>
    <col min="2314" max="2314" width="12.33203125" customWidth="1"/>
    <col min="2315" max="2315" width="13.109375" customWidth="1"/>
    <col min="2316" max="2316" width="12.109375" customWidth="1"/>
    <col min="2561" max="2561" width="10.5546875" customWidth="1"/>
    <col min="2562" max="2562" width="16" customWidth="1"/>
    <col min="2563" max="2563" width="40.6640625" customWidth="1"/>
    <col min="2564" max="2564" width="7.109375" bestFit="1" customWidth="1"/>
    <col min="2565" max="2565" width="10.44140625" bestFit="1" customWidth="1"/>
    <col min="2566" max="2566" width="11.88671875" bestFit="1" customWidth="1"/>
    <col min="2567" max="2567" width="15.6640625" customWidth="1"/>
    <col min="2570" max="2570" width="12.33203125" customWidth="1"/>
    <col min="2571" max="2571" width="13.109375" customWidth="1"/>
    <col min="2572" max="2572" width="12.109375" customWidth="1"/>
    <col min="2817" max="2817" width="10.5546875" customWidth="1"/>
    <col min="2818" max="2818" width="16" customWidth="1"/>
    <col min="2819" max="2819" width="40.6640625" customWidth="1"/>
    <col min="2820" max="2820" width="7.109375" bestFit="1" customWidth="1"/>
    <col min="2821" max="2821" width="10.44140625" bestFit="1" customWidth="1"/>
    <col min="2822" max="2822" width="11.88671875" bestFit="1" customWidth="1"/>
    <col min="2823" max="2823" width="15.6640625" customWidth="1"/>
    <col min="2826" max="2826" width="12.33203125" customWidth="1"/>
    <col min="2827" max="2827" width="13.109375" customWidth="1"/>
    <col min="2828" max="2828" width="12.109375" customWidth="1"/>
    <col min="3073" max="3073" width="10.5546875" customWidth="1"/>
    <col min="3074" max="3074" width="16" customWidth="1"/>
    <col min="3075" max="3075" width="40.6640625" customWidth="1"/>
    <col min="3076" max="3076" width="7.109375" bestFit="1" customWidth="1"/>
    <col min="3077" max="3077" width="10.44140625" bestFit="1" customWidth="1"/>
    <col min="3078" max="3078" width="11.88671875" bestFit="1" customWidth="1"/>
    <col min="3079" max="3079" width="15.6640625" customWidth="1"/>
    <col min="3082" max="3082" width="12.33203125" customWidth="1"/>
    <col min="3083" max="3083" width="13.109375" customWidth="1"/>
    <col min="3084" max="3084" width="12.109375" customWidth="1"/>
    <col min="3329" max="3329" width="10.5546875" customWidth="1"/>
    <col min="3330" max="3330" width="16" customWidth="1"/>
    <col min="3331" max="3331" width="40.6640625" customWidth="1"/>
    <col min="3332" max="3332" width="7.109375" bestFit="1" customWidth="1"/>
    <col min="3333" max="3333" width="10.44140625" bestFit="1" customWidth="1"/>
    <col min="3334" max="3334" width="11.88671875" bestFit="1" customWidth="1"/>
    <col min="3335" max="3335" width="15.6640625" customWidth="1"/>
    <col min="3338" max="3338" width="12.33203125" customWidth="1"/>
    <col min="3339" max="3339" width="13.109375" customWidth="1"/>
    <col min="3340" max="3340" width="12.109375" customWidth="1"/>
    <col min="3585" max="3585" width="10.5546875" customWidth="1"/>
    <col min="3586" max="3586" width="16" customWidth="1"/>
    <col min="3587" max="3587" width="40.6640625" customWidth="1"/>
    <col min="3588" max="3588" width="7.109375" bestFit="1" customWidth="1"/>
    <col min="3589" max="3589" width="10.44140625" bestFit="1" customWidth="1"/>
    <col min="3590" max="3590" width="11.88671875" bestFit="1" customWidth="1"/>
    <col min="3591" max="3591" width="15.6640625" customWidth="1"/>
    <col min="3594" max="3594" width="12.33203125" customWidth="1"/>
    <col min="3595" max="3595" width="13.109375" customWidth="1"/>
    <col min="3596" max="3596" width="12.109375" customWidth="1"/>
    <col min="3841" max="3841" width="10.5546875" customWidth="1"/>
    <col min="3842" max="3842" width="16" customWidth="1"/>
    <col min="3843" max="3843" width="40.6640625" customWidth="1"/>
    <col min="3844" max="3844" width="7.109375" bestFit="1" customWidth="1"/>
    <col min="3845" max="3845" width="10.44140625" bestFit="1" customWidth="1"/>
    <col min="3846" max="3846" width="11.88671875" bestFit="1" customWidth="1"/>
    <col min="3847" max="3847" width="15.6640625" customWidth="1"/>
    <col min="3850" max="3850" width="12.33203125" customWidth="1"/>
    <col min="3851" max="3851" width="13.109375" customWidth="1"/>
    <col min="3852" max="3852" width="12.109375" customWidth="1"/>
    <col min="4097" max="4097" width="10.5546875" customWidth="1"/>
    <col min="4098" max="4098" width="16" customWidth="1"/>
    <col min="4099" max="4099" width="40.6640625" customWidth="1"/>
    <col min="4100" max="4100" width="7.109375" bestFit="1" customWidth="1"/>
    <col min="4101" max="4101" width="10.44140625" bestFit="1" customWidth="1"/>
    <col min="4102" max="4102" width="11.88671875" bestFit="1" customWidth="1"/>
    <col min="4103" max="4103" width="15.6640625" customWidth="1"/>
    <col min="4106" max="4106" width="12.33203125" customWidth="1"/>
    <col min="4107" max="4107" width="13.109375" customWidth="1"/>
    <col min="4108" max="4108" width="12.109375" customWidth="1"/>
    <col min="4353" max="4353" width="10.5546875" customWidth="1"/>
    <col min="4354" max="4354" width="16" customWidth="1"/>
    <col min="4355" max="4355" width="40.6640625" customWidth="1"/>
    <col min="4356" max="4356" width="7.109375" bestFit="1" customWidth="1"/>
    <col min="4357" max="4357" width="10.44140625" bestFit="1" customWidth="1"/>
    <col min="4358" max="4358" width="11.88671875" bestFit="1" customWidth="1"/>
    <col min="4359" max="4359" width="15.6640625" customWidth="1"/>
    <col min="4362" max="4362" width="12.33203125" customWidth="1"/>
    <col min="4363" max="4363" width="13.109375" customWidth="1"/>
    <col min="4364" max="4364" width="12.109375" customWidth="1"/>
    <col min="4609" max="4609" width="10.5546875" customWidth="1"/>
    <col min="4610" max="4610" width="16" customWidth="1"/>
    <col min="4611" max="4611" width="40.6640625" customWidth="1"/>
    <col min="4612" max="4612" width="7.109375" bestFit="1" customWidth="1"/>
    <col min="4613" max="4613" width="10.44140625" bestFit="1" customWidth="1"/>
    <col min="4614" max="4614" width="11.88671875" bestFit="1" customWidth="1"/>
    <col min="4615" max="4615" width="15.6640625" customWidth="1"/>
    <col min="4618" max="4618" width="12.33203125" customWidth="1"/>
    <col min="4619" max="4619" width="13.109375" customWidth="1"/>
    <col min="4620" max="4620" width="12.109375" customWidth="1"/>
    <col min="4865" max="4865" width="10.5546875" customWidth="1"/>
    <col min="4866" max="4866" width="16" customWidth="1"/>
    <col min="4867" max="4867" width="40.6640625" customWidth="1"/>
    <col min="4868" max="4868" width="7.109375" bestFit="1" customWidth="1"/>
    <col min="4869" max="4869" width="10.44140625" bestFit="1" customWidth="1"/>
    <col min="4870" max="4870" width="11.88671875" bestFit="1" customWidth="1"/>
    <col min="4871" max="4871" width="15.6640625" customWidth="1"/>
    <col min="4874" max="4874" width="12.33203125" customWidth="1"/>
    <col min="4875" max="4875" width="13.109375" customWidth="1"/>
    <col min="4876" max="4876" width="12.109375" customWidth="1"/>
    <col min="5121" max="5121" width="10.5546875" customWidth="1"/>
    <col min="5122" max="5122" width="16" customWidth="1"/>
    <col min="5123" max="5123" width="40.6640625" customWidth="1"/>
    <col min="5124" max="5124" width="7.109375" bestFit="1" customWidth="1"/>
    <col min="5125" max="5125" width="10.44140625" bestFit="1" customWidth="1"/>
    <col min="5126" max="5126" width="11.88671875" bestFit="1" customWidth="1"/>
    <col min="5127" max="5127" width="15.6640625" customWidth="1"/>
    <col min="5130" max="5130" width="12.33203125" customWidth="1"/>
    <col min="5131" max="5131" width="13.109375" customWidth="1"/>
    <col min="5132" max="5132" width="12.109375" customWidth="1"/>
    <col min="5377" max="5377" width="10.5546875" customWidth="1"/>
    <col min="5378" max="5378" width="16" customWidth="1"/>
    <col min="5379" max="5379" width="40.6640625" customWidth="1"/>
    <col min="5380" max="5380" width="7.109375" bestFit="1" customWidth="1"/>
    <col min="5381" max="5381" width="10.44140625" bestFit="1" customWidth="1"/>
    <col min="5382" max="5382" width="11.88671875" bestFit="1" customWidth="1"/>
    <col min="5383" max="5383" width="15.6640625" customWidth="1"/>
    <col min="5386" max="5386" width="12.33203125" customWidth="1"/>
    <col min="5387" max="5387" width="13.109375" customWidth="1"/>
    <col min="5388" max="5388" width="12.109375" customWidth="1"/>
    <col min="5633" max="5633" width="10.5546875" customWidth="1"/>
    <col min="5634" max="5634" width="16" customWidth="1"/>
    <col min="5635" max="5635" width="40.6640625" customWidth="1"/>
    <col min="5636" max="5636" width="7.109375" bestFit="1" customWidth="1"/>
    <col min="5637" max="5637" width="10.44140625" bestFit="1" customWidth="1"/>
    <col min="5638" max="5638" width="11.88671875" bestFit="1" customWidth="1"/>
    <col min="5639" max="5639" width="15.6640625" customWidth="1"/>
    <col min="5642" max="5642" width="12.33203125" customWidth="1"/>
    <col min="5643" max="5643" width="13.109375" customWidth="1"/>
    <col min="5644" max="5644" width="12.109375" customWidth="1"/>
    <col min="5889" max="5889" width="10.5546875" customWidth="1"/>
    <col min="5890" max="5890" width="16" customWidth="1"/>
    <col min="5891" max="5891" width="40.6640625" customWidth="1"/>
    <col min="5892" max="5892" width="7.109375" bestFit="1" customWidth="1"/>
    <col min="5893" max="5893" width="10.44140625" bestFit="1" customWidth="1"/>
    <col min="5894" max="5894" width="11.88671875" bestFit="1" customWidth="1"/>
    <col min="5895" max="5895" width="15.6640625" customWidth="1"/>
    <col min="5898" max="5898" width="12.33203125" customWidth="1"/>
    <col min="5899" max="5899" width="13.109375" customWidth="1"/>
    <col min="5900" max="5900" width="12.109375" customWidth="1"/>
    <col min="6145" max="6145" width="10.5546875" customWidth="1"/>
    <col min="6146" max="6146" width="16" customWidth="1"/>
    <col min="6147" max="6147" width="40.6640625" customWidth="1"/>
    <col min="6148" max="6148" width="7.109375" bestFit="1" customWidth="1"/>
    <col min="6149" max="6149" width="10.44140625" bestFit="1" customWidth="1"/>
    <col min="6150" max="6150" width="11.88671875" bestFit="1" customWidth="1"/>
    <col min="6151" max="6151" width="15.6640625" customWidth="1"/>
    <col min="6154" max="6154" width="12.33203125" customWidth="1"/>
    <col min="6155" max="6155" width="13.109375" customWidth="1"/>
    <col min="6156" max="6156" width="12.109375" customWidth="1"/>
    <col min="6401" max="6401" width="10.5546875" customWidth="1"/>
    <col min="6402" max="6402" width="16" customWidth="1"/>
    <col min="6403" max="6403" width="40.6640625" customWidth="1"/>
    <col min="6404" max="6404" width="7.109375" bestFit="1" customWidth="1"/>
    <col min="6405" max="6405" width="10.44140625" bestFit="1" customWidth="1"/>
    <col min="6406" max="6406" width="11.88671875" bestFit="1" customWidth="1"/>
    <col min="6407" max="6407" width="15.6640625" customWidth="1"/>
    <col min="6410" max="6410" width="12.33203125" customWidth="1"/>
    <col min="6411" max="6411" width="13.109375" customWidth="1"/>
    <col min="6412" max="6412" width="12.109375" customWidth="1"/>
    <col min="6657" max="6657" width="10.5546875" customWidth="1"/>
    <col min="6658" max="6658" width="16" customWidth="1"/>
    <col min="6659" max="6659" width="40.6640625" customWidth="1"/>
    <col min="6660" max="6660" width="7.109375" bestFit="1" customWidth="1"/>
    <col min="6661" max="6661" width="10.44140625" bestFit="1" customWidth="1"/>
    <col min="6662" max="6662" width="11.88671875" bestFit="1" customWidth="1"/>
    <col min="6663" max="6663" width="15.6640625" customWidth="1"/>
    <col min="6666" max="6666" width="12.33203125" customWidth="1"/>
    <col min="6667" max="6667" width="13.109375" customWidth="1"/>
    <col min="6668" max="6668" width="12.109375" customWidth="1"/>
    <col min="6913" max="6913" width="10.5546875" customWidth="1"/>
    <col min="6914" max="6914" width="16" customWidth="1"/>
    <col min="6915" max="6915" width="40.6640625" customWidth="1"/>
    <col min="6916" max="6916" width="7.109375" bestFit="1" customWidth="1"/>
    <col min="6917" max="6917" width="10.44140625" bestFit="1" customWidth="1"/>
    <col min="6918" max="6918" width="11.88671875" bestFit="1" customWidth="1"/>
    <col min="6919" max="6919" width="15.6640625" customWidth="1"/>
    <col min="6922" max="6922" width="12.33203125" customWidth="1"/>
    <col min="6923" max="6923" width="13.109375" customWidth="1"/>
    <col min="6924" max="6924" width="12.109375" customWidth="1"/>
    <col min="7169" max="7169" width="10.5546875" customWidth="1"/>
    <col min="7170" max="7170" width="16" customWidth="1"/>
    <col min="7171" max="7171" width="40.6640625" customWidth="1"/>
    <col min="7172" max="7172" width="7.109375" bestFit="1" customWidth="1"/>
    <col min="7173" max="7173" width="10.44140625" bestFit="1" customWidth="1"/>
    <col min="7174" max="7174" width="11.88671875" bestFit="1" customWidth="1"/>
    <col min="7175" max="7175" width="15.6640625" customWidth="1"/>
    <col min="7178" max="7178" width="12.33203125" customWidth="1"/>
    <col min="7179" max="7179" width="13.109375" customWidth="1"/>
    <col min="7180" max="7180" width="12.109375" customWidth="1"/>
    <col min="7425" max="7425" width="10.5546875" customWidth="1"/>
    <col min="7426" max="7426" width="16" customWidth="1"/>
    <col min="7427" max="7427" width="40.6640625" customWidth="1"/>
    <col min="7428" max="7428" width="7.109375" bestFit="1" customWidth="1"/>
    <col min="7429" max="7429" width="10.44140625" bestFit="1" customWidth="1"/>
    <col min="7430" max="7430" width="11.88671875" bestFit="1" customWidth="1"/>
    <col min="7431" max="7431" width="15.6640625" customWidth="1"/>
    <col min="7434" max="7434" width="12.33203125" customWidth="1"/>
    <col min="7435" max="7435" width="13.109375" customWidth="1"/>
    <col min="7436" max="7436" width="12.109375" customWidth="1"/>
    <col min="7681" max="7681" width="10.5546875" customWidth="1"/>
    <col min="7682" max="7682" width="16" customWidth="1"/>
    <col min="7683" max="7683" width="40.6640625" customWidth="1"/>
    <col min="7684" max="7684" width="7.109375" bestFit="1" customWidth="1"/>
    <col min="7685" max="7685" width="10.44140625" bestFit="1" customWidth="1"/>
    <col min="7686" max="7686" width="11.88671875" bestFit="1" customWidth="1"/>
    <col min="7687" max="7687" width="15.6640625" customWidth="1"/>
    <col min="7690" max="7690" width="12.33203125" customWidth="1"/>
    <col min="7691" max="7691" width="13.109375" customWidth="1"/>
    <col min="7692" max="7692" width="12.109375" customWidth="1"/>
    <col min="7937" max="7937" width="10.5546875" customWidth="1"/>
    <col min="7938" max="7938" width="16" customWidth="1"/>
    <col min="7939" max="7939" width="40.6640625" customWidth="1"/>
    <col min="7940" max="7940" width="7.109375" bestFit="1" customWidth="1"/>
    <col min="7941" max="7941" width="10.44140625" bestFit="1" customWidth="1"/>
    <col min="7942" max="7942" width="11.88671875" bestFit="1" customWidth="1"/>
    <col min="7943" max="7943" width="15.6640625" customWidth="1"/>
    <col min="7946" max="7946" width="12.33203125" customWidth="1"/>
    <col min="7947" max="7947" width="13.109375" customWidth="1"/>
    <col min="7948" max="7948" width="12.109375" customWidth="1"/>
    <col min="8193" max="8193" width="10.5546875" customWidth="1"/>
    <col min="8194" max="8194" width="16" customWidth="1"/>
    <col min="8195" max="8195" width="40.6640625" customWidth="1"/>
    <col min="8196" max="8196" width="7.109375" bestFit="1" customWidth="1"/>
    <col min="8197" max="8197" width="10.44140625" bestFit="1" customWidth="1"/>
    <col min="8198" max="8198" width="11.88671875" bestFit="1" customWidth="1"/>
    <col min="8199" max="8199" width="15.6640625" customWidth="1"/>
    <col min="8202" max="8202" width="12.33203125" customWidth="1"/>
    <col min="8203" max="8203" width="13.109375" customWidth="1"/>
    <col min="8204" max="8204" width="12.109375" customWidth="1"/>
    <col min="8449" max="8449" width="10.5546875" customWidth="1"/>
    <col min="8450" max="8450" width="16" customWidth="1"/>
    <col min="8451" max="8451" width="40.6640625" customWidth="1"/>
    <col min="8452" max="8452" width="7.109375" bestFit="1" customWidth="1"/>
    <col min="8453" max="8453" width="10.44140625" bestFit="1" customWidth="1"/>
    <col min="8454" max="8454" width="11.88671875" bestFit="1" customWidth="1"/>
    <col min="8455" max="8455" width="15.6640625" customWidth="1"/>
    <col min="8458" max="8458" width="12.33203125" customWidth="1"/>
    <col min="8459" max="8459" width="13.109375" customWidth="1"/>
    <col min="8460" max="8460" width="12.109375" customWidth="1"/>
    <col min="8705" max="8705" width="10.5546875" customWidth="1"/>
    <col min="8706" max="8706" width="16" customWidth="1"/>
    <col min="8707" max="8707" width="40.6640625" customWidth="1"/>
    <col min="8708" max="8708" width="7.109375" bestFit="1" customWidth="1"/>
    <col min="8709" max="8709" width="10.44140625" bestFit="1" customWidth="1"/>
    <col min="8710" max="8710" width="11.88671875" bestFit="1" customWidth="1"/>
    <col min="8711" max="8711" width="15.6640625" customWidth="1"/>
    <col min="8714" max="8714" width="12.33203125" customWidth="1"/>
    <col min="8715" max="8715" width="13.109375" customWidth="1"/>
    <col min="8716" max="8716" width="12.109375" customWidth="1"/>
    <col min="8961" max="8961" width="10.5546875" customWidth="1"/>
    <col min="8962" max="8962" width="16" customWidth="1"/>
    <col min="8963" max="8963" width="40.6640625" customWidth="1"/>
    <col min="8964" max="8964" width="7.109375" bestFit="1" customWidth="1"/>
    <col min="8965" max="8965" width="10.44140625" bestFit="1" customWidth="1"/>
    <col min="8966" max="8966" width="11.88671875" bestFit="1" customWidth="1"/>
    <col min="8967" max="8967" width="15.6640625" customWidth="1"/>
    <col min="8970" max="8970" width="12.33203125" customWidth="1"/>
    <col min="8971" max="8971" width="13.109375" customWidth="1"/>
    <col min="8972" max="8972" width="12.109375" customWidth="1"/>
    <col min="9217" max="9217" width="10.5546875" customWidth="1"/>
    <col min="9218" max="9218" width="16" customWidth="1"/>
    <col min="9219" max="9219" width="40.6640625" customWidth="1"/>
    <col min="9220" max="9220" width="7.109375" bestFit="1" customWidth="1"/>
    <col min="9221" max="9221" width="10.44140625" bestFit="1" customWidth="1"/>
    <col min="9222" max="9222" width="11.88671875" bestFit="1" customWidth="1"/>
    <col min="9223" max="9223" width="15.6640625" customWidth="1"/>
    <col min="9226" max="9226" width="12.33203125" customWidth="1"/>
    <col min="9227" max="9227" width="13.109375" customWidth="1"/>
    <col min="9228" max="9228" width="12.109375" customWidth="1"/>
    <col min="9473" max="9473" width="10.5546875" customWidth="1"/>
    <col min="9474" max="9474" width="16" customWidth="1"/>
    <col min="9475" max="9475" width="40.6640625" customWidth="1"/>
    <col min="9476" max="9476" width="7.109375" bestFit="1" customWidth="1"/>
    <col min="9477" max="9477" width="10.44140625" bestFit="1" customWidth="1"/>
    <col min="9478" max="9478" width="11.88671875" bestFit="1" customWidth="1"/>
    <col min="9479" max="9479" width="15.6640625" customWidth="1"/>
    <col min="9482" max="9482" width="12.33203125" customWidth="1"/>
    <col min="9483" max="9483" width="13.109375" customWidth="1"/>
    <col min="9484" max="9484" width="12.109375" customWidth="1"/>
    <col min="9729" max="9729" width="10.5546875" customWidth="1"/>
    <col min="9730" max="9730" width="16" customWidth="1"/>
    <col min="9731" max="9731" width="40.6640625" customWidth="1"/>
    <col min="9732" max="9732" width="7.109375" bestFit="1" customWidth="1"/>
    <col min="9733" max="9733" width="10.44140625" bestFit="1" customWidth="1"/>
    <col min="9734" max="9734" width="11.88671875" bestFit="1" customWidth="1"/>
    <col min="9735" max="9735" width="15.6640625" customWidth="1"/>
    <col min="9738" max="9738" width="12.33203125" customWidth="1"/>
    <col min="9739" max="9739" width="13.109375" customWidth="1"/>
    <col min="9740" max="9740" width="12.109375" customWidth="1"/>
    <col min="9985" max="9985" width="10.5546875" customWidth="1"/>
    <col min="9986" max="9986" width="16" customWidth="1"/>
    <col min="9987" max="9987" width="40.6640625" customWidth="1"/>
    <col min="9988" max="9988" width="7.109375" bestFit="1" customWidth="1"/>
    <col min="9989" max="9989" width="10.44140625" bestFit="1" customWidth="1"/>
    <col min="9990" max="9990" width="11.88671875" bestFit="1" customWidth="1"/>
    <col min="9991" max="9991" width="15.6640625" customWidth="1"/>
    <col min="9994" max="9994" width="12.33203125" customWidth="1"/>
    <col min="9995" max="9995" width="13.109375" customWidth="1"/>
    <col min="9996" max="9996" width="12.109375" customWidth="1"/>
    <col min="10241" max="10241" width="10.5546875" customWidth="1"/>
    <col min="10242" max="10242" width="16" customWidth="1"/>
    <col min="10243" max="10243" width="40.6640625" customWidth="1"/>
    <col min="10244" max="10244" width="7.109375" bestFit="1" customWidth="1"/>
    <col min="10245" max="10245" width="10.44140625" bestFit="1" customWidth="1"/>
    <col min="10246" max="10246" width="11.88671875" bestFit="1" customWidth="1"/>
    <col min="10247" max="10247" width="15.6640625" customWidth="1"/>
    <col min="10250" max="10250" width="12.33203125" customWidth="1"/>
    <col min="10251" max="10251" width="13.109375" customWidth="1"/>
    <col min="10252" max="10252" width="12.109375" customWidth="1"/>
    <col min="10497" max="10497" width="10.5546875" customWidth="1"/>
    <col min="10498" max="10498" width="16" customWidth="1"/>
    <col min="10499" max="10499" width="40.6640625" customWidth="1"/>
    <col min="10500" max="10500" width="7.109375" bestFit="1" customWidth="1"/>
    <col min="10501" max="10501" width="10.44140625" bestFit="1" customWidth="1"/>
    <col min="10502" max="10502" width="11.88671875" bestFit="1" customWidth="1"/>
    <col min="10503" max="10503" width="15.6640625" customWidth="1"/>
    <col min="10506" max="10506" width="12.33203125" customWidth="1"/>
    <col min="10507" max="10507" width="13.109375" customWidth="1"/>
    <col min="10508" max="10508" width="12.109375" customWidth="1"/>
    <col min="10753" max="10753" width="10.5546875" customWidth="1"/>
    <col min="10754" max="10754" width="16" customWidth="1"/>
    <col min="10755" max="10755" width="40.6640625" customWidth="1"/>
    <col min="10756" max="10756" width="7.109375" bestFit="1" customWidth="1"/>
    <col min="10757" max="10757" width="10.44140625" bestFit="1" customWidth="1"/>
    <col min="10758" max="10758" width="11.88671875" bestFit="1" customWidth="1"/>
    <col min="10759" max="10759" width="15.6640625" customWidth="1"/>
    <col min="10762" max="10762" width="12.33203125" customWidth="1"/>
    <col min="10763" max="10763" width="13.109375" customWidth="1"/>
    <col min="10764" max="10764" width="12.109375" customWidth="1"/>
    <col min="11009" max="11009" width="10.5546875" customWidth="1"/>
    <col min="11010" max="11010" width="16" customWidth="1"/>
    <col min="11011" max="11011" width="40.6640625" customWidth="1"/>
    <col min="11012" max="11012" width="7.109375" bestFit="1" customWidth="1"/>
    <col min="11013" max="11013" width="10.44140625" bestFit="1" customWidth="1"/>
    <col min="11014" max="11014" width="11.88671875" bestFit="1" customWidth="1"/>
    <col min="11015" max="11015" width="15.6640625" customWidth="1"/>
    <col min="11018" max="11018" width="12.33203125" customWidth="1"/>
    <col min="11019" max="11019" width="13.109375" customWidth="1"/>
    <col min="11020" max="11020" width="12.109375" customWidth="1"/>
    <col min="11265" max="11265" width="10.5546875" customWidth="1"/>
    <col min="11266" max="11266" width="16" customWidth="1"/>
    <col min="11267" max="11267" width="40.6640625" customWidth="1"/>
    <col min="11268" max="11268" width="7.109375" bestFit="1" customWidth="1"/>
    <col min="11269" max="11269" width="10.44140625" bestFit="1" customWidth="1"/>
    <col min="11270" max="11270" width="11.88671875" bestFit="1" customWidth="1"/>
    <col min="11271" max="11271" width="15.6640625" customWidth="1"/>
    <col min="11274" max="11274" width="12.33203125" customWidth="1"/>
    <col min="11275" max="11275" width="13.109375" customWidth="1"/>
    <col min="11276" max="11276" width="12.109375" customWidth="1"/>
    <col min="11521" max="11521" width="10.5546875" customWidth="1"/>
    <col min="11522" max="11522" width="16" customWidth="1"/>
    <col min="11523" max="11523" width="40.6640625" customWidth="1"/>
    <col min="11524" max="11524" width="7.109375" bestFit="1" customWidth="1"/>
    <col min="11525" max="11525" width="10.44140625" bestFit="1" customWidth="1"/>
    <col min="11526" max="11526" width="11.88671875" bestFit="1" customWidth="1"/>
    <col min="11527" max="11527" width="15.6640625" customWidth="1"/>
    <col min="11530" max="11530" width="12.33203125" customWidth="1"/>
    <col min="11531" max="11531" width="13.109375" customWidth="1"/>
    <col min="11532" max="11532" width="12.109375" customWidth="1"/>
    <col min="11777" max="11777" width="10.5546875" customWidth="1"/>
    <col min="11778" max="11778" width="16" customWidth="1"/>
    <col min="11779" max="11779" width="40.6640625" customWidth="1"/>
    <col min="11780" max="11780" width="7.109375" bestFit="1" customWidth="1"/>
    <col min="11781" max="11781" width="10.44140625" bestFit="1" customWidth="1"/>
    <col min="11782" max="11782" width="11.88671875" bestFit="1" customWidth="1"/>
    <col min="11783" max="11783" width="15.6640625" customWidth="1"/>
    <col min="11786" max="11786" width="12.33203125" customWidth="1"/>
    <col min="11787" max="11787" width="13.109375" customWidth="1"/>
    <col min="11788" max="11788" width="12.109375" customWidth="1"/>
    <col min="12033" max="12033" width="10.5546875" customWidth="1"/>
    <col min="12034" max="12034" width="16" customWidth="1"/>
    <col min="12035" max="12035" width="40.6640625" customWidth="1"/>
    <col min="12036" max="12036" width="7.109375" bestFit="1" customWidth="1"/>
    <col min="12037" max="12037" width="10.44140625" bestFit="1" customWidth="1"/>
    <col min="12038" max="12038" width="11.88671875" bestFit="1" customWidth="1"/>
    <col min="12039" max="12039" width="15.6640625" customWidth="1"/>
    <col min="12042" max="12042" width="12.33203125" customWidth="1"/>
    <col min="12043" max="12043" width="13.109375" customWidth="1"/>
    <col min="12044" max="12044" width="12.109375" customWidth="1"/>
    <col min="12289" max="12289" width="10.5546875" customWidth="1"/>
    <col min="12290" max="12290" width="16" customWidth="1"/>
    <col min="12291" max="12291" width="40.6640625" customWidth="1"/>
    <col min="12292" max="12292" width="7.109375" bestFit="1" customWidth="1"/>
    <col min="12293" max="12293" width="10.44140625" bestFit="1" customWidth="1"/>
    <col min="12294" max="12294" width="11.88671875" bestFit="1" customWidth="1"/>
    <col min="12295" max="12295" width="15.6640625" customWidth="1"/>
    <col min="12298" max="12298" width="12.33203125" customWidth="1"/>
    <col min="12299" max="12299" width="13.109375" customWidth="1"/>
    <col min="12300" max="12300" width="12.109375" customWidth="1"/>
    <col min="12545" max="12545" width="10.5546875" customWidth="1"/>
    <col min="12546" max="12546" width="16" customWidth="1"/>
    <col min="12547" max="12547" width="40.6640625" customWidth="1"/>
    <col min="12548" max="12548" width="7.109375" bestFit="1" customWidth="1"/>
    <col min="12549" max="12549" width="10.44140625" bestFit="1" customWidth="1"/>
    <col min="12550" max="12550" width="11.88671875" bestFit="1" customWidth="1"/>
    <col min="12551" max="12551" width="15.6640625" customWidth="1"/>
    <col min="12554" max="12554" width="12.33203125" customWidth="1"/>
    <col min="12555" max="12555" width="13.109375" customWidth="1"/>
    <col min="12556" max="12556" width="12.109375" customWidth="1"/>
    <col min="12801" max="12801" width="10.5546875" customWidth="1"/>
    <col min="12802" max="12802" width="16" customWidth="1"/>
    <col min="12803" max="12803" width="40.6640625" customWidth="1"/>
    <col min="12804" max="12804" width="7.109375" bestFit="1" customWidth="1"/>
    <col min="12805" max="12805" width="10.44140625" bestFit="1" customWidth="1"/>
    <col min="12806" max="12806" width="11.88671875" bestFit="1" customWidth="1"/>
    <col min="12807" max="12807" width="15.6640625" customWidth="1"/>
    <col min="12810" max="12810" width="12.33203125" customWidth="1"/>
    <col min="12811" max="12811" width="13.109375" customWidth="1"/>
    <col min="12812" max="12812" width="12.109375" customWidth="1"/>
    <col min="13057" max="13057" width="10.5546875" customWidth="1"/>
    <col min="13058" max="13058" width="16" customWidth="1"/>
    <col min="13059" max="13059" width="40.6640625" customWidth="1"/>
    <col min="13060" max="13060" width="7.109375" bestFit="1" customWidth="1"/>
    <col min="13061" max="13061" width="10.44140625" bestFit="1" customWidth="1"/>
    <col min="13062" max="13062" width="11.88671875" bestFit="1" customWidth="1"/>
    <col min="13063" max="13063" width="15.6640625" customWidth="1"/>
    <col min="13066" max="13066" width="12.33203125" customWidth="1"/>
    <col min="13067" max="13067" width="13.109375" customWidth="1"/>
    <col min="13068" max="13068" width="12.109375" customWidth="1"/>
    <col min="13313" max="13313" width="10.5546875" customWidth="1"/>
    <col min="13314" max="13314" width="16" customWidth="1"/>
    <col min="13315" max="13315" width="40.6640625" customWidth="1"/>
    <col min="13316" max="13316" width="7.109375" bestFit="1" customWidth="1"/>
    <col min="13317" max="13317" width="10.44140625" bestFit="1" customWidth="1"/>
    <col min="13318" max="13318" width="11.88671875" bestFit="1" customWidth="1"/>
    <col min="13319" max="13319" width="15.6640625" customWidth="1"/>
    <col min="13322" max="13322" width="12.33203125" customWidth="1"/>
    <col min="13323" max="13323" width="13.109375" customWidth="1"/>
    <col min="13324" max="13324" width="12.109375" customWidth="1"/>
    <col min="13569" max="13569" width="10.5546875" customWidth="1"/>
    <col min="13570" max="13570" width="16" customWidth="1"/>
    <col min="13571" max="13571" width="40.6640625" customWidth="1"/>
    <col min="13572" max="13572" width="7.109375" bestFit="1" customWidth="1"/>
    <col min="13573" max="13573" width="10.44140625" bestFit="1" customWidth="1"/>
    <col min="13574" max="13574" width="11.88671875" bestFit="1" customWidth="1"/>
    <col min="13575" max="13575" width="15.6640625" customWidth="1"/>
    <col min="13578" max="13578" width="12.33203125" customWidth="1"/>
    <col min="13579" max="13579" width="13.109375" customWidth="1"/>
    <col min="13580" max="13580" width="12.109375" customWidth="1"/>
    <col min="13825" max="13825" width="10.5546875" customWidth="1"/>
    <col min="13826" max="13826" width="16" customWidth="1"/>
    <col min="13827" max="13827" width="40.6640625" customWidth="1"/>
    <col min="13828" max="13828" width="7.109375" bestFit="1" customWidth="1"/>
    <col min="13829" max="13829" width="10.44140625" bestFit="1" customWidth="1"/>
    <col min="13830" max="13830" width="11.88671875" bestFit="1" customWidth="1"/>
    <col min="13831" max="13831" width="15.6640625" customWidth="1"/>
    <col min="13834" max="13834" width="12.33203125" customWidth="1"/>
    <col min="13835" max="13835" width="13.109375" customWidth="1"/>
    <col min="13836" max="13836" width="12.109375" customWidth="1"/>
    <col min="14081" max="14081" width="10.5546875" customWidth="1"/>
    <col min="14082" max="14082" width="16" customWidth="1"/>
    <col min="14083" max="14083" width="40.6640625" customWidth="1"/>
    <col min="14084" max="14084" width="7.109375" bestFit="1" customWidth="1"/>
    <col min="14085" max="14085" width="10.44140625" bestFit="1" customWidth="1"/>
    <col min="14086" max="14086" width="11.88671875" bestFit="1" customWidth="1"/>
    <col min="14087" max="14087" width="15.6640625" customWidth="1"/>
    <col min="14090" max="14090" width="12.33203125" customWidth="1"/>
    <col min="14091" max="14091" width="13.109375" customWidth="1"/>
    <col min="14092" max="14092" width="12.109375" customWidth="1"/>
    <col min="14337" max="14337" width="10.5546875" customWidth="1"/>
    <col min="14338" max="14338" width="16" customWidth="1"/>
    <col min="14339" max="14339" width="40.6640625" customWidth="1"/>
    <col min="14340" max="14340" width="7.109375" bestFit="1" customWidth="1"/>
    <col min="14341" max="14341" width="10.44140625" bestFit="1" customWidth="1"/>
    <col min="14342" max="14342" width="11.88671875" bestFit="1" customWidth="1"/>
    <col min="14343" max="14343" width="15.6640625" customWidth="1"/>
    <col min="14346" max="14346" width="12.33203125" customWidth="1"/>
    <col min="14347" max="14347" width="13.109375" customWidth="1"/>
    <col min="14348" max="14348" width="12.109375" customWidth="1"/>
    <col min="14593" max="14593" width="10.5546875" customWidth="1"/>
    <col min="14594" max="14594" width="16" customWidth="1"/>
    <col min="14595" max="14595" width="40.6640625" customWidth="1"/>
    <col min="14596" max="14596" width="7.109375" bestFit="1" customWidth="1"/>
    <col min="14597" max="14597" width="10.44140625" bestFit="1" customWidth="1"/>
    <col min="14598" max="14598" width="11.88671875" bestFit="1" customWidth="1"/>
    <col min="14599" max="14599" width="15.6640625" customWidth="1"/>
    <col min="14602" max="14602" width="12.33203125" customWidth="1"/>
    <col min="14603" max="14603" width="13.109375" customWidth="1"/>
    <col min="14604" max="14604" width="12.109375" customWidth="1"/>
    <col min="14849" max="14849" width="10.5546875" customWidth="1"/>
    <col min="14850" max="14850" width="16" customWidth="1"/>
    <col min="14851" max="14851" width="40.6640625" customWidth="1"/>
    <col min="14852" max="14852" width="7.109375" bestFit="1" customWidth="1"/>
    <col min="14853" max="14853" width="10.44140625" bestFit="1" customWidth="1"/>
    <col min="14854" max="14854" width="11.88671875" bestFit="1" customWidth="1"/>
    <col min="14855" max="14855" width="15.6640625" customWidth="1"/>
    <col min="14858" max="14858" width="12.33203125" customWidth="1"/>
    <col min="14859" max="14859" width="13.109375" customWidth="1"/>
    <col min="14860" max="14860" width="12.109375" customWidth="1"/>
    <col min="15105" max="15105" width="10.5546875" customWidth="1"/>
    <col min="15106" max="15106" width="16" customWidth="1"/>
    <col min="15107" max="15107" width="40.6640625" customWidth="1"/>
    <col min="15108" max="15108" width="7.109375" bestFit="1" customWidth="1"/>
    <col min="15109" max="15109" width="10.44140625" bestFit="1" customWidth="1"/>
    <col min="15110" max="15110" width="11.88671875" bestFit="1" customWidth="1"/>
    <col min="15111" max="15111" width="15.6640625" customWidth="1"/>
    <col min="15114" max="15114" width="12.33203125" customWidth="1"/>
    <col min="15115" max="15115" width="13.109375" customWidth="1"/>
    <col min="15116" max="15116" width="12.109375" customWidth="1"/>
    <col min="15361" max="15361" width="10.5546875" customWidth="1"/>
    <col min="15362" max="15362" width="16" customWidth="1"/>
    <col min="15363" max="15363" width="40.6640625" customWidth="1"/>
    <col min="15364" max="15364" width="7.109375" bestFit="1" customWidth="1"/>
    <col min="15365" max="15365" width="10.44140625" bestFit="1" customWidth="1"/>
    <col min="15366" max="15366" width="11.88671875" bestFit="1" customWidth="1"/>
    <col min="15367" max="15367" width="15.6640625" customWidth="1"/>
    <col min="15370" max="15370" width="12.33203125" customWidth="1"/>
    <col min="15371" max="15371" width="13.109375" customWidth="1"/>
    <col min="15372" max="15372" width="12.109375" customWidth="1"/>
    <col min="15617" max="15617" width="10.5546875" customWidth="1"/>
    <col min="15618" max="15618" width="16" customWidth="1"/>
    <col min="15619" max="15619" width="40.6640625" customWidth="1"/>
    <col min="15620" max="15620" width="7.109375" bestFit="1" customWidth="1"/>
    <col min="15621" max="15621" width="10.44140625" bestFit="1" customWidth="1"/>
    <col min="15622" max="15622" width="11.88671875" bestFit="1" customWidth="1"/>
    <col min="15623" max="15623" width="15.6640625" customWidth="1"/>
    <col min="15626" max="15626" width="12.33203125" customWidth="1"/>
    <col min="15627" max="15627" width="13.109375" customWidth="1"/>
    <col min="15628" max="15628" width="12.109375" customWidth="1"/>
    <col min="15873" max="15873" width="10.5546875" customWidth="1"/>
    <col min="15874" max="15874" width="16" customWidth="1"/>
    <col min="15875" max="15875" width="40.6640625" customWidth="1"/>
    <col min="15876" max="15876" width="7.109375" bestFit="1" customWidth="1"/>
    <col min="15877" max="15877" width="10.44140625" bestFit="1" customWidth="1"/>
    <col min="15878" max="15878" width="11.88671875" bestFit="1" customWidth="1"/>
    <col min="15879" max="15879" width="15.6640625" customWidth="1"/>
    <col min="15882" max="15882" width="12.33203125" customWidth="1"/>
    <col min="15883" max="15883" width="13.109375" customWidth="1"/>
    <col min="15884" max="15884" width="12.109375" customWidth="1"/>
    <col min="16129" max="16129" width="10.5546875" customWidth="1"/>
    <col min="16130" max="16130" width="16" customWidth="1"/>
    <col min="16131" max="16131" width="40.6640625" customWidth="1"/>
    <col min="16132" max="16132" width="7.109375" bestFit="1" customWidth="1"/>
    <col min="16133" max="16133" width="10.44140625" bestFit="1" customWidth="1"/>
    <col min="16134" max="16134" width="11.88671875" bestFit="1" customWidth="1"/>
    <col min="16135" max="16135" width="15.6640625" customWidth="1"/>
    <col min="16138" max="16138" width="12.33203125" customWidth="1"/>
    <col min="16139" max="16139" width="13.109375" customWidth="1"/>
    <col min="16140" max="16140" width="12.109375" customWidth="1"/>
  </cols>
  <sheetData>
    <row r="1" spans="1:7" x14ac:dyDescent="0.25">
      <c r="A1" s="83" t="str">
        <f>'Modelo Planilha Orcamentaria'!A2:E2</f>
        <v>PREFEITURA: PREFEITURA MUNICIPAL DE BOM JARDIM DE MINAS - MG</v>
      </c>
      <c r="B1" s="83"/>
      <c r="C1" s="83"/>
      <c r="D1" s="83"/>
      <c r="E1" s="83"/>
      <c r="F1" s="83"/>
      <c r="G1" s="83"/>
    </row>
    <row r="2" spans="1:7" x14ac:dyDescent="0.25">
      <c r="A2" s="83" t="str">
        <f>'Modelo Planilha Orcamentaria'!A3:E3</f>
        <v>OBRA: REVITALIZAÇÃO, REFORMA E CONSTRUÇÃO DE BANHEIROS PÚBLICOS NA PRAÇA ANTÔNIO JACINTO FARIA - ETAPA 02</v>
      </c>
      <c r="B2" s="83"/>
      <c r="C2" s="83"/>
      <c r="D2" s="83"/>
      <c r="E2" s="83"/>
      <c r="F2" s="83"/>
      <c r="G2" s="83"/>
    </row>
    <row r="3" spans="1:7" x14ac:dyDescent="0.25">
      <c r="A3" s="83" t="str">
        <f>'Modelo Planilha Orcamentaria'!A4:E4</f>
        <v>LOCAL:  PRAÇA ANTÔNIO JACINTO FARIA  - BAIRRO CENTRO - BOM JARDIM DE MINAS / MG</v>
      </c>
      <c r="B3" s="83"/>
      <c r="C3" s="83"/>
      <c r="D3" s="83"/>
      <c r="E3" s="83"/>
      <c r="F3" s="83"/>
      <c r="G3" s="83"/>
    </row>
    <row r="4" spans="1:7" ht="26.4" customHeight="1" x14ac:dyDescent="0.25">
      <c r="A4" s="732" t="str">
        <f>'Modelo Planilha Orcamentaria'!A5:E5</f>
        <v>REGIÃO/MÊS DE REFERÊNCIA: SEINFRA REGIÃO LESTE OUTUBRO/2024 E SINAPI DEZEMBRO/2024 PREÇO DE CUSTO COM DESONERAÇÃO FISCAL - LEI 12.546/2011 e 12.844/2013</v>
      </c>
      <c r="B4" s="732"/>
      <c r="C4" s="732"/>
      <c r="D4" s="732"/>
      <c r="E4" s="732"/>
      <c r="F4" s="732"/>
      <c r="G4" s="732"/>
    </row>
    <row r="5" spans="1:7" x14ac:dyDescent="0.25">
      <c r="A5" s="83" t="str">
        <f>'Modelo Planilha Orcamentaria'!A6:E6</f>
        <v xml:space="preserve">PRAZO DE EXECUÇÃO: 5 meses </v>
      </c>
      <c r="B5" s="83"/>
      <c r="C5" s="83"/>
      <c r="D5" s="83"/>
      <c r="E5" s="83"/>
      <c r="F5" s="83"/>
      <c r="G5" s="83"/>
    </row>
    <row r="6" spans="1:7" ht="4.95" customHeight="1" thickBot="1" x14ac:dyDescent="0.3">
      <c r="A6" s="257"/>
      <c r="B6" s="257"/>
      <c r="C6" s="257"/>
      <c r="D6" s="257"/>
      <c r="E6" s="257"/>
      <c r="F6" s="257"/>
      <c r="G6" s="257"/>
    </row>
    <row r="7" spans="1:7" ht="15" thickBot="1" x14ac:dyDescent="0.35">
      <c r="A7" s="258"/>
      <c r="B7" s="733" t="s">
        <v>64</v>
      </c>
      <c r="C7" s="734"/>
      <c r="D7" s="734"/>
      <c r="E7" s="734"/>
      <c r="F7" s="734"/>
      <c r="G7" s="735"/>
    </row>
    <row r="8" spans="1:7" x14ac:dyDescent="0.25">
      <c r="A8" s="105"/>
      <c r="B8" s="106"/>
      <c r="C8" s="107"/>
      <c r="D8" s="108"/>
      <c r="E8" s="108"/>
      <c r="F8" s="108"/>
      <c r="G8" s="109"/>
    </row>
    <row r="9" spans="1:7" ht="25.05" customHeight="1" x14ac:dyDescent="0.25">
      <c r="A9" s="259"/>
      <c r="B9" s="115" t="s">
        <v>37</v>
      </c>
      <c r="C9" s="249" t="s">
        <v>415</v>
      </c>
      <c r="D9" s="116" t="s">
        <v>13</v>
      </c>
      <c r="E9" s="117">
        <v>45566</v>
      </c>
      <c r="F9" s="301" t="s">
        <v>420</v>
      </c>
      <c r="G9" s="118">
        <f>SUM(G11:G14)</f>
        <v>226.94666666666666</v>
      </c>
    </row>
    <row r="10" spans="1:7" x14ac:dyDescent="0.25">
      <c r="A10" s="260"/>
      <c r="B10" s="261" t="s">
        <v>4</v>
      </c>
      <c r="C10" s="262" t="s">
        <v>66</v>
      </c>
      <c r="D10" s="263" t="s">
        <v>3</v>
      </c>
      <c r="E10" s="263" t="s">
        <v>67</v>
      </c>
      <c r="F10" s="263" t="s">
        <v>68</v>
      </c>
      <c r="G10" s="264" t="s">
        <v>69</v>
      </c>
    </row>
    <row r="11" spans="1:7" ht="15" customHeight="1" x14ac:dyDescent="0.25">
      <c r="A11" s="110" t="s">
        <v>432</v>
      </c>
      <c r="B11" s="119" t="s">
        <v>433</v>
      </c>
      <c r="C11" s="120" t="str">
        <f>COTAÇÕES!B7</f>
        <v>LUMINÁRIA ARANDELA COLONIAL EXTERNA SEXTAVADA PRETA INCLUSIVE FRETE</v>
      </c>
      <c r="D11" s="100" t="str">
        <f>COTAÇÕES!C7</f>
        <v>UNID.</v>
      </c>
      <c r="E11" s="121">
        <v>1</v>
      </c>
      <c r="F11" s="112">
        <f>COTAÇÕES!F7</f>
        <v>141.66666666666666</v>
      </c>
      <c r="G11" s="122">
        <f t="shared" ref="G11:G14" si="0">E11*F11</f>
        <v>141.66666666666666</v>
      </c>
    </row>
    <row r="12" spans="1:7" ht="25.05" customHeight="1" x14ac:dyDescent="0.25">
      <c r="A12" s="110" t="s">
        <v>70</v>
      </c>
      <c r="B12" s="119" t="s">
        <v>421</v>
      </c>
      <c r="C12" s="120" t="s">
        <v>598</v>
      </c>
      <c r="D12" s="100" t="s">
        <v>422</v>
      </c>
      <c r="E12" s="121">
        <v>1</v>
      </c>
      <c r="F12" s="112">
        <v>17.989999999999998</v>
      </c>
      <c r="G12" s="122">
        <f t="shared" si="0"/>
        <v>17.989999999999998</v>
      </c>
    </row>
    <row r="13" spans="1:7" ht="15" customHeight="1" x14ac:dyDescent="0.25">
      <c r="A13" s="110" t="s">
        <v>70</v>
      </c>
      <c r="B13" s="119" t="s">
        <v>430</v>
      </c>
      <c r="C13" s="120" t="s">
        <v>431</v>
      </c>
      <c r="D13" s="100" t="s">
        <v>373</v>
      </c>
      <c r="E13" s="121">
        <v>2</v>
      </c>
      <c r="F13" s="112">
        <v>20.83</v>
      </c>
      <c r="G13" s="122">
        <f t="shared" si="0"/>
        <v>41.66</v>
      </c>
    </row>
    <row r="14" spans="1:7" ht="15" customHeight="1" x14ac:dyDescent="0.25">
      <c r="A14" s="110" t="s">
        <v>70</v>
      </c>
      <c r="B14" s="119" t="s">
        <v>434</v>
      </c>
      <c r="C14" s="120" t="s">
        <v>435</v>
      </c>
      <c r="D14" s="100" t="s">
        <v>373</v>
      </c>
      <c r="E14" s="121">
        <v>1</v>
      </c>
      <c r="F14" s="112">
        <v>25.63</v>
      </c>
      <c r="G14" s="122">
        <f t="shared" si="0"/>
        <v>25.63</v>
      </c>
    </row>
    <row r="15" spans="1:7" ht="3" customHeight="1" x14ac:dyDescent="0.25">
      <c r="A15" s="276"/>
      <c r="B15" s="276"/>
      <c r="C15" s="276"/>
      <c r="D15" s="276"/>
      <c r="E15" s="276"/>
      <c r="F15" s="276"/>
      <c r="G15" s="276"/>
    </row>
    <row r="16" spans="1:7" x14ac:dyDescent="0.25">
      <c r="A16" s="105"/>
      <c r="B16" s="106"/>
      <c r="C16" s="107" t="s">
        <v>34</v>
      </c>
      <c r="D16" s="108" t="s">
        <v>3</v>
      </c>
      <c r="E16" s="108" t="s">
        <v>35</v>
      </c>
      <c r="F16" s="108" t="s">
        <v>65</v>
      </c>
      <c r="G16" s="109" t="s">
        <v>36</v>
      </c>
    </row>
    <row r="17" spans="1:7" ht="45" customHeight="1" x14ac:dyDescent="0.25">
      <c r="A17" s="259"/>
      <c r="B17" s="115" t="s">
        <v>365</v>
      </c>
      <c r="C17" s="249" t="s">
        <v>376</v>
      </c>
      <c r="D17" s="116" t="s">
        <v>9</v>
      </c>
      <c r="E17" s="117" t="s">
        <v>575</v>
      </c>
      <c r="F17" s="111" t="s">
        <v>377</v>
      </c>
      <c r="G17" s="118">
        <f>SUM(G19:G25)</f>
        <v>1077.5197747650002</v>
      </c>
    </row>
    <row r="18" spans="1:7" x14ac:dyDescent="0.25">
      <c r="A18" s="260"/>
      <c r="B18" s="261" t="s">
        <v>4</v>
      </c>
      <c r="C18" s="262" t="s">
        <v>66</v>
      </c>
      <c r="D18" s="263" t="s">
        <v>3</v>
      </c>
      <c r="E18" s="263" t="s">
        <v>67</v>
      </c>
      <c r="F18" s="263" t="s">
        <v>68</v>
      </c>
      <c r="G18" s="264" t="s">
        <v>69</v>
      </c>
    </row>
    <row r="19" spans="1:7" ht="25.05" customHeight="1" x14ac:dyDescent="0.25">
      <c r="A19" s="110" t="s">
        <v>367</v>
      </c>
      <c r="B19" s="119">
        <v>142</v>
      </c>
      <c r="C19" s="120" t="s">
        <v>370</v>
      </c>
      <c r="D19" s="100" t="s">
        <v>369</v>
      </c>
      <c r="E19" s="121">
        <v>0.83509999999999995</v>
      </c>
      <c r="F19" s="112">
        <v>30.69</v>
      </c>
      <c r="G19" s="122">
        <f>E19*F19</f>
        <v>25.629218999999999</v>
      </c>
    </row>
    <row r="20" spans="1:7" ht="45" customHeight="1" x14ac:dyDescent="0.25">
      <c r="A20" s="110" t="s">
        <v>367</v>
      </c>
      <c r="B20" s="119">
        <v>3421</v>
      </c>
      <c r="C20" s="120" t="s">
        <v>366</v>
      </c>
      <c r="D20" s="100" t="s">
        <v>9</v>
      </c>
      <c r="E20" s="121">
        <v>1</v>
      </c>
      <c r="F20" s="112">
        <v>767.66</v>
      </c>
      <c r="G20" s="122">
        <f t="shared" ref="G20:G25" si="1">E20*F20</f>
        <v>767.66</v>
      </c>
    </row>
    <row r="21" spans="1:7" ht="34.950000000000003" customHeight="1" x14ac:dyDescent="0.25">
      <c r="A21" s="110" t="s">
        <v>70</v>
      </c>
      <c r="B21" s="119" t="s">
        <v>375</v>
      </c>
      <c r="C21" s="120" t="s">
        <v>374</v>
      </c>
      <c r="D21" s="100" t="s">
        <v>9</v>
      </c>
      <c r="E21" s="121">
        <v>1</v>
      </c>
      <c r="F21" s="112">
        <v>187.7</v>
      </c>
      <c r="G21" s="122">
        <f t="shared" si="1"/>
        <v>187.7</v>
      </c>
    </row>
    <row r="22" spans="1:7" ht="25.05" customHeight="1" x14ac:dyDescent="0.25">
      <c r="A22" s="110" t="s">
        <v>367</v>
      </c>
      <c r="B22" s="119">
        <v>4430</v>
      </c>
      <c r="C22" s="120" t="s">
        <v>567</v>
      </c>
      <c r="D22" s="100" t="s">
        <v>9</v>
      </c>
      <c r="E22" s="121">
        <v>1.7258</v>
      </c>
      <c r="F22" s="112">
        <v>17.98</v>
      </c>
      <c r="G22" s="122">
        <f t="shared" si="1"/>
        <v>31.029883999999999</v>
      </c>
    </row>
    <row r="23" spans="1:7" ht="15" customHeight="1" x14ac:dyDescent="0.25">
      <c r="A23" s="110" t="s">
        <v>367</v>
      </c>
      <c r="B23" s="119">
        <v>5067</v>
      </c>
      <c r="C23" s="120" t="s">
        <v>368</v>
      </c>
      <c r="D23" s="100" t="s">
        <v>58</v>
      </c>
      <c r="E23" s="121">
        <v>4.2867700000000002E-2</v>
      </c>
      <c r="F23" s="112">
        <v>19.45</v>
      </c>
      <c r="G23" s="122">
        <f t="shared" si="1"/>
        <v>0.83377676499999998</v>
      </c>
    </row>
    <row r="24" spans="1:7" ht="15" customHeight="1" x14ac:dyDescent="0.25">
      <c r="A24" s="110" t="s">
        <v>70</v>
      </c>
      <c r="B24" s="119" t="s">
        <v>546</v>
      </c>
      <c r="C24" s="120" t="s">
        <v>371</v>
      </c>
      <c r="D24" s="100" t="s">
        <v>373</v>
      </c>
      <c r="E24" s="121">
        <v>1.7330000000000001</v>
      </c>
      <c r="F24" s="112">
        <v>28.05</v>
      </c>
      <c r="G24" s="122">
        <f t="shared" si="1"/>
        <v>48.610650000000007</v>
      </c>
    </row>
    <row r="25" spans="1:7" ht="15" customHeight="1" x14ac:dyDescent="0.25">
      <c r="A25" s="110" t="s">
        <v>70</v>
      </c>
      <c r="B25" s="119" t="s">
        <v>466</v>
      </c>
      <c r="C25" s="120" t="s">
        <v>372</v>
      </c>
      <c r="D25" s="100" t="s">
        <v>373</v>
      </c>
      <c r="E25" s="121">
        <v>0.86650000000000005</v>
      </c>
      <c r="F25" s="112">
        <v>18.53</v>
      </c>
      <c r="G25" s="122">
        <f t="shared" si="1"/>
        <v>16.056245000000001</v>
      </c>
    </row>
    <row r="26" spans="1:7" ht="3" customHeight="1" x14ac:dyDescent="0.25">
      <c r="A26" s="276"/>
      <c r="B26" s="276"/>
      <c r="C26" s="276"/>
      <c r="D26" s="276"/>
      <c r="E26" s="276"/>
      <c r="F26" s="276"/>
      <c r="G26" s="276"/>
    </row>
    <row r="27" spans="1:7" ht="34.950000000000003" customHeight="1" x14ac:dyDescent="0.25">
      <c r="A27" s="259"/>
      <c r="B27" s="115" t="s">
        <v>486</v>
      </c>
      <c r="C27" s="249" t="s">
        <v>461</v>
      </c>
      <c r="D27" s="116" t="s">
        <v>9</v>
      </c>
      <c r="E27" s="117">
        <v>45566</v>
      </c>
      <c r="F27" s="301" t="s">
        <v>420</v>
      </c>
      <c r="G27" s="118">
        <f>SUM(G29:G33)</f>
        <v>416.33500000000004</v>
      </c>
    </row>
    <row r="28" spans="1:7" x14ac:dyDescent="0.25">
      <c r="A28" s="260"/>
      <c r="B28" s="261" t="s">
        <v>4</v>
      </c>
      <c r="C28" s="262" t="s">
        <v>66</v>
      </c>
      <c r="D28" s="263" t="s">
        <v>3</v>
      </c>
      <c r="E28" s="263" t="s">
        <v>67</v>
      </c>
      <c r="F28" s="263" t="s">
        <v>68</v>
      </c>
      <c r="G28" s="264" t="s">
        <v>69</v>
      </c>
    </row>
    <row r="29" spans="1:7" ht="15" customHeight="1" x14ac:dyDescent="0.25">
      <c r="A29" s="110" t="s">
        <v>432</v>
      </c>
      <c r="B29" s="119" t="s">
        <v>463</v>
      </c>
      <c r="C29" s="120" t="str">
        <f>COTAÇÕES!B15</f>
        <v>GRANITO AMARELO ORNAMENTAL ESP. 3CM INCLUSIVE POLIMENTO</v>
      </c>
      <c r="D29" s="100" t="str">
        <f>COTAÇÕES!C15</f>
        <v>M2</v>
      </c>
      <c r="E29" s="121">
        <v>1.05</v>
      </c>
      <c r="F29" s="112">
        <f>COTAÇÕES!F15</f>
        <v>323.33333333333331</v>
      </c>
      <c r="G29" s="122">
        <f t="shared" ref="G29:G33" si="2">E29*F29</f>
        <v>339.5</v>
      </c>
    </row>
    <row r="30" spans="1:7" ht="25.05" customHeight="1" x14ac:dyDescent="0.25">
      <c r="A30" s="110" t="s">
        <v>493</v>
      </c>
      <c r="B30" s="119" t="s">
        <v>464</v>
      </c>
      <c r="C30" s="120" t="s">
        <v>465</v>
      </c>
      <c r="D30" s="100" t="s">
        <v>58</v>
      </c>
      <c r="E30" s="121">
        <v>5</v>
      </c>
      <c r="F30">
        <v>1.7649999999999999</v>
      </c>
      <c r="G30" s="122">
        <f t="shared" si="2"/>
        <v>8.8249999999999993</v>
      </c>
    </row>
    <row r="31" spans="1:7" ht="15" customHeight="1" x14ac:dyDescent="0.25">
      <c r="A31" s="110" t="s">
        <v>70</v>
      </c>
      <c r="B31" s="119" t="s">
        <v>466</v>
      </c>
      <c r="C31" s="120" t="s">
        <v>372</v>
      </c>
      <c r="D31" s="100" t="s">
        <v>373</v>
      </c>
      <c r="E31" s="121">
        <v>2</v>
      </c>
      <c r="F31">
        <v>18.53</v>
      </c>
      <c r="G31" s="122">
        <f t="shared" si="2"/>
        <v>37.06</v>
      </c>
    </row>
    <row r="32" spans="1:7" ht="15" customHeight="1" x14ac:dyDescent="0.25">
      <c r="A32" s="110" t="s">
        <v>70</v>
      </c>
      <c r="B32" s="119" t="s">
        <v>467</v>
      </c>
      <c r="C32" s="120" t="s">
        <v>468</v>
      </c>
      <c r="D32" s="100" t="s">
        <v>373</v>
      </c>
      <c r="E32" s="121">
        <v>1</v>
      </c>
      <c r="F32">
        <v>25.29</v>
      </c>
      <c r="G32" s="122">
        <f t="shared" si="2"/>
        <v>25.29</v>
      </c>
    </row>
    <row r="33" spans="1:7" ht="25.05" customHeight="1" x14ac:dyDescent="0.25">
      <c r="A33" s="110" t="s">
        <v>70</v>
      </c>
      <c r="B33" s="119" t="s">
        <v>469</v>
      </c>
      <c r="C33" s="120" t="s">
        <v>470</v>
      </c>
      <c r="D33" s="100" t="s">
        <v>9</v>
      </c>
      <c r="E33" s="121">
        <v>1</v>
      </c>
      <c r="F33" s="112">
        <v>5.66</v>
      </c>
      <c r="G33" s="122">
        <f t="shared" si="2"/>
        <v>5.66</v>
      </c>
    </row>
    <row r="34" spans="1:7" ht="3" customHeight="1" x14ac:dyDescent="0.25">
      <c r="A34" s="276"/>
      <c r="B34" s="276"/>
      <c r="C34" s="276"/>
      <c r="D34" s="276"/>
      <c r="E34" s="276"/>
      <c r="F34" s="276"/>
      <c r="G34" s="276"/>
    </row>
    <row r="35" spans="1:7" x14ac:dyDescent="0.25">
      <c r="A35" s="105"/>
      <c r="B35" s="106"/>
      <c r="C35" s="107" t="s">
        <v>34</v>
      </c>
      <c r="D35" s="108" t="s">
        <v>3</v>
      </c>
      <c r="E35" s="108" t="s">
        <v>35</v>
      </c>
      <c r="F35" s="108" t="s">
        <v>65</v>
      </c>
      <c r="G35" s="109" t="s">
        <v>36</v>
      </c>
    </row>
    <row r="36" spans="1:7" ht="25.05" customHeight="1" x14ac:dyDescent="0.25">
      <c r="A36" s="259"/>
      <c r="B36" s="352" t="s">
        <v>488</v>
      </c>
      <c r="C36" s="249" t="s">
        <v>489</v>
      </c>
      <c r="D36" s="116" t="s">
        <v>9</v>
      </c>
      <c r="E36" s="117">
        <v>45566</v>
      </c>
      <c r="F36" s="111" t="s">
        <v>70</v>
      </c>
      <c r="G36" s="118">
        <f>SUM(G38:G43)</f>
        <v>551.45126000000005</v>
      </c>
    </row>
    <row r="37" spans="1:7" x14ac:dyDescent="0.25">
      <c r="A37" s="260"/>
      <c r="B37" s="261" t="s">
        <v>4</v>
      </c>
      <c r="C37" s="262" t="s">
        <v>66</v>
      </c>
      <c r="D37" s="263" t="s">
        <v>3</v>
      </c>
      <c r="E37" s="263" t="s">
        <v>67</v>
      </c>
      <c r="F37" s="263" t="s">
        <v>68</v>
      </c>
      <c r="G37" s="264" t="s">
        <v>69</v>
      </c>
    </row>
    <row r="38" spans="1:7" ht="15" customHeight="1" x14ac:dyDescent="0.25">
      <c r="A38" s="110" t="s">
        <v>432</v>
      </c>
      <c r="B38" s="119" t="s">
        <v>463</v>
      </c>
      <c r="C38" s="120" t="str">
        <f>COTAÇÕES!B15</f>
        <v>GRANITO AMARELO ORNAMENTAL ESP. 3CM INCLUSIVE POLIMENTO</v>
      </c>
      <c r="D38" s="100" t="str">
        <f>COTAÇÕES!C15</f>
        <v>M2</v>
      </c>
      <c r="E38" s="121">
        <v>1.05</v>
      </c>
      <c r="F38" s="112">
        <f>COTAÇÕES!F15</f>
        <v>323.33333333333331</v>
      </c>
      <c r="G38" s="122">
        <f t="shared" ref="G38" si="3">E38*F38</f>
        <v>339.5</v>
      </c>
    </row>
    <row r="39" spans="1:7" ht="15" customHeight="1" x14ac:dyDescent="0.25">
      <c r="A39" s="110" t="s">
        <v>70</v>
      </c>
      <c r="B39" s="119" t="s">
        <v>491</v>
      </c>
      <c r="C39" s="120" t="s">
        <v>492</v>
      </c>
      <c r="D39" s="100" t="s">
        <v>33</v>
      </c>
      <c r="E39" s="121">
        <v>8.0000000000000002E-3</v>
      </c>
      <c r="F39" s="112">
        <v>650.47</v>
      </c>
      <c r="G39" s="122">
        <f t="shared" ref="G39:G43" si="4">E39*F39</f>
        <v>5.2037599999999999</v>
      </c>
    </row>
    <row r="40" spans="1:7" ht="15" customHeight="1" x14ac:dyDescent="0.25">
      <c r="A40" s="110" t="s">
        <v>70</v>
      </c>
      <c r="B40" s="119" t="s">
        <v>466</v>
      </c>
      <c r="C40" s="120" t="s">
        <v>372</v>
      </c>
      <c r="D40" s="100" t="s">
        <v>373</v>
      </c>
      <c r="E40" s="121">
        <v>5</v>
      </c>
      <c r="F40" s="112">
        <v>18.53</v>
      </c>
      <c r="G40" s="122">
        <f t="shared" si="4"/>
        <v>92.65</v>
      </c>
    </row>
    <row r="41" spans="1:7" ht="15" customHeight="1" x14ac:dyDescent="0.25">
      <c r="A41" s="110" t="s">
        <v>70</v>
      </c>
      <c r="B41" s="119" t="s">
        <v>467</v>
      </c>
      <c r="C41" s="120" t="s">
        <v>468</v>
      </c>
      <c r="D41" s="100" t="s">
        <v>373</v>
      </c>
      <c r="E41" s="121">
        <v>2.5</v>
      </c>
      <c r="F41" s="112">
        <v>25.29</v>
      </c>
      <c r="G41" s="122">
        <f t="shared" si="4"/>
        <v>63.224999999999994</v>
      </c>
    </row>
    <row r="42" spans="1:7" ht="15" customHeight="1" x14ac:dyDescent="0.25">
      <c r="A42" s="110" t="s">
        <v>70</v>
      </c>
      <c r="B42" s="119" t="s">
        <v>496</v>
      </c>
      <c r="C42" s="120" t="s">
        <v>495</v>
      </c>
      <c r="D42" s="100" t="s">
        <v>373</v>
      </c>
      <c r="E42" s="121">
        <v>1.2</v>
      </c>
      <c r="F42" s="112">
        <v>25.08</v>
      </c>
      <c r="G42" s="122">
        <f t="shared" si="4"/>
        <v>30.095999999999997</v>
      </c>
    </row>
    <row r="43" spans="1:7" ht="49.95" customHeight="1" x14ac:dyDescent="0.25">
      <c r="A43" s="110" t="s">
        <v>70</v>
      </c>
      <c r="B43" s="119" t="s">
        <v>494</v>
      </c>
      <c r="C43" s="120" t="s">
        <v>711</v>
      </c>
      <c r="D43" s="100" t="s">
        <v>12</v>
      </c>
      <c r="E43" s="121">
        <v>1.71</v>
      </c>
      <c r="F43" s="112">
        <v>12.15</v>
      </c>
      <c r="G43" s="122">
        <f t="shared" si="4"/>
        <v>20.776499999999999</v>
      </c>
    </row>
    <row r="44" spans="1:7" ht="3" customHeight="1" x14ac:dyDescent="0.25">
      <c r="A44" s="276"/>
      <c r="B44" s="276"/>
      <c r="C44" s="276"/>
      <c r="D44" s="276"/>
      <c r="E44" s="276"/>
      <c r="F44" s="276"/>
      <c r="G44" s="276"/>
    </row>
    <row r="45" spans="1:7" x14ac:dyDescent="0.25">
      <c r="A45" s="105"/>
      <c r="B45" s="106"/>
      <c r="C45" s="107" t="s">
        <v>34</v>
      </c>
      <c r="D45" s="108" t="s">
        <v>3</v>
      </c>
      <c r="E45" s="108" t="s">
        <v>35</v>
      </c>
      <c r="F45" s="108" t="s">
        <v>65</v>
      </c>
      <c r="G45" s="109" t="s">
        <v>36</v>
      </c>
    </row>
    <row r="46" spans="1:7" ht="25.05" customHeight="1" x14ac:dyDescent="0.25">
      <c r="A46" s="259"/>
      <c r="B46" s="352" t="s">
        <v>497</v>
      </c>
      <c r="C46" s="249" t="s">
        <v>498</v>
      </c>
      <c r="D46" s="116" t="s">
        <v>9</v>
      </c>
      <c r="E46" s="117">
        <v>45566</v>
      </c>
      <c r="F46" s="111" t="s">
        <v>70</v>
      </c>
      <c r="G46" s="118">
        <f>SUM(G48:G56)</f>
        <v>797.5150920000001</v>
      </c>
    </row>
    <row r="47" spans="1:7" x14ac:dyDescent="0.25">
      <c r="A47" s="260"/>
      <c r="B47" s="261" t="s">
        <v>4</v>
      </c>
      <c r="C47" s="262" t="s">
        <v>66</v>
      </c>
      <c r="D47" s="263" t="s">
        <v>3</v>
      </c>
      <c r="E47" s="263" t="s">
        <v>67</v>
      </c>
      <c r="F47" s="263" t="s">
        <v>68</v>
      </c>
      <c r="G47" s="264" t="s">
        <v>69</v>
      </c>
    </row>
    <row r="48" spans="1:7" ht="15" customHeight="1" x14ac:dyDescent="0.25">
      <c r="A48" s="110" t="s">
        <v>432</v>
      </c>
      <c r="B48" s="119" t="s">
        <v>463</v>
      </c>
      <c r="C48" s="120" t="str">
        <f>COTAÇÕES!B15</f>
        <v>GRANITO AMARELO ORNAMENTAL ESP. 3CM INCLUSIVE POLIMENTO</v>
      </c>
      <c r="D48" s="100" t="str">
        <f>COTAÇÕES!C15</f>
        <v>M2</v>
      </c>
      <c r="E48" s="121">
        <v>1.05</v>
      </c>
      <c r="F48" s="112">
        <f>COTAÇÕES!F15</f>
        <v>323.33333333333331</v>
      </c>
      <c r="G48" s="122">
        <f t="shared" ref="G48:G56" si="5">E48*F48</f>
        <v>339.5</v>
      </c>
    </row>
    <row r="49" spans="1:7" s="63" customFormat="1" ht="34.950000000000003" customHeight="1" x14ac:dyDescent="0.25">
      <c r="A49" s="110" t="s">
        <v>70</v>
      </c>
      <c r="B49" s="353" t="s">
        <v>499</v>
      </c>
      <c r="C49" s="354" t="s">
        <v>576</v>
      </c>
      <c r="D49" s="355" t="s">
        <v>13</v>
      </c>
      <c r="E49" s="356">
        <v>2</v>
      </c>
      <c r="F49" s="112">
        <v>31.046700000000001</v>
      </c>
      <c r="G49" s="357">
        <f t="shared" si="5"/>
        <v>62.093400000000003</v>
      </c>
    </row>
    <row r="50" spans="1:7" s="63" customFormat="1" ht="34.950000000000003" customHeight="1" x14ac:dyDescent="0.25">
      <c r="A50" s="110" t="s">
        <v>70</v>
      </c>
      <c r="B50" s="353" t="s">
        <v>500</v>
      </c>
      <c r="C50" s="354" t="s">
        <v>577</v>
      </c>
      <c r="D50" s="355" t="s">
        <v>13</v>
      </c>
      <c r="E50" s="356">
        <v>1</v>
      </c>
      <c r="F50" s="112">
        <v>48.09</v>
      </c>
      <c r="G50" s="357">
        <f t="shared" si="5"/>
        <v>48.09</v>
      </c>
    </row>
    <row r="51" spans="1:7" ht="34.950000000000003" customHeight="1" x14ac:dyDescent="0.25">
      <c r="A51" s="110" t="s">
        <v>70</v>
      </c>
      <c r="B51" s="119" t="s">
        <v>501</v>
      </c>
      <c r="C51" s="120" t="s">
        <v>578</v>
      </c>
      <c r="D51" s="100" t="s">
        <v>13</v>
      </c>
      <c r="E51" s="121">
        <v>3</v>
      </c>
      <c r="F51" s="112">
        <v>10.14</v>
      </c>
      <c r="G51" s="357">
        <f t="shared" si="5"/>
        <v>30.42</v>
      </c>
    </row>
    <row r="52" spans="1:7" s="63" customFormat="1" ht="34.950000000000003" customHeight="1" x14ac:dyDescent="0.25">
      <c r="A52" s="110" t="s">
        <v>70</v>
      </c>
      <c r="B52" s="353" t="s">
        <v>502</v>
      </c>
      <c r="C52" s="354" t="s">
        <v>579</v>
      </c>
      <c r="D52" s="355" t="s">
        <v>13</v>
      </c>
      <c r="E52" s="356">
        <v>3</v>
      </c>
      <c r="F52" s="112">
        <v>40.39</v>
      </c>
      <c r="G52" s="357">
        <f t="shared" si="5"/>
        <v>121.17</v>
      </c>
    </row>
    <row r="53" spans="1:7" ht="25.05" customHeight="1" x14ac:dyDescent="0.25">
      <c r="A53" s="110" t="s">
        <v>70</v>
      </c>
      <c r="B53" s="119" t="s">
        <v>503</v>
      </c>
      <c r="C53" s="120" t="s">
        <v>710</v>
      </c>
      <c r="D53" s="100" t="s">
        <v>13</v>
      </c>
      <c r="E53" s="121">
        <v>3</v>
      </c>
      <c r="F53" s="112">
        <v>4.8</v>
      </c>
      <c r="G53" s="122">
        <f t="shared" si="5"/>
        <v>14.399999999999999</v>
      </c>
    </row>
    <row r="54" spans="1:7" ht="25.05" customHeight="1" x14ac:dyDescent="0.25">
      <c r="A54" s="110" t="s">
        <v>70</v>
      </c>
      <c r="B54" s="119" t="s">
        <v>504</v>
      </c>
      <c r="C54" s="120" t="s">
        <v>709</v>
      </c>
      <c r="D54" s="100" t="s">
        <v>33</v>
      </c>
      <c r="E54" s="121">
        <v>2.5667300000000001E-2</v>
      </c>
      <c r="F54" s="112">
        <v>40</v>
      </c>
      <c r="G54" s="122">
        <f t="shared" si="5"/>
        <v>1.0266919999999999</v>
      </c>
    </row>
    <row r="55" spans="1:7" ht="15" customHeight="1" x14ac:dyDescent="0.25">
      <c r="A55" s="110" t="s">
        <v>70</v>
      </c>
      <c r="B55" s="119" t="s">
        <v>466</v>
      </c>
      <c r="C55" s="120" t="s">
        <v>372</v>
      </c>
      <c r="D55" s="100" t="s">
        <v>373</v>
      </c>
      <c r="E55" s="121">
        <v>5.8</v>
      </c>
      <c r="F55" s="112">
        <v>18.53</v>
      </c>
      <c r="G55" s="122">
        <f t="shared" si="5"/>
        <v>107.474</v>
      </c>
    </row>
    <row r="56" spans="1:7" ht="15" customHeight="1" x14ac:dyDescent="0.25">
      <c r="A56" s="110" t="s">
        <v>70</v>
      </c>
      <c r="B56" s="119" t="s">
        <v>467</v>
      </c>
      <c r="C56" s="120" t="s">
        <v>468</v>
      </c>
      <c r="D56" s="100" t="s">
        <v>373</v>
      </c>
      <c r="E56" s="121">
        <f>E55/2</f>
        <v>2.9</v>
      </c>
      <c r="F56" s="112">
        <v>25.29</v>
      </c>
      <c r="G56" s="122">
        <f t="shared" si="5"/>
        <v>73.340999999999994</v>
      </c>
    </row>
    <row r="57" spans="1:7" ht="3" customHeight="1" x14ac:dyDescent="0.25">
      <c r="A57" s="276"/>
      <c r="B57" s="276"/>
      <c r="C57" s="276"/>
      <c r="D57" s="276"/>
      <c r="E57" s="276"/>
      <c r="F57" s="276"/>
      <c r="G57" s="276"/>
    </row>
    <row r="58" spans="1:7" x14ac:dyDescent="0.25">
      <c r="A58" s="105"/>
      <c r="B58" s="106"/>
      <c r="C58" s="107" t="s">
        <v>34</v>
      </c>
      <c r="D58" s="108" t="s">
        <v>3</v>
      </c>
      <c r="E58" s="108" t="s">
        <v>35</v>
      </c>
      <c r="F58" s="108" t="s">
        <v>65</v>
      </c>
      <c r="G58" s="109" t="s">
        <v>36</v>
      </c>
    </row>
    <row r="59" spans="1:7" ht="49.95" customHeight="1" x14ac:dyDescent="0.25">
      <c r="A59" s="259"/>
      <c r="B59" s="115" t="s">
        <v>545</v>
      </c>
      <c r="C59" s="249" t="s">
        <v>344</v>
      </c>
      <c r="D59" s="116" t="s">
        <v>9</v>
      </c>
      <c r="E59" s="117">
        <v>45566</v>
      </c>
      <c r="F59" s="111" t="s">
        <v>70</v>
      </c>
      <c r="G59" s="118">
        <f>SUM(G61:G64)</f>
        <v>115.96839208099999</v>
      </c>
    </row>
    <row r="60" spans="1:7" x14ac:dyDescent="0.25">
      <c r="A60" s="260"/>
      <c r="B60" s="261" t="s">
        <v>4</v>
      </c>
      <c r="C60" s="262" t="s">
        <v>66</v>
      </c>
      <c r="D60" s="263" t="s">
        <v>3</v>
      </c>
      <c r="E60" s="263" t="s">
        <v>67</v>
      </c>
      <c r="F60" s="263" t="s">
        <v>68</v>
      </c>
      <c r="G60" s="264" t="s">
        <v>69</v>
      </c>
    </row>
    <row r="61" spans="1:7" ht="25.05" customHeight="1" x14ac:dyDescent="0.25">
      <c r="A61" s="110" t="s">
        <v>70</v>
      </c>
      <c r="B61" s="119" t="s">
        <v>338</v>
      </c>
      <c r="C61" s="120" t="s">
        <v>339</v>
      </c>
      <c r="D61" s="100" t="s">
        <v>58</v>
      </c>
      <c r="E61" s="121">
        <v>4.9626920999999999</v>
      </c>
      <c r="F61" s="112">
        <v>3.62</v>
      </c>
      <c r="G61" s="122">
        <f>E61*F61</f>
        <v>17.964945402000001</v>
      </c>
    </row>
    <row r="62" spans="1:7" ht="25.05" customHeight="1" x14ac:dyDescent="0.25">
      <c r="A62" s="110" t="s">
        <v>70</v>
      </c>
      <c r="B62" s="119" t="s">
        <v>340</v>
      </c>
      <c r="C62" s="120" t="s">
        <v>341</v>
      </c>
      <c r="D62" s="100" t="s">
        <v>58</v>
      </c>
      <c r="E62" s="121">
        <f>E61</f>
        <v>4.9626920999999999</v>
      </c>
      <c r="F62" s="112">
        <v>6.8</v>
      </c>
      <c r="G62" s="122">
        <f t="shared" ref="G62:G64" si="6">E62*F62</f>
        <v>33.746306279999999</v>
      </c>
    </row>
    <row r="63" spans="1:7" ht="49.95" customHeight="1" x14ac:dyDescent="0.25">
      <c r="A63" s="110" t="s">
        <v>70</v>
      </c>
      <c r="B63" s="119" t="s">
        <v>342</v>
      </c>
      <c r="C63" s="120" t="s">
        <v>343</v>
      </c>
      <c r="D63" s="100" t="s">
        <v>58</v>
      </c>
      <c r="E63" s="121">
        <f>E62</f>
        <v>4.9626920999999999</v>
      </c>
      <c r="F63" s="112">
        <v>9.19</v>
      </c>
      <c r="G63" s="122">
        <f t="shared" si="6"/>
        <v>45.607140398999995</v>
      </c>
    </row>
    <row r="64" spans="1:7" ht="25.05" customHeight="1" x14ac:dyDescent="0.25">
      <c r="A64" s="110" t="s">
        <v>70</v>
      </c>
      <c r="B64" s="119" t="s">
        <v>80</v>
      </c>
      <c r="C64" s="120" t="s">
        <v>580</v>
      </c>
      <c r="D64" s="100" t="s">
        <v>9</v>
      </c>
      <c r="E64" s="121">
        <v>0.5</v>
      </c>
      <c r="F64" s="112">
        <v>37.299999999999997</v>
      </c>
      <c r="G64" s="122">
        <f t="shared" si="6"/>
        <v>18.649999999999999</v>
      </c>
    </row>
    <row r="65" spans="1:7" ht="3" customHeight="1" x14ac:dyDescent="0.25">
      <c r="A65" s="729"/>
      <c r="B65" s="730"/>
      <c r="C65" s="730"/>
      <c r="D65" s="730"/>
      <c r="E65" s="730"/>
      <c r="F65" s="730"/>
      <c r="G65" s="731"/>
    </row>
    <row r="66" spans="1:7" s="451" customFormat="1" ht="12" x14ac:dyDescent="0.2">
      <c r="A66" s="445"/>
      <c r="B66" s="446"/>
      <c r="C66" s="447" t="s">
        <v>34</v>
      </c>
      <c r="D66" s="448" t="s">
        <v>3</v>
      </c>
      <c r="E66" s="448" t="s">
        <v>35</v>
      </c>
      <c r="F66" s="449" t="s">
        <v>65</v>
      </c>
      <c r="G66" s="450" t="s">
        <v>36</v>
      </c>
    </row>
    <row r="67" spans="1:7" ht="25.05" customHeight="1" x14ac:dyDescent="0.25">
      <c r="A67" s="452"/>
      <c r="B67" s="115" t="s">
        <v>603</v>
      </c>
      <c r="C67" s="453" t="s">
        <v>595</v>
      </c>
      <c r="D67" s="116" t="s">
        <v>13</v>
      </c>
      <c r="E67" s="117">
        <v>45566</v>
      </c>
      <c r="F67" s="454" t="s">
        <v>596</v>
      </c>
      <c r="G67" s="118">
        <f>SUM(G69:G76)</f>
        <v>7084.8214999999991</v>
      </c>
    </row>
    <row r="68" spans="1:7" x14ac:dyDescent="0.25">
      <c r="A68" s="455"/>
      <c r="B68" s="352" t="s">
        <v>4</v>
      </c>
      <c r="C68" s="455" t="s">
        <v>66</v>
      </c>
      <c r="D68" s="456" t="s">
        <v>3</v>
      </c>
      <c r="E68" s="456" t="s">
        <v>67</v>
      </c>
      <c r="F68" s="456" t="s">
        <v>68</v>
      </c>
      <c r="G68" s="456" t="s">
        <v>69</v>
      </c>
    </row>
    <row r="69" spans="1:7" ht="25.05" customHeight="1" x14ac:dyDescent="0.25">
      <c r="A69" s="110" t="s">
        <v>624</v>
      </c>
      <c r="B69" s="119" t="s">
        <v>625</v>
      </c>
      <c r="C69" s="120" t="str">
        <f>COTAÇÕES!B23</f>
        <v>POSTE COLONIAL FIRENZE PARA JARDIM DE ALUMÍNIO 02 GLOBOS H= 3,05M PRETO FOSCO</v>
      </c>
      <c r="D69" s="100" t="s">
        <v>13</v>
      </c>
      <c r="E69" s="121">
        <v>1</v>
      </c>
      <c r="F69" s="112">
        <f>COTAÇÕES!F23</f>
        <v>6861.7400000000007</v>
      </c>
      <c r="G69" s="122">
        <f t="shared" ref="G69:G76" si="7">E69*F69</f>
        <v>6861.7400000000007</v>
      </c>
    </row>
    <row r="70" spans="1:7" ht="25.05" customHeight="1" x14ac:dyDescent="0.25">
      <c r="A70" s="110" t="s">
        <v>70</v>
      </c>
      <c r="B70" s="119" t="s">
        <v>597</v>
      </c>
      <c r="C70" s="120" t="s">
        <v>598</v>
      </c>
      <c r="D70" s="100" t="s">
        <v>13</v>
      </c>
      <c r="E70" s="121">
        <v>2</v>
      </c>
      <c r="F70" s="112">
        <v>17.989999999999998</v>
      </c>
      <c r="G70" s="122">
        <f t="shared" si="7"/>
        <v>35.979999999999997</v>
      </c>
    </row>
    <row r="71" spans="1:7" ht="25.05" customHeight="1" x14ac:dyDescent="0.25">
      <c r="A71" s="110" t="s">
        <v>70</v>
      </c>
      <c r="B71" s="119" t="s">
        <v>627</v>
      </c>
      <c r="C71" s="120" t="s">
        <v>628</v>
      </c>
      <c r="D71" s="100" t="s">
        <v>13</v>
      </c>
      <c r="E71" s="121">
        <v>1</v>
      </c>
      <c r="F71" s="112">
        <v>9.1199999999999992</v>
      </c>
      <c r="G71" s="122">
        <f t="shared" si="7"/>
        <v>9.1199999999999992</v>
      </c>
    </row>
    <row r="72" spans="1:7" ht="25.05" customHeight="1" x14ac:dyDescent="0.25">
      <c r="A72" s="110" t="s">
        <v>70</v>
      </c>
      <c r="B72" s="119" t="s">
        <v>56</v>
      </c>
      <c r="C72" s="120" t="s">
        <v>86</v>
      </c>
      <c r="D72" s="100" t="s">
        <v>33</v>
      </c>
      <c r="E72" s="121">
        <f>0.2*0.5*0.5</f>
        <v>0.05</v>
      </c>
      <c r="F72" s="112">
        <v>723.47</v>
      </c>
      <c r="G72" s="122">
        <f t="shared" si="7"/>
        <v>36.173500000000004</v>
      </c>
    </row>
    <row r="73" spans="1:7" s="6" customFormat="1" ht="15" customHeight="1" x14ac:dyDescent="0.25">
      <c r="A73" s="459" t="s">
        <v>70</v>
      </c>
      <c r="B73" s="460" t="s">
        <v>599</v>
      </c>
      <c r="C73" s="120" t="s">
        <v>600</v>
      </c>
      <c r="D73" s="100" t="s">
        <v>373</v>
      </c>
      <c r="E73" s="121">
        <v>0.6</v>
      </c>
      <c r="F73" s="457">
        <v>20.83</v>
      </c>
      <c r="G73" s="458">
        <f t="shared" si="7"/>
        <v>12.497999999999999</v>
      </c>
    </row>
    <row r="74" spans="1:7" s="6" customFormat="1" ht="15" customHeight="1" x14ac:dyDescent="0.25">
      <c r="A74" s="459" t="s">
        <v>70</v>
      </c>
      <c r="B74" s="460" t="s">
        <v>601</v>
      </c>
      <c r="C74" s="120" t="s">
        <v>435</v>
      </c>
      <c r="D74" s="100" t="s">
        <v>373</v>
      </c>
      <c r="E74" s="121">
        <v>0.6</v>
      </c>
      <c r="F74" s="457">
        <v>25.63</v>
      </c>
      <c r="G74" s="458">
        <f t="shared" si="7"/>
        <v>15.377999999999998</v>
      </c>
    </row>
    <row r="75" spans="1:7" s="6" customFormat="1" ht="15" customHeight="1" x14ac:dyDescent="0.25">
      <c r="A75" s="459" t="s">
        <v>70</v>
      </c>
      <c r="B75" s="460" t="s">
        <v>467</v>
      </c>
      <c r="C75" s="120" t="s">
        <v>468</v>
      </c>
      <c r="D75" s="100" t="s">
        <v>373</v>
      </c>
      <c r="E75" s="121">
        <f>1.8+0.8</f>
        <v>2.6</v>
      </c>
      <c r="F75" s="112">
        <v>25.29</v>
      </c>
      <c r="G75" s="458">
        <f t="shared" si="7"/>
        <v>65.754000000000005</v>
      </c>
    </row>
    <row r="76" spans="1:7" s="6" customFormat="1" ht="15" customHeight="1" x14ac:dyDescent="0.25">
      <c r="A76" s="459" t="s">
        <v>70</v>
      </c>
      <c r="B76" s="460" t="s">
        <v>602</v>
      </c>
      <c r="C76" s="120" t="s">
        <v>372</v>
      </c>
      <c r="D76" s="100" t="s">
        <v>373</v>
      </c>
      <c r="E76" s="121">
        <f>E75</f>
        <v>2.6</v>
      </c>
      <c r="F76" s="457">
        <v>18.53</v>
      </c>
      <c r="G76" s="458">
        <f t="shared" si="7"/>
        <v>48.178000000000004</v>
      </c>
    </row>
    <row r="77" spans="1:7" ht="3" customHeight="1" x14ac:dyDescent="0.25">
      <c r="A77" s="729"/>
      <c r="B77" s="730"/>
      <c r="C77" s="730"/>
      <c r="D77" s="730"/>
      <c r="E77" s="730"/>
      <c r="F77" s="730"/>
      <c r="G77" s="731"/>
    </row>
    <row r="78" spans="1:7" s="451" customFormat="1" ht="12" x14ac:dyDescent="0.2">
      <c r="A78" s="445"/>
      <c r="B78" s="446"/>
      <c r="C78" s="447" t="s">
        <v>34</v>
      </c>
      <c r="D78" s="448" t="s">
        <v>3</v>
      </c>
      <c r="E78" s="448" t="s">
        <v>35</v>
      </c>
      <c r="F78" s="449" t="s">
        <v>65</v>
      </c>
      <c r="G78" s="450" t="s">
        <v>36</v>
      </c>
    </row>
    <row r="79" spans="1:7" ht="25.05" customHeight="1" x14ac:dyDescent="0.25">
      <c r="A79" s="452"/>
      <c r="B79" s="115" t="s">
        <v>626</v>
      </c>
      <c r="C79" s="453" t="s">
        <v>650</v>
      </c>
      <c r="D79" s="116" t="s">
        <v>13</v>
      </c>
      <c r="E79" s="117">
        <v>45566</v>
      </c>
      <c r="F79" s="454" t="s">
        <v>596</v>
      </c>
      <c r="G79" s="118">
        <f>SUM(G81:G84)</f>
        <v>278.92869999999999</v>
      </c>
    </row>
    <row r="80" spans="1:7" x14ac:dyDescent="0.25">
      <c r="A80" s="455"/>
      <c r="B80" s="352" t="s">
        <v>4</v>
      </c>
      <c r="C80" s="455" t="s">
        <v>66</v>
      </c>
      <c r="D80" s="456" t="s">
        <v>3</v>
      </c>
      <c r="E80" s="456" t="s">
        <v>67</v>
      </c>
      <c r="F80" s="456" t="s">
        <v>68</v>
      </c>
      <c r="G80" s="456" t="s">
        <v>69</v>
      </c>
    </row>
    <row r="81" spans="1:7" s="6" customFormat="1" ht="15" customHeight="1" x14ac:dyDescent="0.25">
      <c r="A81" s="100" t="s">
        <v>624</v>
      </c>
      <c r="B81" s="119" t="str">
        <f>COTAÇÕES!A31</f>
        <v>COTAÇÃO 004</v>
      </c>
      <c r="C81" s="120" t="str">
        <f>COTAÇÕES!B31</f>
        <v>SPOT LED 12W BLINDADO REDONDO P/ PISO - RETIRADA NA LOJA</v>
      </c>
      <c r="D81" s="100" t="s">
        <v>13</v>
      </c>
      <c r="E81" s="121">
        <v>1</v>
      </c>
      <c r="F81" s="457">
        <f>COTAÇÕES!F31</f>
        <v>253.84</v>
      </c>
      <c r="G81" s="458">
        <f>E81*F81</f>
        <v>253.84</v>
      </c>
    </row>
    <row r="82" spans="1:7" ht="15" customHeight="1" x14ac:dyDescent="0.25">
      <c r="A82" s="459" t="s">
        <v>70</v>
      </c>
      <c r="B82" s="119" t="s">
        <v>491</v>
      </c>
      <c r="C82" s="120" t="s">
        <v>492</v>
      </c>
      <c r="D82" s="100" t="s">
        <v>33</v>
      </c>
      <c r="E82" s="462">
        <v>0.01</v>
      </c>
      <c r="F82" s="112">
        <v>650.47</v>
      </c>
      <c r="G82" s="122">
        <f>E82*F82</f>
        <v>6.5047000000000006</v>
      </c>
    </row>
    <row r="83" spans="1:7" s="6" customFormat="1" ht="15" customHeight="1" x14ac:dyDescent="0.25">
      <c r="A83" s="459" t="s">
        <v>70</v>
      </c>
      <c r="B83" s="119" t="s">
        <v>599</v>
      </c>
      <c r="C83" s="120" t="s">
        <v>600</v>
      </c>
      <c r="D83" s="100" t="s">
        <v>373</v>
      </c>
      <c r="E83" s="121">
        <v>0.4</v>
      </c>
      <c r="F83" s="457">
        <v>20.83</v>
      </c>
      <c r="G83" s="122">
        <f>E83*F83</f>
        <v>8.331999999999999</v>
      </c>
    </row>
    <row r="84" spans="1:7" s="6" customFormat="1" ht="15" customHeight="1" x14ac:dyDescent="0.25">
      <c r="A84" s="459" t="s">
        <v>70</v>
      </c>
      <c r="B84" s="119" t="s">
        <v>601</v>
      </c>
      <c r="C84" s="120" t="s">
        <v>435</v>
      </c>
      <c r="D84" s="100" t="s">
        <v>373</v>
      </c>
      <c r="E84" s="121">
        <v>0.4</v>
      </c>
      <c r="F84" s="457">
        <v>25.63</v>
      </c>
      <c r="G84" s="122">
        <f>E84*F84</f>
        <v>10.252000000000001</v>
      </c>
    </row>
    <row r="85" spans="1:7" ht="3" customHeight="1" x14ac:dyDescent="0.25">
      <c r="A85" s="729"/>
      <c r="B85" s="730"/>
      <c r="C85" s="730"/>
      <c r="D85" s="730"/>
      <c r="E85" s="730"/>
      <c r="F85" s="730"/>
      <c r="G85" s="731"/>
    </row>
    <row r="86" spans="1:7" s="451" customFormat="1" ht="12" x14ac:dyDescent="0.2">
      <c r="A86" s="463"/>
      <c r="B86" s="446"/>
      <c r="C86" s="447" t="s">
        <v>34</v>
      </c>
      <c r="D86" s="448" t="s">
        <v>3</v>
      </c>
      <c r="E86" s="448" t="s">
        <v>35</v>
      </c>
      <c r="F86" s="449" t="s">
        <v>65</v>
      </c>
      <c r="G86" s="450" t="s">
        <v>36</v>
      </c>
    </row>
    <row r="87" spans="1:7" ht="25.05" customHeight="1" x14ac:dyDescent="0.25">
      <c r="A87" s="445"/>
      <c r="B87" s="115" t="s">
        <v>651</v>
      </c>
      <c r="C87" s="453" t="s">
        <v>604</v>
      </c>
      <c r="D87" s="116" t="s">
        <v>13</v>
      </c>
      <c r="E87" s="117">
        <v>45566</v>
      </c>
      <c r="F87" s="454" t="s">
        <v>596</v>
      </c>
      <c r="G87" s="118">
        <f>SUM(G89:G93)</f>
        <v>603.57184000000007</v>
      </c>
    </row>
    <row r="88" spans="1:7" x14ac:dyDescent="0.25">
      <c r="A88" s="455"/>
      <c r="B88" s="352" t="s">
        <v>4</v>
      </c>
      <c r="C88" s="455" t="s">
        <v>66</v>
      </c>
      <c r="D88" s="456" t="s">
        <v>3</v>
      </c>
      <c r="E88" s="456" t="s">
        <v>67</v>
      </c>
      <c r="F88" s="456" t="s">
        <v>68</v>
      </c>
      <c r="G88" s="456" t="s">
        <v>69</v>
      </c>
    </row>
    <row r="89" spans="1:7" ht="25.05" customHeight="1" x14ac:dyDescent="0.25">
      <c r="A89" s="110" t="s">
        <v>70</v>
      </c>
      <c r="B89" s="119" t="s">
        <v>605</v>
      </c>
      <c r="C89" s="120" t="s">
        <v>708</v>
      </c>
      <c r="D89" s="100" t="s">
        <v>33</v>
      </c>
      <c r="E89" s="121">
        <f>4.4*1.2*0.1</f>
        <v>0.52800000000000002</v>
      </c>
      <c r="F89" s="112">
        <v>760.27</v>
      </c>
      <c r="G89" s="122">
        <f t="shared" ref="G89:G93" si="8">E89*F89</f>
        <v>401.42256000000003</v>
      </c>
    </row>
    <row r="90" spans="1:7" ht="25.05" customHeight="1" x14ac:dyDescent="0.25">
      <c r="A90" s="110" t="s">
        <v>70</v>
      </c>
      <c r="B90" s="119" t="s">
        <v>606</v>
      </c>
      <c r="C90" s="120" t="s">
        <v>607</v>
      </c>
      <c r="D90" s="100" t="s">
        <v>33</v>
      </c>
      <c r="E90" s="121">
        <f>E89</f>
        <v>0.52800000000000002</v>
      </c>
      <c r="F90" s="112">
        <v>21.31</v>
      </c>
      <c r="G90" s="122">
        <f t="shared" si="8"/>
        <v>11.25168</v>
      </c>
    </row>
    <row r="91" spans="1:7" ht="25.05" customHeight="1" x14ac:dyDescent="0.25">
      <c r="A91" s="110" t="s">
        <v>70</v>
      </c>
      <c r="B91" s="119" t="s">
        <v>608</v>
      </c>
      <c r="C91" s="120" t="s">
        <v>707</v>
      </c>
      <c r="D91" s="100" t="s">
        <v>9</v>
      </c>
      <c r="E91" s="121">
        <f>4.4*2*0.15</f>
        <v>1.32</v>
      </c>
      <c r="F91" s="112">
        <v>62.1</v>
      </c>
      <c r="G91" s="122">
        <f t="shared" si="8"/>
        <v>81.972000000000008</v>
      </c>
    </row>
    <row r="92" spans="1:7" ht="25.05" customHeight="1" x14ac:dyDescent="0.25">
      <c r="A92" s="110" t="s">
        <v>70</v>
      </c>
      <c r="B92" s="119" t="s">
        <v>609</v>
      </c>
      <c r="C92" s="120" t="s">
        <v>610</v>
      </c>
      <c r="D92" s="100" t="s">
        <v>9</v>
      </c>
      <c r="E92" s="121">
        <f>4.4*1.2</f>
        <v>5.28</v>
      </c>
      <c r="F92" s="112">
        <v>12.52</v>
      </c>
      <c r="G92" s="122">
        <f t="shared" si="8"/>
        <v>66.105599999999995</v>
      </c>
    </row>
    <row r="93" spans="1:7" ht="38.4" customHeight="1" x14ac:dyDescent="0.25">
      <c r="A93" s="459" t="s">
        <v>70</v>
      </c>
      <c r="B93" s="460" t="s">
        <v>690</v>
      </c>
      <c r="C93" s="461" t="s">
        <v>691</v>
      </c>
      <c r="D93" s="459" t="s">
        <v>9</v>
      </c>
      <c r="E93" s="462">
        <f>2*0.2</f>
        <v>0.4</v>
      </c>
      <c r="F93" s="112">
        <v>107.05</v>
      </c>
      <c r="G93" s="122">
        <f t="shared" si="8"/>
        <v>42.82</v>
      </c>
    </row>
    <row r="94" spans="1:7" ht="3" customHeight="1" x14ac:dyDescent="0.25">
      <c r="A94" s="729"/>
      <c r="B94" s="730"/>
      <c r="C94" s="730"/>
      <c r="D94" s="730"/>
      <c r="E94" s="730"/>
      <c r="F94" s="730"/>
      <c r="G94" s="731"/>
    </row>
    <row r="95" spans="1:7" s="451" customFormat="1" ht="12" x14ac:dyDescent="0.2">
      <c r="A95" s="445"/>
      <c r="B95" s="446"/>
      <c r="C95" s="447" t="s">
        <v>34</v>
      </c>
      <c r="D95" s="448" t="s">
        <v>3</v>
      </c>
      <c r="E95" s="448" t="s">
        <v>35</v>
      </c>
      <c r="F95" s="449" t="s">
        <v>65</v>
      </c>
      <c r="G95" s="450" t="s">
        <v>36</v>
      </c>
    </row>
    <row r="96" spans="1:7" ht="25.05" customHeight="1" x14ac:dyDescent="0.25">
      <c r="A96" s="452"/>
      <c r="B96" s="115" t="s">
        <v>667</v>
      </c>
      <c r="C96" s="453" t="s">
        <v>666</v>
      </c>
      <c r="D96" s="116" t="s">
        <v>42</v>
      </c>
      <c r="E96" s="117">
        <v>45566</v>
      </c>
      <c r="F96" s="454" t="s">
        <v>596</v>
      </c>
      <c r="G96" s="118">
        <f>SUM(G98:G101)</f>
        <v>10544.763333333332</v>
      </c>
    </row>
    <row r="97" spans="1:7" x14ac:dyDescent="0.25">
      <c r="A97" s="455"/>
      <c r="B97" s="352" t="s">
        <v>4</v>
      </c>
      <c r="C97" s="455" t="s">
        <v>66</v>
      </c>
      <c r="D97" s="456" t="s">
        <v>3</v>
      </c>
      <c r="E97" s="456" t="s">
        <v>67</v>
      </c>
      <c r="F97" s="456" t="s">
        <v>68</v>
      </c>
      <c r="G97" s="456" t="s">
        <v>69</v>
      </c>
    </row>
    <row r="98" spans="1:7" ht="25.05" customHeight="1" x14ac:dyDescent="0.25">
      <c r="A98" s="110" t="s">
        <v>624</v>
      </c>
      <c r="B98" s="119" t="str">
        <f>COTAÇÕES!A39</f>
        <v>COTAÇÃO 005</v>
      </c>
      <c r="C98" s="120" t="str">
        <f>COTAÇÕES!B39</f>
        <v>GRAMA SINTÉTICA ARTIFICIAL 20MM COM PROTEÇÃO UV E ANTI-FUNGO COM ÁREA TOTAL 165,00 M2 - INCLUSIVE FRETE</v>
      </c>
      <c r="D98" s="100" t="str">
        <f>COTAÇÕES!C39</f>
        <v>UNID.</v>
      </c>
      <c r="E98" s="121">
        <v>1</v>
      </c>
      <c r="F98" s="112">
        <f>COTAÇÕES!F39</f>
        <v>8244.3633333333328</v>
      </c>
      <c r="G98" s="122">
        <f t="shared" ref="G98:G101" si="9">E98*F98</f>
        <v>8244.3633333333328</v>
      </c>
    </row>
    <row r="99" spans="1:7" s="6" customFormat="1" ht="32.4" customHeight="1" x14ac:dyDescent="0.25">
      <c r="A99" s="459" t="s">
        <v>70</v>
      </c>
      <c r="B99" s="119" t="s">
        <v>668</v>
      </c>
      <c r="C99" s="120" t="s">
        <v>669</v>
      </c>
      <c r="D99" s="100" t="s">
        <v>58</v>
      </c>
      <c r="E99" s="121">
        <f>8.25*5</f>
        <v>41.25</v>
      </c>
      <c r="F99" s="457">
        <v>53.5</v>
      </c>
      <c r="G99" s="458">
        <f t="shared" si="9"/>
        <v>2206.875</v>
      </c>
    </row>
    <row r="100" spans="1:7" s="6" customFormat="1" ht="15" customHeight="1" x14ac:dyDescent="0.25">
      <c r="A100" s="459" t="s">
        <v>70</v>
      </c>
      <c r="B100" s="460" t="s">
        <v>467</v>
      </c>
      <c r="C100" s="120" t="s">
        <v>468</v>
      </c>
      <c r="D100" s="100" t="s">
        <v>373</v>
      </c>
      <c r="E100" s="121">
        <v>1.5</v>
      </c>
      <c r="F100" s="112">
        <v>25.29</v>
      </c>
      <c r="G100" s="458">
        <f t="shared" si="9"/>
        <v>37.935000000000002</v>
      </c>
    </row>
    <row r="101" spans="1:7" s="6" customFormat="1" ht="15" customHeight="1" x14ac:dyDescent="0.25">
      <c r="A101" s="459" t="s">
        <v>70</v>
      </c>
      <c r="B101" s="460" t="s">
        <v>602</v>
      </c>
      <c r="C101" s="120" t="s">
        <v>372</v>
      </c>
      <c r="D101" s="100" t="s">
        <v>373</v>
      </c>
      <c r="E101" s="121">
        <v>3</v>
      </c>
      <c r="F101" s="457">
        <v>18.53</v>
      </c>
      <c r="G101" s="464">
        <f t="shared" si="9"/>
        <v>55.59</v>
      </c>
    </row>
    <row r="102" spans="1:7" ht="3" customHeight="1" x14ac:dyDescent="0.25">
      <c r="A102" s="729"/>
      <c r="B102" s="730"/>
      <c r="C102" s="730"/>
      <c r="D102" s="730"/>
      <c r="E102" s="730"/>
      <c r="F102" s="730"/>
      <c r="G102" s="731"/>
    </row>
    <row r="103" spans="1:7" ht="36.6" customHeight="1" x14ac:dyDescent="0.25">
      <c r="A103" s="70"/>
      <c r="B103" s="70"/>
      <c r="C103" s="70"/>
      <c r="D103" s="70"/>
      <c r="E103" s="101"/>
      <c r="F103" s="70"/>
      <c r="G103" s="102"/>
    </row>
    <row r="104" spans="1:7" x14ac:dyDescent="0.25">
      <c r="A104" s="70"/>
      <c r="B104" s="70"/>
      <c r="C104" s="68" t="s">
        <v>48</v>
      </c>
      <c r="D104" s="70"/>
      <c r="E104" s="101"/>
      <c r="F104" s="70"/>
      <c r="G104" s="103"/>
    </row>
    <row r="105" spans="1:7" x14ac:dyDescent="0.25">
      <c r="A105" s="70"/>
      <c r="B105" s="70"/>
      <c r="C105" s="81" t="s">
        <v>44</v>
      </c>
      <c r="D105" s="70"/>
      <c r="E105" s="101"/>
      <c r="F105" s="70"/>
      <c r="G105" s="103"/>
    </row>
    <row r="106" spans="1:7" ht="13.8" x14ac:dyDescent="0.25">
      <c r="A106" s="70"/>
      <c r="B106" s="70"/>
      <c r="C106" s="82" t="s">
        <v>45</v>
      </c>
      <c r="D106" s="70"/>
      <c r="E106" s="70"/>
      <c r="F106" s="70"/>
      <c r="G106" s="104"/>
    </row>
    <row r="107" spans="1:7" x14ac:dyDescent="0.25">
      <c r="A107" s="70"/>
      <c r="B107" s="70"/>
      <c r="C107" s="70"/>
      <c r="D107" s="70"/>
      <c r="E107" s="70"/>
      <c r="F107" s="70"/>
      <c r="G107" s="70"/>
    </row>
  </sheetData>
  <mergeCells count="7">
    <mergeCell ref="A102:G102"/>
    <mergeCell ref="A85:G85"/>
    <mergeCell ref="A4:G4"/>
    <mergeCell ref="B7:G7"/>
    <mergeCell ref="A65:G65"/>
    <mergeCell ref="A77:G77"/>
    <mergeCell ref="A94:G94"/>
  </mergeCells>
  <printOptions horizontalCentered="1"/>
  <pageMargins left="0" right="0" top="0.59055118110236227" bottom="0" header="0" footer="0"/>
  <pageSetup paperSize="9" scale="74" orientation="portrait" r:id="rId1"/>
  <rowBreaks count="1" manualBreakCount="1">
    <brk id="57"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50"/>
  <sheetViews>
    <sheetView topLeftCell="A23" workbookViewId="0">
      <selection activeCell="B48" sqref="B48"/>
    </sheetView>
  </sheetViews>
  <sheetFormatPr defaultRowHeight="13.2" x14ac:dyDescent="0.25"/>
  <cols>
    <col min="1" max="1" width="27" customWidth="1"/>
    <col min="2" max="2" width="52.109375" customWidth="1"/>
    <col min="3" max="3" width="12" bestFit="1" customWidth="1"/>
    <col min="4" max="4" width="12.5546875" customWidth="1"/>
    <col min="5" max="5" width="14.21875" customWidth="1"/>
    <col min="6" max="6" width="15.88671875" customWidth="1"/>
    <col min="257" max="257" width="27" customWidth="1"/>
    <col min="258" max="258" width="52.109375" customWidth="1"/>
    <col min="259" max="259" width="12" bestFit="1" customWidth="1"/>
    <col min="260" max="260" width="10.88671875" bestFit="1" customWidth="1"/>
    <col min="261" max="261" width="14.21875" customWidth="1"/>
    <col min="262" max="262" width="15.88671875" customWidth="1"/>
    <col min="513" max="513" width="27" customWidth="1"/>
    <col min="514" max="514" width="52.109375" customWidth="1"/>
    <col min="515" max="515" width="12" bestFit="1" customWidth="1"/>
    <col min="516" max="516" width="10.88671875" bestFit="1" customWidth="1"/>
    <col min="517" max="517" width="14.21875" customWidth="1"/>
    <col min="518" max="518" width="15.88671875" customWidth="1"/>
    <col min="769" max="769" width="27" customWidth="1"/>
    <col min="770" max="770" width="52.109375" customWidth="1"/>
    <col min="771" max="771" width="12" bestFit="1" customWidth="1"/>
    <col min="772" max="772" width="10.88671875" bestFit="1" customWidth="1"/>
    <col min="773" max="773" width="14.21875" customWidth="1"/>
    <col min="774" max="774" width="15.88671875" customWidth="1"/>
    <col min="1025" max="1025" width="27" customWidth="1"/>
    <col min="1026" max="1026" width="52.109375" customWidth="1"/>
    <col min="1027" max="1027" width="12" bestFit="1" customWidth="1"/>
    <col min="1028" max="1028" width="10.88671875" bestFit="1" customWidth="1"/>
    <col min="1029" max="1029" width="14.21875" customWidth="1"/>
    <col min="1030" max="1030" width="15.88671875" customWidth="1"/>
    <col min="1281" max="1281" width="27" customWidth="1"/>
    <col min="1282" max="1282" width="52.109375" customWidth="1"/>
    <col min="1283" max="1283" width="12" bestFit="1" customWidth="1"/>
    <col min="1284" max="1284" width="10.88671875" bestFit="1" customWidth="1"/>
    <col min="1285" max="1285" width="14.21875" customWidth="1"/>
    <col min="1286" max="1286" width="15.88671875" customWidth="1"/>
    <col min="1537" max="1537" width="27" customWidth="1"/>
    <col min="1538" max="1538" width="52.109375" customWidth="1"/>
    <col min="1539" max="1539" width="12" bestFit="1" customWidth="1"/>
    <col min="1540" max="1540" width="10.88671875" bestFit="1" customWidth="1"/>
    <col min="1541" max="1541" width="14.21875" customWidth="1"/>
    <col min="1542" max="1542" width="15.88671875" customWidth="1"/>
    <col min="1793" max="1793" width="27" customWidth="1"/>
    <col min="1794" max="1794" width="52.109375" customWidth="1"/>
    <col min="1795" max="1795" width="12" bestFit="1" customWidth="1"/>
    <col min="1796" max="1796" width="10.88671875" bestFit="1" customWidth="1"/>
    <col min="1797" max="1797" width="14.21875" customWidth="1"/>
    <col min="1798" max="1798" width="15.88671875" customWidth="1"/>
    <col min="2049" max="2049" width="27" customWidth="1"/>
    <col min="2050" max="2050" width="52.109375" customWidth="1"/>
    <col min="2051" max="2051" width="12" bestFit="1" customWidth="1"/>
    <col min="2052" max="2052" width="10.88671875" bestFit="1" customWidth="1"/>
    <col min="2053" max="2053" width="14.21875" customWidth="1"/>
    <col min="2054" max="2054" width="15.88671875" customWidth="1"/>
    <col min="2305" max="2305" width="27" customWidth="1"/>
    <col min="2306" max="2306" width="52.109375" customWidth="1"/>
    <col min="2307" max="2307" width="12" bestFit="1" customWidth="1"/>
    <col min="2308" max="2308" width="10.88671875" bestFit="1" customWidth="1"/>
    <col min="2309" max="2309" width="14.21875" customWidth="1"/>
    <col min="2310" max="2310" width="15.88671875" customWidth="1"/>
    <col min="2561" max="2561" width="27" customWidth="1"/>
    <col min="2562" max="2562" width="52.109375" customWidth="1"/>
    <col min="2563" max="2563" width="12" bestFit="1" customWidth="1"/>
    <col min="2564" max="2564" width="10.88671875" bestFit="1" customWidth="1"/>
    <col min="2565" max="2565" width="14.21875" customWidth="1"/>
    <col min="2566" max="2566" width="15.88671875" customWidth="1"/>
    <col min="2817" max="2817" width="27" customWidth="1"/>
    <col min="2818" max="2818" width="52.109375" customWidth="1"/>
    <col min="2819" max="2819" width="12" bestFit="1" customWidth="1"/>
    <col min="2820" max="2820" width="10.88671875" bestFit="1" customWidth="1"/>
    <col min="2821" max="2821" width="14.21875" customWidth="1"/>
    <col min="2822" max="2822" width="15.88671875" customWidth="1"/>
    <col min="3073" max="3073" width="27" customWidth="1"/>
    <col min="3074" max="3074" width="52.109375" customWidth="1"/>
    <col min="3075" max="3075" width="12" bestFit="1" customWidth="1"/>
    <col min="3076" max="3076" width="10.88671875" bestFit="1" customWidth="1"/>
    <col min="3077" max="3077" width="14.21875" customWidth="1"/>
    <col min="3078" max="3078" width="15.88671875" customWidth="1"/>
    <col min="3329" max="3329" width="27" customWidth="1"/>
    <col min="3330" max="3330" width="52.109375" customWidth="1"/>
    <col min="3331" max="3331" width="12" bestFit="1" customWidth="1"/>
    <col min="3332" max="3332" width="10.88671875" bestFit="1" customWidth="1"/>
    <col min="3333" max="3333" width="14.21875" customWidth="1"/>
    <col min="3334" max="3334" width="15.88671875" customWidth="1"/>
    <col min="3585" max="3585" width="27" customWidth="1"/>
    <col min="3586" max="3586" width="52.109375" customWidth="1"/>
    <col min="3587" max="3587" width="12" bestFit="1" customWidth="1"/>
    <col min="3588" max="3588" width="10.88671875" bestFit="1" customWidth="1"/>
    <col min="3589" max="3589" width="14.21875" customWidth="1"/>
    <col min="3590" max="3590" width="15.88671875" customWidth="1"/>
    <col min="3841" max="3841" width="27" customWidth="1"/>
    <col min="3842" max="3842" width="52.109375" customWidth="1"/>
    <col min="3843" max="3843" width="12" bestFit="1" customWidth="1"/>
    <col min="3844" max="3844" width="10.88671875" bestFit="1" customWidth="1"/>
    <col min="3845" max="3845" width="14.21875" customWidth="1"/>
    <col min="3846" max="3846" width="15.88671875" customWidth="1"/>
    <col min="4097" max="4097" width="27" customWidth="1"/>
    <col min="4098" max="4098" width="52.109375" customWidth="1"/>
    <col min="4099" max="4099" width="12" bestFit="1" customWidth="1"/>
    <col min="4100" max="4100" width="10.88671875" bestFit="1" customWidth="1"/>
    <col min="4101" max="4101" width="14.21875" customWidth="1"/>
    <col min="4102" max="4102" width="15.88671875" customWidth="1"/>
    <col min="4353" max="4353" width="27" customWidth="1"/>
    <col min="4354" max="4354" width="52.109375" customWidth="1"/>
    <col min="4355" max="4355" width="12" bestFit="1" customWidth="1"/>
    <col min="4356" max="4356" width="10.88671875" bestFit="1" customWidth="1"/>
    <col min="4357" max="4357" width="14.21875" customWidth="1"/>
    <col min="4358" max="4358" width="15.88671875" customWidth="1"/>
    <col min="4609" max="4609" width="27" customWidth="1"/>
    <col min="4610" max="4610" width="52.109375" customWidth="1"/>
    <col min="4611" max="4611" width="12" bestFit="1" customWidth="1"/>
    <col min="4612" max="4612" width="10.88671875" bestFit="1" customWidth="1"/>
    <col min="4613" max="4613" width="14.21875" customWidth="1"/>
    <col min="4614" max="4614" width="15.88671875" customWidth="1"/>
    <col min="4865" max="4865" width="27" customWidth="1"/>
    <col min="4866" max="4866" width="52.109375" customWidth="1"/>
    <col min="4867" max="4867" width="12" bestFit="1" customWidth="1"/>
    <col min="4868" max="4868" width="10.88671875" bestFit="1" customWidth="1"/>
    <col min="4869" max="4869" width="14.21875" customWidth="1"/>
    <col min="4870" max="4870" width="15.88671875" customWidth="1"/>
    <col min="5121" max="5121" width="27" customWidth="1"/>
    <col min="5122" max="5122" width="52.109375" customWidth="1"/>
    <col min="5123" max="5123" width="12" bestFit="1" customWidth="1"/>
    <col min="5124" max="5124" width="10.88671875" bestFit="1" customWidth="1"/>
    <col min="5125" max="5125" width="14.21875" customWidth="1"/>
    <col min="5126" max="5126" width="15.88671875" customWidth="1"/>
    <col min="5377" max="5377" width="27" customWidth="1"/>
    <col min="5378" max="5378" width="52.109375" customWidth="1"/>
    <col min="5379" max="5379" width="12" bestFit="1" customWidth="1"/>
    <col min="5380" max="5380" width="10.88671875" bestFit="1" customWidth="1"/>
    <col min="5381" max="5381" width="14.21875" customWidth="1"/>
    <col min="5382" max="5382" width="15.88671875" customWidth="1"/>
    <col min="5633" max="5633" width="27" customWidth="1"/>
    <col min="5634" max="5634" width="52.109375" customWidth="1"/>
    <col min="5635" max="5635" width="12" bestFit="1" customWidth="1"/>
    <col min="5636" max="5636" width="10.88671875" bestFit="1" customWidth="1"/>
    <col min="5637" max="5637" width="14.21875" customWidth="1"/>
    <col min="5638" max="5638" width="15.88671875" customWidth="1"/>
    <col min="5889" max="5889" width="27" customWidth="1"/>
    <col min="5890" max="5890" width="52.109375" customWidth="1"/>
    <col min="5891" max="5891" width="12" bestFit="1" customWidth="1"/>
    <col min="5892" max="5892" width="10.88671875" bestFit="1" customWidth="1"/>
    <col min="5893" max="5893" width="14.21875" customWidth="1"/>
    <col min="5894" max="5894" width="15.88671875" customWidth="1"/>
    <col min="6145" max="6145" width="27" customWidth="1"/>
    <col min="6146" max="6146" width="52.109375" customWidth="1"/>
    <col min="6147" max="6147" width="12" bestFit="1" customWidth="1"/>
    <col min="6148" max="6148" width="10.88671875" bestFit="1" customWidth="1"/>
    <col min="6149" max="6149" width="14.21875" customWidth="1"/>
    <col min="6150" max="6150" width="15.88671875" customWidth="1"/>
    <col min="6401" max="6401" width="27" customWidth="1"/>
    <col min="6402" max="6402" width="52.109375" customWidth="1"/>
    <col min="6403" max="6403" width="12" bestFit="1" customWidth="1"/>
    <col min="6404" max="6404" width="10.88671875" bestFit="1" customWidth="1"/>
    <col min="6405" max="6405" width="14.21875" customWidth="1"/>
    <col min="6406" max="6406" width="15.88671875" customWidth="1"/>
    <col min="6657" max="6657" width="27" customWidth="1"/>
    <col min="6658" max="6658" width="52.109375" customWidth="1"/>
    <col min="6659" max="6659" width="12" bestFit="1" customWidth="1"/>
    <col min="6660" max="6660" width="10.88671875" bestFit="1" customWidth="1"/>
    <col min="6661" max="6661" width="14.21875" customWidth="1"/>
    <col min="6662" max="6662" width="15.88671875" customWidth="1"/>
    <col min="6913" max="6913" width="27" customWidth="1"/>
    <col min="6914" max="6914" width="52.109375" customWidth="1"/>
    <col min="6915" max="6915" width="12" bestFit="1" customWidth="1"/>
    <col min="6916" max="6916" width="10.88671875" bestFit="1" customWidth="1"/>
    <col min="6917" max="6917" width="14.21875" customWidth="1"/>
    <col min="6918" max="6918" width="15.88671875" customWidth="1"/>
    <col min="7169" max="7169" width="27" customWidth="1"/>
    <col min="7170" max="7170" width="52.109375" customWidth="1"/>
    <col min="7171" max="7171" width="12" bestFit="1" customWidth="1"/>
    <col min="7172" max="7172" width="10.88671875" bestFit="1" customWidth="1"/>
    <col min="7173" max="7173" width="14.21875" customWidth="1"/>
    <col min="7174" max="7174" width="15.88671875" customWidth="1"/>
    <col min="7425" max="7425" width="27" customWidth="1"/>
    <col min="7426" max="7426" width="52.109375" customWidth="1"/>
    <col min="7427" max="7427" width="12" bestFit="1" customWidth="1"/>
    <col min="7428" max="7428" width="10.88671875" bestFit="1" customWidth="1"/>
    <col min="7429" max="7429" width="14.21875" customWidth="1"/>
    <col min="7430" max="7430" width="15.88671875" customWidth="1"/>
    <col min="7681" max="7681" width="27" customWidth="1"/>
    <col min="7682" max="7682" width="52.109375" customWidth="1"/>
    <col min="7683" max="7683" width="12" bestFit="1" customWidth="1"/>
    <col min="7684" max="7684" width="10.88671875" bestFit="1" customWidth="1"/>
    <col min="7685" max="7685" width="14.21875" customWidth="1"/>
    <col min="7686" max="7686" width="15.88671875" customWidth="1"/>
    <col min="7937" max="7937" width="27" customWidth="1"/>
    <col min="7938" max="7938" width="52.109375" customWidth="1"/>
    <col min="7939" max="7939" width="12" bestFit="1" customWidth="1"/>
    <col min="7940" max="7940" width="10.88671875" bestFit="1" customWidth="1"/>
    <col min="7941" max="7941" width="14.21875" customWidth="1"/>
    <col min="7942" max="7942" width="15.88671875" customWidth="1"/>
    <col min="8193" max="8193" width="27" customWidth="1"/>
    <col min="8194" max="8194" width="52.109375" customWidth="1"/>
    <col min="8195" max="8195" width="12" bestFit="1" customWidth="1"/>
    <col min="8196" max="8196" width="10.88671875" bestFit="1" customWidth="1"/>
    <col min="8197" max="8197" width="14.21875" customWidth="1"/>
    <col min="8198" max="8198" width="15.88671875" customWidth="1"/>
    <col min="8449" max="8449" width="27" customWidth="1"/>
    <col min="8450" max="8450" width="52.109375" customWidth="1"/>
    <col min="8451" max="8451" width="12" bestFit="1" customWidth="1"/>
    <col min="8452" max="8452" width="10.88671875" bestFit="1" customWidth="1"/>
    <col min="8453" max="8453" width="14.21875" customWidth="1"/>
    <col min="8454" max="8454" width="15.88671875" customWidth="1"/>
    <col min="8705" max="8705" width="27" customWidth="1"/>
    <col min="8706" max="8706" width="52.109375" customWidth="1"/>
    <col min="8707" max="8707" width="12" bestFit="1" customWidth="1"/>
    <col min="8708" max="8708" width="10.88671875" bestFit="1" customWidth="1"/>
    <col min="8709" max="8709" width="14.21875" customWidth="1"/>
    <col min="8710" max="8710" width="15.88671875" customWidth="1"/>
    <col min="8961" max="8961" width="27" customWidth="1"/>
    <col min="8962" max="8962" width="52.109375" customWidth="1"/>
    <col min="8963" max="8963" width="12" bestFit="1" customWidth="1"/>
    <col min="8964" max="8964" width="10.88671875" bestFit="1" customWidth="1"/>
    <col min="8965" max="8965" width="14.21875" customWidth="1"/>
    <col min="8966" max="8966" width="15.88671875" customWidth="1"/>
    <col min="9217" max="9217" width="27" customWidth="1"/>
    <col min="9218" max="9218" width="52.109375" customWidth="1"/>
    <col min="9219" max="9219" width="12" bestFit="1" customWidth="1"/>
    <col min="9220" max="9220" width="10.88671875" bestFit="1" customWidth="1"/>
    <col min="9221" max="9221" width="14.21875" customWidth="1"/>
    <col min="9222" max="9222" width="15.88671875" customWidth="1"/>
    <col min="9473" max="9473" width="27" customWidth="1"/>
    <col min="9474" max="9474" width="52.109375" customWidth="1"/>
    <col min="9475" max="9475" width="12" bestFit="1" customWidth="1"/>
    <col min="9476" max="9476" width="10.88671875" bestFit="1" customWidth="1"/>
    <col min="9477" max="9477" width="14.21875" customWidth="1"/>
    <col min="9478" max="9478" width="15.88671875" customWidth="1"/>
    <col min="9729" max="9729" width="27" customWidth="1"/>
    <col min="9730" max="9730" width="52.109375" customWidth="1"/>
    <col min="9731" max="9731" width="12" bestFit="1" customWidth="1"/>
    <col min="9732" max="9732" width="10.88671875" bestFit="1" customWidth="1"/>
    <col min="9733" max="9733" width="14.21875" customWidth="1"/>
    <col min="9734" max="9734" width="15.88671875" customWidth="1"/>
    <col min="9985" max="9985" width="27" customWidth="1"/>
    <col min="9986" max="9986" width="52.109375" customWidth="1"/>
    <col min="9987" max="9987" width="12" bestFit="1" customWidth="1"/>
    <col min="9988" max="9988" width="10.88671875" bestFit="1" customWidth="1"/>
    <col min="9989" max="9989" width="14.21875" customWidth="1"/>
    <col min="9990" max="9990" width="15.88671875" customWidth="1"/>
    <col min="10241" max="10241" width="27" customWidth="1"/>
    <col min="10242" max="10242" width="52.109375" customWidth="1"/>
    <col min="10243" max="10243" width="12" bestFit="1" customWidth="1"/>
    <col min="10244" max="10244" width="10.88671875" bestFit="1" customWidth="1"/>
    <col min="10245" max="10245" width="14.21875" customWidth="1"/>
    <col min="10246" max="10246" width="15.88671875" customWidth="1"/>
    <col min="10497" max="10497" width="27" customWidth="1"/>
    <col min="10498" max="10498" width="52.109375" customWidth="1"/>
    <col min="10499" max="10499" width="12" bestFit="1" customWidth="1"/>
    <col min="10500" max="10500" width="10.88671875" bestFit="1" customWidth="1"/>
    <col min="10501" max="10501" width="14.21875" customWidth="1"/>
    <col min="10502" max="10502" width="15.88671875" customWidth="1"/>
    <col min="10753" max="10753" width="27" customWidth="1"/>
    <col min="10754" max="10754" width="52.109375" customWidth="1"/>
    <col min="10755" max="10755" width="12" bestFit="1" customWidth="1"/>
    <col min="10756" max="10756" width="10.88671875" bestFit="1" customWidth="1"/>
    <col min="10757" max="10757" width="14.21875" customWidth="1"/>
    <col min="10758" max="10758" width="15.88671875" customWidth="1"/>
    <col min="11009" max="11009" width="27" customWidth="1"/>
    <col min="11010" max="11010" width="52.109375" customWidth="1"/>
    <col min="11011" max="11011" width="12" bestFit="1" customWidth="1"/>
    <col min="11012" max="11012" width="10.88671875" bestFit="1" customWidth="1"/>
    <col min="11013" max="11013" width="14.21875" customWidth="1"/>
    <col min="11014" max="11014" width="15.88671875" customWidth="1"/>
    <col min="11265" max="11265" width="27" customWidth="1"/>
    <col min="11266" max="11266" width="52.109375" customWidth="1"/>
    <col min="11267" max="11267" width="12" bestFit="1" customWidth="1"/>
    <col min="11268" max="11268" width="10.88671875" bestFit="1" customWidth="1"/>
    <col min="11269" max="11269" width="14.21875" customWidth="1"/>
    <col min="11270" max="11270" width="15.88671875" customWidth="1"/>
    <col min="11521" max="11521" width="27" customWidth="1"/>
    <col min="11522" max="11522" width="52.109375" customWidth="1"/>
    <col min="11523" max="11523" width="12" bestFit="1" customWidth="1"/>
    <col min="11524" max="11524" width="10.88671875" bestFit="1" customWidth="1"/>
    <col min="11525" max="11525" width="14.21875" customWidth="1"/>
    <col min="11526" max="11526" width="15.88671875" customWidth="1"/>
    <col min="11777" max="11777" width="27" customWidth="1"/>
    <col min="11778" max="11778" width="52.109375" customWidth="1"/>
    <col min="11779" max="11779" width="12" bestFit="1" customWidth="1"/>
    <col min="11780" max="11780" width="10.88671875" bestFit="1" customWidth="1"/>
    <col min="11781" max="11781" width="14.21875" customWidth="1"/>
    <col min="11782" max="11782" width="15.88671875" customWidth="1"/>
    <col min="12033" max="12033" width="27" customWidth="1"/>
    <col min="12034" max="12034" width="52.109375" customWidth="1"/>
    <col min="12035" max="12035" width="12" bestFit="1" customWidth="1"/>
    <col min="12036" max="12036" width="10.88671875" bestFit="1" customWidth="1"/>
    <col min="12037" max="12037" width="14.21875" customWidth="1"/>
    <col min="12038" max="12038" width="15.88671875" customWidth="1"/>
    <col min="12289" max="12289" width="27" customWidth="1"/>
    <col min="12290" max="12290" width="52.109375" customWidth="1"/>
    <col min="12291" max="12291" width="12" bestFit="1" customWidth="1"/>
    <col min="12292" max="12292" width="10.88671875" bestFit="1" customWidth="1"/>
    <col min="12293" max="12293" width="14.21875" customWidth="1"/>
    <col min="12294" max="12294" width="15.88671875" customWidth="1"/>
    <col min="12545" max="12545" width="27" customWidth="1"/>
    <col min="12546" max="12546" width="52.109375" customWidth="1"/>
    <col min="12547" max="12547" width="12" bestFit="1" customWidth="1"/>
    <col min="12548" max="12548" width="10.88671875" bestFit="1" customWidth="1"/>
    <col min="12549" max="12549" width="14.21875" customWidth="1"/>
    <col min="12550" max="12550" width="15.88671875" customWidth="1"/>
    <col min="12801" max="12801" width="27" customWidth="1"/>
    <col min="12802" max="12802" width="52.109375" customWidth="1"/>
    <col min="12803" max="12803" width="12" bestFit="1" customWidth="1"/>
    <col min="12804" max="12804" width="10.88671875" bestFit="1" customWidth="1"/>
    <col min="12805" max="12805" width="14.21875" customWidth="1"/>
    <col min="12806" max="12806" width="15.88671875" customWidth="1"/>
    <col min="13057" max="13057" width="27" customWidth="1"/>
    <col min="13058" max="13058" width="52.109375" customWidth="1"/>
    <col min="13059" max="13059" width="12" bestFit="1" customWidth="1"/>
    <col min="13060" max="13060" width="10.88671875" bestFit="1" customWidth="1"/>
    <col min="13061" max="13061" width="14.21875" customWidth="1"/>
    <col min="13062" max="13062" width="15.88671875" customWidth="1"/>
    <col min="13313" max="13313" width="27" customWidth="1"/>
    <col min="13314" max="13314" width="52.109375" customWidth="1"/>
    <col min="13315" max="13315" width="12" bestFit="1" customWidth="1"/>
    <col min="13316" max="13316" width="10.88671875" bestFit="1" customWidth="1"/>
    <col min="13317" max="13317" width="14.21875" customWidth="1"/>
    <col min="13318" max="13318" width="15.88671875" customWidth="1"/>
    <col min="13569" max="13569" width="27" customWidth="1"/>
    <col min="13570" max="13570" width="52.109375" customWidth="1"/>
    <col min="13571" max="13571" width="12" bestFit="1" customWidth="1"/>
    <col min="13572" max="13572" width="10.88671875" bestFit="1" customWidth="1"/>
    <col min="13573" max="13573" width="14.21875" customWidth="1"/>
    <col min="13574" max="13574" width="15.88671875" customWidth="1"/>
    <col min="13825" max="13825" width="27" customWidth="1"/>
    <col min="13826" max="13826" width="52.109375" customWidth="1"/>
    <col min="13827" max="13827" width="12" bestFit="1" customWidth="1"/>
    <col min="13828" max="13828" width="10.88671875" bestFit="1" customWidth="1"/>
    <col min="13829" max="13829" width="14.21875" customWidth="1"/>
    <col min="13830" max="13830" width="15.88671875" customWidth="1"/>
    <col min="14081" max="14081" width="27" customWidth="1"/>
    <col min="14082" max="14082" width="52.109375" customWidth="1"/>
    <col min="14083" max="14083" width="12" bestFit="1" customWidth="1"/>
    <col min="14084" max="14084" width="10.88671875" bestFit="1" customWidth="1"/>
    <col min="14085" max="14085" width="14.21875" customWidth="1"/>
    <col min="14086" max="14086" width="15.88671875" customWidth="1"/>
    <col min="14337" max="14337" width="27" customWidth="1"/>
    <col min="14338" max="14338" width="52.109375" customWidth="1"/>
    <col min="14339" max="14339" width="12" bestFit="1" customWidth="1"/>
    <col min="14340" max="14340" width="10.88671875" bestFit="1" customWidth="1"/>
    <col min="14341" max="14341" width="14.21875" customWidth="1"/>
    <col min="14342" max="14342" width="15.88671875" customWidth="1"/>
    <col min="14593" max="14593" width="27" customWidth="1"/>
    <col min="14594" max="14594" width="52.109375" customWidth="1"/>
    <col min="14595" max="14595" width="12" bestFit="1" customWidth="1"/>
    <col min="14596" max="14596" width="10.88671875" bestFit="1" customWidth="1"/>
    <col min="14597" max="14597" width="14.21875" customWidth="1"/>
    <col min="14598" max="14598" width="15.88671875" customWidth="1"/>
    <col min="14849" max="14849" width="27" customWidth="1"/>
    <col min="14850" max="14850" width="52.109375" customWidth="1"/>
    <col min="14851" max="14851" width="12" bestFit="1" customWidth="1"/>
    <col min="14852" max="14852" width="10.88671875" bestFit="1" customWidth="1"/>
    <col min="14853" max="14853" width="14.21875" customWidth="1"/>
    <col min="14854" max="14854" width="15.88671875" customWidth="1"/>
    <col min="15105" max="15105" width="27" customWidth="1"/>
    <col min="15106" max="15106" width="52.109375" customWidth="1"/>
    <col min="15107" max="15107" width="12" bestFit="1" customWidth="1"/>
    <col min="15108" max="15108" width="10.88671875" bestFit="1" customWidth="1"/>
    <col min="15109" max="15109" width="14.21875" customWidth="1"/>
    <col min="15110" max="15110" width="15.88671875" customWidth="1"/>
    <col min="15361" max="15361" width="27" customWidth="1"/>
    <col min="15362" max="15362" width="52.109375" customWidth="1"/>
    <col min="15363" max="15363" width="12" bestFit="1" customWidth="1"/>
    <col min="15364" max="15364" width="10.88671875" bestFit="1" customWidth="1"/>
    <col min="15365" max="15365" width="14.21875" customWidth="1"/>
    <col min="15366" max="15366" width="15.88671875" customWidth="1"/>
    <col min="15617" max="15617" width="27" customWidth="1"/>
    <col min="15618" max="15618" width="52.109375" customWidth="1"/>
    <col min="15619" max="15619" width="12" bestFit="1" customWidth="1"/>
    <col min="15620" max="15620" width="10.88671875" bestFit="1" customWidth="1"/>
    <col min="15621" max="15621" width="14.21875" customWidth="1"/>
    <col min="15622" max="15622" width="15.88671875" customWidth="1"/>
    <col min="15873" max="15873" width="27" customWidth="1"/>
    <col min="15874" max="15874" width="52.109375" customWidth="1"/>
    <col min="15875" max="15875" width="12" bestFit="1" customWidth="1"/>
    <col min="15876" max="15876" width="10.88671875" bestFit="1" customWidth="1"/>
    <col min="15877" max="15877" width="14.21875" customWidth="1"/>
    <col min="15878" max="15878" width="15.88671875" customWidth="1"/>
    <col min="16129" max="16129" width="27" customWidth="1"/>
    <col min="16130" max="16130" width="52.109375" customWidth="1"/>
    <col min="16131" max="16131" width="12" bestFit="1" customWidth="1"/>
    <col min="16132" max="16132" width="10.88671875" bestFit="1" customWidth="1"/>
    <col min="16133" max="16133" width="14.21875" customWidth="1"/>
    <col min="16134" max="16134" width="15.88671875" customWidth="1"/>
  </cols>
  <sheetData>
    <row r="1" spans="1:7" s="302" customFormat="1" ht="15.6" x14ac:dyDescent="0.25">
      <c r="A1" s="748" t="s">
        <v>436</v>
      </c>
      <c r="B1" s="749"/>
      <c r="C1" s="749"/>
      <c r="D1" s="749"/>
      <c r="E1" s="749"/>
      <c r="F1" s="750"/>
    </row>
    <row r="2" spans="1:7" s="302" customFormat="1" x14ac:dyDescent="0.25">
      <c r="A2" s="758" t="str">
        <f>'Modelo Planilha Orcamentaria'!A2</f>
        <v>PREFEITURA: PREFEITURA MUNICIPAL DE BOM JARDIM DE MINAS - MG</v>
      </c>
      <c r="B2" s="759"/>
      <c r="C2" s="759"/>
      <c r="D2" s="759"/>
      <c r="E2" s="751" t="s">
        <v>437</v>
      </c>
      <c r="F2" s="752"/>
    </row>
    <row r="3" spans="1:7" s="302" customFormat="1" x14ac:dyDescent="0.25">
      <c r="A3" s="758" t="str">
        <f>'Modelo Planilha Orcamentaria'!A3</f>
        <v>OBRA: REVITALIZAÇÃO, REFORMA E CONSTRUÇÃO DE BANHEIROS PÚBLICOS NA PRAÇA ANTÔNIO JACINTO FARIA - ETAPA 02</v>
      </c>
      <c r="B3" s="759"/>
      <c r="C3" s="759"/>
      <c r="D3" s="759"/>
      <c r="E3" s="303" t="s">
        <v>438</v>
      </c>
      <c r="F3" s="304">
        <f ca="1">TODAY()</f>
        <v>45700</v>
      </c>
    </row>
    <row r="4" spans="1:7" s="302" customFormat="1" ht="13.8" thickBot="1" x14ac:dyDescent="0.3">
      <c r="A4" s="760" t="str">
        <f>'Modelo Planilha Orcamentaria'!A4</f>
        <v>LOCAL:  PRAÇA ANTÔNIO JACINTO FARIA  - BAIRRO CENTRO - BOM JARDIM DE MINAS / MG</v>
      </c>
      <c r="B4" s="761"/>
      <c r="C4" s="761"/>
      <c r="D4" s="761"/>
      <c r="E4" s="305"/>
      <c r="F4" s="306"/>
      <c r="G4" s="307"/>
    </row>
    <row r="5" spans="1:7" s="753" customFormat="1" ht="7.95" customHeight="1" thickBot="1" x14ac:dyDescent="0.3">
      <c r="B5" s="754"/>
      <c r="C5" s="754"/>
      <c r="D5" s="754"/>
      <c r="E5" s="754"/>
      <c r="F5" s="754"/>
      <c r="G5" s="754"/>
    </row>
    <row r="6" spans="1:7" s="313" customFormat="1" x14ac:dyDescent="0.25">
      <c r="A6" s="308"/>
      <c r="B6" s="309" t="s">
        <v>34</v>
      </c>
      <c r="C6" s="310" t="s">
        <v>3</v>
      </c>
      <c r="D6" s="310" t="s">
        <v>35</v>
      </c>
      <c r="E6" s="311"/>
      <c r="F6" s="312" t="s">
        <v>36</v>
      </c>
    </row>
    <row r="7" spans="1:7" s="313" customFormat="1" x14ac:dyDescent="0.25">
      <c r="A7" s="314" t="s">
        <v>439</v>
      </c>
      <c r="B7" s="315" t="s">
        <v>446</v>
      </c>
      <c r="C7" s="316" t="s">
        <v>13</v>
      </c>
      <c r="D7" s="317">
        <v>45566</v>
      </c>
      <c r="E7" s="318"/>
      <c r="F7" s="319">
        <f>SUM(F9:F11)/3</f>
        <v>141.66666666666666</v>
      </c>
    </row>
    <row r="8" spans="1:7" s="313" customFormat="1" x14ac:dyDescent="0.25">
      <c r="A8" s="320" t="s">
        <v>440</v>
      </c>
      <c r="B8" s="321" t="s">
        <v>441</v>
      </c>
      <c r="C8" s="322" t="s">
        <v>442</v>
      </c>
      <c r="D8" s="322" t="s">
        <v>443</v>
      </c>
      <c r="E8" s="323" t="s">
        <v>444</v>
      </c>
      <c r="F8" s="324" t="s">
        <v>445</v>
      </c>
    </row>
    <row r="9" spans="1:7" s="313" customFormat="1" x14ac:dyDescent="0.25">
      <c r="A9" s="325" t="s">
        <v>450</v>
      </c>
      <c r="B9" s="326" t="s">
        <v>447</v>
      </c>
      <c r="C9" s="327" t="s">
        <v>448</v>
      </c>
      <c r="D9" s="328" t="s">
        <v>449</v>
      </c>
      <c r="E9" s="329">
        <v>45687</v>
      </c>
      <c r="F9" s="330">
        <v>130</v>
      </c>
    </row>
    <row r="10" spans="1:7" s="313" customFormat="1" x14ac:dyDescent="0.25">
      <c r="A10" s="342" t="s">
        <v>454</v>
      </c>
      <c r="B10" s="326" t="s">
        <v>452</v>
      </c>
      <c r="C10" s="327" t="s">
        <v>451</v>
      </c>
      <c r="D10" s="328" t="s">
        <v>453</v>
      </c>
      <c r="E10" s="329">
        <v>45687</v>
      </c>
      <c r="F10" s="330">
        <v>150</v>
      </c>
    </row>
    <row r="11" spans="1:7" s="313" customFormat="1" x14ac:dyDescent="0.25">
      <c r="A11" s="331" t="s">
        <v>456</v>
      </c>
      <c r="B11" s="332" t="s">
        <v>455</v>
      </c>
      <c r="C11" s="333" t="s">
        <v>457</v>
      </c>
      <c r="D11" s="334" t="s">
        <v>458</v>
      </c>
      <c r="E11" s="329">
        <v>45687</v>
      </c>
      <c r="F11" s="330">
        <v>145</v>
      </c>
    </row>
    <row r="12" spans="1:7" s="341" customFormat="1" ht="4.95" customHeight="1" x14ac:dyDescent="0.25">
      <c r="A12" s="335"/>
      <c r="B12" s="336"/>
      <c r="C12" s="337"/>
      <c r="D12" s="338"/>
      <c r="E12" s="339"/>
      <c r="F12" s="340"/>
    </row>
    <row r="13" spans="1:7" s="341" customFormat="1" ht="7.05" customHeight="1" thickBot="1" x14ac:dyDescent="0.3">
      <c r="A13" s="755"/>
      <c r="B13" s="756"/>
      <c r="C13" s="756"/>
      <c r="D13" s="756"/>
      <c r="E13" s="756"/>
      <c r="F13" s="757"/>
    </row>
    <row r="14" spans="1:7" s="313" customFormat="1" x14ac:dyDescent="0.25">
      <c r="A14" s="308"/>
      <c r="B14" s="309" t="s">
        <v>34</v>
      </c>
      <c r="C14" s="310" t="s">
        <v>3</v>
      </c>
      <c r="D14" s="310" t="s">
        <v>35</v>
      </c>
      <c r="E14" s="311"/>
      <c r="F14" s="312" t="s">
        <v>36</v>
      </c>
    </row>
    <row r="15" spans="1:7" s="302" customFormat="1" x14ac:dyDescent="0.25">
      <c r="A15" s="392" t="s">
        <v>490</v>
      </c>
      <c r="B15" s="393" t="s">
        <v>462</v>
      </c>
      <c r="C15" s="394" t="s">
        <v>9</v>
      </c>
      <c r="D15" s="395">
        <v>45566</v>
      </c>
      <c r="E15" s="396"/>
      <c r="F15" s="397">
        <f>SUM(F17:F19)/3</f>
        <v>323.33333333333331</v>
      </c>
    </row>
    <row r="16" spans="1:7" s="313" customFormat="1" x14ac:dyDescent="0.25">
      <c r="A16" s="320" t="s">
        <v>440</v>
      </c>
      <c r="B16" s="321" t="s">
        <v>441</v>
      </c>
      <c r="C16" s="322" t="s">
        <v>442</v>
      </c>
      <c r="D16" s="322" t="s">
        <v>443</v>
      </c>
      <c r="E16" s="323" t="s">
        <v>444</v>
      </c>
      <c r="F16" s="324" t="s">
        <v>445</v>
      </c>
    </row>
    <row r="17" spans="1:6" s="313" customFormat="1" x14ac:dyDescent="0.25">
      <c r="A17" s="325" t="s">
        <v>531</v>
      </c>
      <c r="B17" s="326" t="s">
        <v>530</v>
      </c>
      <c r="C17" s="327" t="s">
        <v>533</v>
      </c>
      <c r="D17" s="328" t="s">
        <v>532</v>
      </c>
      <c r="E17" s="329">
        <v>45687</v>
      </c>
      <c r="F17" s="330">
        <v>350</v>
      </c>
    </row>
    <row r="18" spans="1:6" s="313" customFormat="1" x14ac:dyDescent="0.25">
      <c r="A18" s="342" t="s">
        <v>553</v>
      </c>
      <c r="B18" s="326" t="s">
        <v>551</v>
      </c>
      <c r="C18" s="327" t="s">
        <v>552</v>
      </c>
      <c r="D18" s="328" t="s">
        <v>554</v>
      </c>
      <c r="E18" s="329">
        <v>45687</v>
      </c>
      <c r="F18" s="330">
        <v>320</v>
      </c>
    </row>
    <row r="19" spans="1:6" s="313" customFormat="1" x14ac:dyDescent="0.25">
      <c r="A19" s="331" t="s">
        <v>556</v>
      </c>
      <c r="B19" s="332" t="s">
        <v>555</v>
      </c>
      <c r="C19" s="333" t="s">
        <v>557</v>
      </c>
      <c r="D19" s="334" t="s">
        <v>581</v>
      </c>
      <c r="E19" s="329">
        <v>45687</v>
      </c>
      <c r="F19" s="330">
        <v>300</v>
      </c>
    </row>
    <row r="20" spans="1:6" s="341" customFormat="1" ht="4.95" customHeight="1" x14ac:dyDescent="0.25">
      <c r="A20" s="335"/>
      <c r="B20" s="336"/>
      <c r="C20" s="337"/>
      <c r="D20" s="338"/>
      <c r="E20" s="339"/>
      <c r="F20" s="340"/>
    </row>
    <row r="21" spans="1:6" s="341" customFormat="1" ht="7.05" customHeight="1" thickBot="1" x14ac:dyDescent="0.3">
      <c r="A21" s="745"/>
      <c r="B21" s="746"/>
      <c r="C21" s="746"/>
      <c r="D21" s="746"/>
      <c r="E21" s="746"/>
      <c r="F21" s="747"/>
    </row>
    <row r="22" spans="1:6" x14ac:dyDescent="0.25">
      <c r="A22" s="469"/>
      <c r="B22" s="470" t="s">
        <v>34</v>
      </c>
      <c r="C22" s="471" t="s">
        <v>3</v>
      </c>
      <c r="D22" s="471" t="s">
        <v>35</v>
      </c>
      <c r="E22" s="472"/>
      <c r="F22" s="473" t="s">
        <v>36</v>
      </c>
    </row>
    <row r="23" spans="1:6" ht="25.05" customHeight="1" x14ac:dyDescent="0.25">
      <c r="A23" s="474" t="s">
        <v>648</v>
      </c>
      <c r="B23" s="499" t="s">
        <v>611</v>
      </c>
      <c r="C23" s="116" t="s">
        <v>13</v>
      </c>
      <c r="D23" s="483">
        <v>45689</v>
      </c>
      <c r="E23" s="465"/>
      <c r="F23" s="397">
        <f>SUM(F25:F27)/3</f>
        <v>6861.7400000000007</v>
      </c>
    </row>
    <row r="24" spans="1:6" x14ac:dyDescent="0.25">
      <c r="A24" s="475" t="s">
        <v>440</v>
      </c>
      <c r="B24" s="455" t="s">
        <v>441</v>
      </c>
      <c r="C24" s="456" t="s">
        <v>442</v>
      </c>
      <c r="D24" s="456" t="s">
        <v>443</v>
      </c>
      <c r="E24" s="466" t="s">
        <v>444</v>
      </c>
      <c r="F24" s="476" t="s">
        <v>445</v>
      </c>
    </row>
    <row r="25" spans="1:6" s="6" customFormat="1" x14ac:dyDescent="0.25">
      <c r="A25" s="477" t="s">
        <v>616</v>
      </c>
      <c r="B25" s="467" t="s">
        <v>617</v>
      </c>
      <c r="C25" s="355" t="s">
        <v>618</v>
      </c>
      <c r="D25" s="356" t="s">
        <v>619</v>
      </c>
      <c r="E25" s="468">
        <v>45693</v>
      </c>
      <c r="F25" s="478">
        <v>6861.35</v>
      </c>
    </row>
    <row r="26" spans="1:6" s="6" customFormat="1" x14ac:dyDescent="0.25">
      <c r="A26" s="477" t="s">
        <v>612</v>
      </c>
      <c r="B26" s="467" t="s">
        <v>613</v>
      </c>
      <c r="C26" s="355" t="s">
        <v>614</v>
      </c>
      <c r="D26" s="356" t="s">
        <v>615</v>
      </c>
      <c r="E26" s="468">
        <v>44594</v>
      </c>
      <c r="F26" s="478">
        <v>6753.97</v>
      </c>
    </row>
    <row r="27" spans="1:6" s="6" customFormat="1" x14ac:dyDescent="0.25">
      <c r="A27" s="477" t="s">
        <v>620</v>
      </c>
      <c r="B27" s="467" t="s">
        <v>621</v>
      </c>
      <c r="C27" s="355" t="s">
        <v>622</v>
      </c>
      <c r="D27" s="356" t="s">
        <v>623</v>
      </c>
      <c r="E27" s="468">
        <v>44594</v>
      </c>
      <c r="F27" s="478">
        <v>6969.9</v>
      </c>
    </row>
    <row r="28" spans="1:6" s="341" customFormat="1" ht="4.95" customHeight="1" x14ac:dyDescent="0.25">
      <c r="A28" s="335"/>
      <c r="B28" s="336"/>
      <c r="C28" s="337"/>
      <c r="D28" s="338"/>
      <c r="E28" s="339"/>
      <c r="F28" s="340"/>
    </row>
    <row r="29" spans="1:6" ht="4.95" customHeight="1" x14ac:dyDescent="0.25">
      <c r="A29" s="742"/>
      <c r="B29" s="743"/>
      <c r="C29" s="743"/>
      <c r="D29" s="743"/>
      <c r="E29" s="743"/>
      <c r="F29" s="744"/>
    </row>
    <row r="30" spans="1:6" x14ac:dyDescent="0.25">
      <c r="A30" s="500"/>
      <c r="B30" s="484" t="s">
        <v>34</v>
      </c>
      <c r="C30" s="485" t="s">
        <v>3</v>
      </c>
      <c r="D30" s="485" t="s">
        <v>35</v>
      </c>
      <c r="E30" s="465"/>
      <c r="F30" s="501" t="s">
        <v>36</v>
      </c>
    </row>
    <row r="31" spans="1:6" s="6" customFormat="1" x14ac:dyDescent="0.25">
      <c r="A31" s="502" t="s">
        <v>649</v>
      </c>
      <c r="B31" s="503" t="s">
        <v>635</v>
      </c>
      <c r="C31" s="116" t="s">
        <v>13</v>
      </c>
      <c r="D31" s="483">
        <v>45689</v>
      </c>
      <c r="E31" s="486"/>
      <c r="F31" s="397">
        <f>SUM(F33:F35)/3</f>
        <v>253.84</v>
      </c>
    </row>
    <row r="32" spans="1:6" x14ac:dyDescent="0.25">
      <c r="A32" s="475" t="s">
        <v>440</v>
      </c>
      <c r="B32" s="455" t="s">
        <v>441</v>
      </c>
      <c r="C32" s="456" t="s">
        <v>442</v>
      </c>
      <c r="D32" s="456" t="s">
        <v>443</v>
      </c>
      <c r="E32" s="466" t="s">
        <v>444</v>
      </c>
      <c r="F32" s="476" t="s">
        <v>445</v>
      </c>
    </row>
    <row r="33" spans="1:6" s="488" customFormat="1" x14ac:dyDescent="0.25">
      <c r="A33" s="477" t="s">
        <v>636</v>
      </c>
      <c r="B33" s="467" t="s">
        <v>637</v>
      </c>
      <c r="C33" s="355" t="s">
        <v>638</v>
      </c>
      <c r="D33" s="356" t="s">
        <v>639</v>
      </c>
      <c r="E33" s="487">
        <v>45693</v>
      </c>
      <c r="F33" s="478">
        <v>255.97</v>
      </c>
    </row>
    <row r="34" spans="1:6" s="488" customFormat="1" x14ac:dyDescent="0.25">
      <c r="A34" s="477" t="s">
        <v>640</v>
      </c>
      <c r="B34" s="467" t="s">
        <v>641</v>
      </c>
      <c r="C34" s="355" t="s">
        <v>642</v>
      </c>
      <c r="D34" s="356" t="s">
        <v>643</v>
      </c>
      <c r="E34" s="487">
        <v>45693</v>
      </c>
      <c r="F34" s="478">
        <v>260</v>
      </c>
    </row>
    <row r="35" spans="1:6" s="488" customFormat="1" x14ac:dyDescent="0.25">
      <c r="A35" s="477" t="s">
        <v>644</v>
      </c>
      <c r="B35" s="467" t="s">
        <v>645</v>
      </c>
      <c r="C35" s="355" t="s">
        <v>646</v>
      </c>
      <c r="D35" s="356" t="s">
        <v>647</v>
      </c>
      <c r="E35" s="487">
        <v>45693</v>
      </c>
      <c r="F35" s="478">
        <v>245.55</v>
      </c>
    </row>
    <row r="36" spans="1:6" s="341" customFormat="1" ht="4.95" customHeight="1" x14ac:dyDescent="0.25">
      <c r="A36" s="335"/>
      <c r="B36" s="336"/>
      <c r="C36" s="337"/>
      <c r="D36" s="338"/>
      <c r="E36" s="339"/>
      <c r="F36" s="340"/>
    </row>
    <row r="37" spans="1:6" ht="4.95" customHeight="1" x14ac:dyDescent="0.25">
      <c r="A37" s="736"/>
      <c r="B37" s="737"/>
      <c r="C37" s="737"/>
      <c r="D37" s="737"/>
      <c r="E37" s="737"/>
      <c r="F37" s="738"/>
    </row>
    <row r="38" spans="1:6" x14ac:dyDescent="0.25">
      <c r="A38" s="500"/>
      <c r="B38" s="484" t="s">
        <v>34</v>
      </c>
      <c r="C38" s="485" t="s">
        <v>3</v>
      </c>
      <c r="D38" s="485" t="s">
        <v>35</v>
      </c>
      <c r="E38" s="465"/>
      <c r="F38" s="501" t="s">
        <v>36</v>
      </c>
    </row>
    <row r="39" spans="1:6" s="6" customFormat="1" ht="25.05" customHeight="1" x14ac:dyDescent="0.25">
      <c r="A39" s="502" t="s">
        <v>653</v>
      </c>
      <c r="B39" s="503" t="s">
        <v>665</v>
      </c>
      <c r="C39" s="116" t="s">
        <v>13</v>
      </c>
      <c r="D39" s="483">
        <v>45689</v>
      </c>
      <c r="E39" s="486"/>
      <c r="F39" s="397">
        <f>SUM(F41:F43)/3</f>
        <v>8244.3633333333328</v>
      </c>
    </row>
    <row r="40" spans="1:6" x14ac:dyDescent="0.25">
      <c r="A40" s="475" t="s">
        <v>440</v>
      </c>
      <c r="B40" s="455" t="s">
        <v>441</v>
      </c>
      <c r="C40" s="456" t="s">
        <v>442</v>
      </c>
      <c r="D40" s="456" t="s">
        <v>443</v>
      </c>
      <c r="E40" s="466" t="s">
        <v>444</v>
      </c>
      <c r="F40" s="476" t="s">
        <v>445</v>
      </c>
    </row>
    <row r="41" spans="1:6" s="488" customFormat="1" x14ac:dyDescent="0.25">
      <c r="A41" s="477" t="s">
        <v>662</v>
      </c>
      <c r="B41" s="467" t="s">
        <v>663</v>
      </c>
      <c r="C41" s="355" t="s">
        <v>664</v>
      </c>
      <c r="D41" s="356" t="s">
        <v>619</v>
      </c>
      <c r="E41" s="487">
        <v>45693</v>
      </c>
      <c r="F41" s="478">
        <v>8418.91</v>
      </c>
    </row>
    <row r="42" spans="1:6" s="488" customFormat="1" x14ac:dyDescent="0.25">
      <c r="A42" s="477" t="s">
        <v>655</v>
      </c>
      <c r="B42" s="467" t="s">
        <v>654</v>
      </c>
      <c r="C42" s="355" t="s">
        <v>656</v>
      </c>
      <c r="D42" s="356" t="s">
        <v>657</v>
      </c>
      <c r="E42" s="487">
        <v>45693</v>
      </c>
      <c r="F42" s="478">
        <v>10175.370000000001</v>
      </c>
    </row>
    <row r="43" spans="1:6" s="488" customFormat="1" x14ac:dyDescent="0.25">
      <c r="A43" s="477" t="s">
        <v>661</v>
      </c>
      <c r="B43" s="467" t="s">
        <v>660</v>
      </c>
      <c r="C43" s="355" t="s">
        <v>659</v>
      </c>
      <c r="D43" s="356" t="s">
        <v>658</v>
      </c>
      <c r="E43" s="487">
        <v>45693</v>
      </c>
      <c r="F43" s="478">
        <v>6138.81</v>
      </c>
    </row>
    <row r="44" spans="1:6" s="341" customFormat="1" ht="4.95" customHeight="1" x14ac:dyDescent="0.25">
      <c r="A44" s="335"/>
      <c r="B44" s="336"/>
      <c r="C44" s="337"/>
      <c r="D44" s="338"/>
      <c r="E44" s="339"/>
      <c r="F44" s="340"/>
    </row>
    <row r="45" spans="1:6" ht="4.95" customHeight="1" thickBot="1" x14ac:dyDescent="0.3">
      <c r="A45" s="739"/>
      <c r="B45" s="740"/>
      <c r="C45" s="740"/>
      <c r="D45" s="740"/>
      <c r="E45" s="740"/>
      <c r="F45" s="741"/>
    </row>
    <row r="48" spans="1:6" x14ac:dyDescent="0.25">
      <c r="A48" s="489"/>
    </row>
    <row r="49" spans="1:1" x14ac:dyDescent="0.25">
      <c r="A49" s="489"/>
    </row>
    <row r="50" spans="1:1" x14ac:dyDescent="0.25">
      <c r="A50" s="489"/>
    </row>
  </sheetData>
  <mergeCells count="11">
    <mergeCell ref="A37:F37"/>
    <mergeCell ref="A45:F45"/>
    <mergeCell ref="A29:F29"/>
    <mergeCell ref="A21:F21"/>
    <mergeCell ref="A1:F1"/>
    <mergeCell ref="E2:F2"/>
    <mergeCell ref="A5:XFD5"/>
    <mergeCell ref="A13:F13"/>
    <mergeCell ref="A2:D2"/>
    <mergeCell ref="A3:D3"/>
    <mergeCell ref="A4:D4"/>
  </mergeCells>
  <printOptions horizontalCentered="1"/>
  <pageMargins left="0.39370078740157483" right="0" top="0.59055118110236227" bottom="0" header="0" footer="0"/>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Modelo Planilha Orcamentaria</vt:lpstr>
      <vt:lpstr>CFF</vt:lpstr>
      <vt:lpstr>MC II</vt:lpstr>
      <vt:lpstr>ANEXO MC ESTRUTURA COMPLEMENTAR</vt:lpstr>
      <vt:lpstr>COMP.CUSTO</vt:lpstr>
      <vt:lpstr>COTAÇÕES</vt:lpstr>
      <vt:lpstr>'ANEXO MC ESTRUTURA COMPLEMENTAR'!Area_de_impressao</vt:lpstr>
      <vt:lpstr>CFF!Area_de_impressao</vt:lpstr>
      <vt:lpstr>COMP.CUSTO!Area_de_impressao</vt:lpstr>
      <vt:lpstr>'MC II'!Area_de_impressao</vt:lpstr>
      <vt:lpstr>'Modelo Planilha Orcamentaria'!Area_de_impressao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PRISCILA DE PAULA</cp:lastModifiedBy>
  <cp:lastPrinted>2025-02-12T16:59:08Z</cp:lastPrinted>
  <dcterms:created xsi:type="dcterms:W3CDTF">2006-09-22T13:55:22Z</dcterms:created>
  <dcterms:modified xsi:type="dcterms:W3CDTF">2025-02-12T17:30:53Z</dcterms:modified>
</cp:coreProperties>
</file>