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F:\OneDrive\NOTEBOOK DELL\HD DO NOTEBOOK\HD EXTERNO 2022\2024\PM_BOM JARDIM DE MINAS\CONSTRUÇÃO SAMU\"/>
    </mc:Choice>
  </mc:AlternateContent>
  <xr:revisionPtr revIDLastSave="0" documentId="13_ncr:1_{3E0679CB-17B2-4F9D-B4DD-909F50E95555}" xr6:coauthVersionLast="47" xr6:coauthVersionMax="47" xr10:uidLastSave="{00000000-0000-0000-0000-000000000000}"/>
  <bookViews>
    <workbookView xWindow="-108" yWindow="-108" windowWidth="23256" windowHeight="12456" tabRatio="839" xr2:uid="{00000000-000D-0000-FFFF-FFFF00000000}"/>
  </bookViews>
  <sheets>
    <sheet name="PLANILHA ORÇAMENTARIA" sheetId="6" r:id="rId1"/>
    <sheet name="MC II" sheetId="23" r:id="rId2"/>
    <sheet name="CFF" sheetId="8" r:id="rId3"/>
    <sheet name="COMP.CUSTO" sheetId="31" r:id="rId4"/>
    <sheet name="COTAÇÕES" sheetId="33" r:id="rId5"/>
    <sheet name="ANEXO MC ESTRUTURA COMPLEMENTAR" sheetId="32" r:id="rId6"/>
  </sheets>
  <externalReferences>
    <externalReference r:id="rId7"/>
    <externalReference r:id="rId8"/>
  </externalReferences>
  <definedNames>
    <definedName name="_xlnm.Print_Area" localSheetId="5">'ANEXO MC ESTRUTURA COMPLEMENTAR'!$A$1:$K$226</definedName>
    <definedName name="_xlnm.Print_Area" localSheetId="2">CFF!$A$2:$I$48</definedName>
    <definedName name="_xlnm.Print_Area" localSheetId="3">'COMP.CUSTO'!$A$1:$G$144</definedName>
    <definedName name="_xlnm.Print_Area" localSheetId="4">COTAÇÕES!$A$1:$F$113</definedName>
    <definedName name="_xlnm.Print_Area" localSheetId="1">'MC II'!$A$1:$G$204</definedName>
    <definedName name="_xlnm.Print_Area" localSheetId="0">'PLANILHA ORÇAMENTARIA'!$A$1:$I$216</definedName>
    <definedName name="_xlnm.Database" localSheetId="5">TEXT([1]Dados!$G$29,"mm-aaaa")</definedName>
    <definedName name="_xlnm.Database" localSheetId="3">TEXT([1]Dados!$G$29,"mm-aaaa")</definedName>
    <definedName name="_xlnm.Database" localSheetId="4">TEXT([1]Dados!$G$29,"mm-aaaa")</definedName>
    <definedName name="_xlnm.Database" localSheetId="1">TEXT([2]Dados!$G$29,"mm-aaaa")</definedName>
    <definedName name="_xlnm.Database">TEXT([2]Dados!$G$29,"mm-aaaa")</definedName>
    <definedName name="Fonte" localSheetId="5">#REF!</definedName>
    <definedName name="Fonte" localSheetId="3">#REF!</definedName>
    <definedName name="Fonte" localSheetId="4">#REF!</definedName>
    <definedName name="Fonte" localSheetId="1">#REF!</definedName>
    <definedName name="Fonte">#REF!</definedName>
    <definedName name="INSUMOS" localSheetId="5">#REF!</definedName>
    <definedName name="INSUMOS" localSheetId="3">#REF!</definedName>
    <definedName name="INSUMOS" localSheetId="4">#REF!</definedName>
    <definedName name="INSUMOS">#REF!</definedName>
    <definedName name="SSSSSSSSSSSSSSSSSSSSSSSSSSSSSSSSSSSSSSSSSSSSSSSSSSSSSSSSSSSSSSSSSSSSSSSSSSSSSSSSSSSSSSSSS">#REF!</definedName>
    <definedName name="SWEEEEEE">#REF!</definedName>
    <definedName name="WWWW" localSheetId="5">#REF!</definedName>
    <definedName name="WWW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3" i="6" l="1"/>
  <c r="F101" i="23"/>
  <c r="F102" i="23"/>
  <c r="F58" i="6"/>
  <c r="I58" i="6" s="1"/>
  <c r="G56" i="23"/>
  <c r="E56" i="23"/>
  <c r="C56" i="23"/>
  <c r="H58" i="6"/>
  <c r="D56" i="31"/>
  <c r="C56" i="31"/>
  <c r="F61" i="33"/>
  <c r="F56" i="31" s="1"/>
  <c r="G56" i="31" s="1"/>
  <c r="C101" i="23"/>
  <c r="H103" i="6"/>
  <c r="I103" i="6" s="1"/>
  <c r="G60" i="31"/>
  <c r="G58" i="31"/>
  <c r="C98" i="6"/>
  <c r="F99" i="6"/>
  <c r="F98" i="6"/>
  <c r="F102" i="6"/>
  <c r="F101" i="6"/>
  <c r="E100" i="23"/>
  <c r="E99" i="23"/>
  <c r="E96" i="23"/>
  <c r="E97" i="23"/>
  <c r="C96" i="23"/>
  <c r="C102" i="6"/>
  <c r="C100" i="23" s="1"/>
  <c r="D55" i="31"/>
  <c r="C55" i="31"/>
  <c r="F55" i="33"/>
  <c r="F55" i="31" s="1"/>
  <c r="G55" i="31" s="1"/>
  <c r="G57" i="31"/>
  <c r="C101" i="6"/>
  <c r="C99" i="23" s="1"/>
  <c r="D50" i="31"/>
  <c r="C50" i="31"/>
  <c r="F49" i="33"/>
  <c r="F50" i="31" s="1"/>
  <c r="G50" i="31" s="1"/>
  <c r="G48" i="31" s="1"/>
  <c r="G101" i="6" s="1"/>
  <c r="G37" i="31"/>
  <c r="G45" i="31"/>
  <c r="G36" i="31"/>
  <c r="D43" i="31"/>
  <c r="D35" i="31"/>
  <c r="C43" i="31"/>
  <c r="C35" i="31"/>
  <c r="F43" i="33"/>
  <c r="F43" i="31" s="1"/>
  <c r="G43" i="31" s="1"/>
  <c r="F37" i="33"/>
  <c r="F35" i="31" s="1"/>
  <c r="G35" i="31" s="1"/>
  <c r="G33" i="31" s="1"/>
  <c r="C99" i="6"/>
  <c r="C97" i="23" s="1"/>
  <c r="G59" i="31"/>
  <c r="G44" i="31"/>
  <c r="F166" i="23"/>
  <c r="F79" i="23"/>
  <c r="F81" i="6" s="1"/>
  <c r="F203" i="6"/>
  <c r="C201" i="23"/>
  <c r="H203" i="6"/>
  <c r="F191" i="23"/>
  <c r="F193" i="6" s="1"/>
  <c r="C191" i="23"/>
  <c r="H193" i="6"/>
  <c r="G189" i="23"/>
  <c r="G191" i="23" s="1"/>
  <c r="F189" i="23"/>
  <c r="F191" i="6" s="1"/>
  <c r="C189" i="23"/>
  <c r="H191" i="6"/>
  <c r="F189" i="6"/>
  <c r="C187" i="23"/>
  <c r="H189" i="6"/>
  <c r="F194" i="23"/>
  <c r="F196" i="6" s="1"/>
  <c r="C194" i="23"/>
  <c r="H196" i="6"/>
  <c r="F195" i="6"/>
  <c r="C193" i="23"/>
  <c r="H195" i="6"/>
  <c r="F199" i="6"/>
  <c r="C197" i="23"/>
  <c r="H199" i="6"/>
  <c r="F97" i="6"/>
  <c r="F89" i="6"/>
  <c r="E95" i="23"/>
  <c r="E87" i="23"/>
  <c r="C87" i="23"/>
  <c r="H89" i="6"/>
  <c r="C97" i="6"/>
  <c r="C95" i="23" s="1"/>
  <c r="G30" i="31"/>
  <c r="D29" i="31"/>
  <c r="C29" i="31"/>
  <c r="F31" i="33"/>
  <c r="F29" i="31" s="1"/>
  <c r="G29" i="31" s="1"/>
  <c r="F79" i="6"/>
  <c r="E77" i="23"/>
  <c r="C77" i="23"/>
  <c r="H79" i="6"/>
  <c r="F138" i="6"/>
  <c r="E136" i="23"/>
  <c r="C138" i="6"/>
  <c r="C136" i="23" s="1"/>
  <c r="G67" i="31"/>
  <c r="G68" i="31"/>
  <c r="F103" i="33"/>
  <c r="F66" i="31" s="1"/>
  <c r="G66" i="31" s="1"/>
  <c r="F97" i="33"/>
  <c r="F65" i="31" s="1"/>
  <c r="G65" i="31" s="1"/>
  <c r="F11" i="23"/>
  <c r="F13" i="6" s="1"/>
  <c r="C11" i="23"/>
  <c r="H13" i="6"/>
  <c r="F163" i="23"/>
  <c r="I159" i="23"/>
  <c r="F155" i="23"/>
  <c r="F112" i="23"/>
  <c r="F110" i="23"/>
  <c r="D76" i="32"/>
  <c r="F27" i="23"/>
  <c r="J46" i="32"/>
  <c r="J47" i="32"/>
  <c r="J48" i="32"/>
  <c r="J49" i="32"/>
  <c r="J50" i="32"/>
  <c r="J51" i="32"/>
  <c r="J52" i="32"/>
  <c r="J53" i="32"/>
  <c r="J54" i="32"/>
  <c r="J55" i="32"/>
  <c r="J56" i="32"/>
  <c r="J45" i="32"/>
  <c r="J44" i="32"/>
  <c r="K30" i="32"/>
  <c r="K35" i="32"/>
  <c r="K36" i="32"/>
  <c r="K38" i="32"/>
  <c r="K39" i="32"/>
  <c r="K37" i="32"/>
  <c r="K33" i="32"/>
  <c r="K32" i="32"/>
  <c r="K29" i="32"/>
  <c r="K28" i="32"/>
  <c r="K21" i="32"/>
  <c r="K22" i="32"/>
  <c r="K23" i="32"/>
  <c r="K24" i="32"/>
  <c r="K25" i="32"/>
  <c r="K26" i="32"/>
  <c r="K27" i="32"/>
  <c r="K17" i="32"/>
  <c r="K18" i="32"/>
  <c r="K19" i="32"/>
  <c r="J31" i="32"/>
  <c r="J30" i="32"/>
  <c r="J21" i="32"/>
  <c r="J22" i="32"/>
  <c r="J23" i="32"/>
  <c r="J24" i="32"/>
  <c r="J25" i="32"/>
  <c r="J26" i="32"/>
  <c r="J27" i="32"/>
  <c r="J38" i="32"/>
  <c r="J39" i="32"/>
  <c r="J37" i="32"/>
  <c r="J33" i="32"/>
  <c r="J32" i="32"/>
  <c r="J29" i="32"/>
  <c r="J28" i="32"/>
  <c r="J19" i="32"/>
  <c r="G27" i="32"/>
  <c r="G30" i="32"/>
  <c r="G31" i="32"/>
  <c r="I39" i="32"/>
  <c r="H39" i="32"/>
  <c r="I38" i="32"/>
  <c r="H38" i="32"/>
  <c r="I37" i="32"/>
  <c r="H37" i="32"/>
  <c r="H11" i="32"/>
  <c r="H10" i="32"/>
  <c r="B179" i="32"/>
  <c r="B180" i="32"/>
  <c r="B181" i="32"/>
  <c r="B182" i="32"/>
  <c r="B183" i="32"/>
  <c r="B184" i="32"/>
  <c r="B185" i="32"/>
  <c r="B186" i="32"/>
  <c r="B187" i="32"/>
  <c r="B178" i="32"/>
  <c r="G167" i="32"/>
  <c r="H167" i="32" s="1"/>
  <c r="J167" i="32" s="1"/>
  <c r="C165" i="32"/>
  <c r="B166" i="32"/>
  <c r="B165" i="32"/>
  <c r="F109" i="32"/>
  <c r="F108" i="32"/>
  <c r="F115" i="32"/>
  <c r="F128" i="23"/>
  <c r="F130" i="6" s="1"/>
  <c r="F113" i="6"/>
  <c r="E111" i="23"/>
  <c r="H113" i="6"/>
  <c r="C111" i="23"/>
  <c r="F113" i="23"/>
  <c r="F18" i="23"/>
  <c r="F17" i="23"/>
  <c r="F126" i="23"/>
  <c r="F128" i="6" s="1"/>
  <c r="F127" i="23"/>
  <c r="F129" i="6" s="1"/>
  <c r="E126" i="23"/>
  <c r="E127" i="23"/>
  <c r="E128" i="23"/>
  <c r="C126" i="23"/>
  <c r="C127" i="23"/>
  <c r="C128" i="23"/>
  <c r="H130" i="6"/>
  <c r="H129" i="6"/>
  <c r="H128" i="6"/>
  <c r="F150" i="6"/>
  <c r="E148" i="23"/>
  <c r="C148" i="23"/>
  <c r="F148" i="6"/>
  <c r="H148" i="6"/>
  <c r="E146" i="23"/>
  <c r="F137" i="23"/>
  <c r="E131" i="23"/>
  <c r="F125" i="23"/>
  <c r="F114" i="23"/>
  <c r="G192" i="32"/>
  <c r="G174" i="32"/>
  <c r="G170" i="32"/>
  <c r="G160" i="32"/>
  <c r="H160" i="32" s="1"/>
  <c r="J160" i="32" s="1"/>
  <c r="G152" i="32"/>
  <c r="G148" i="32"/>
  <c r="G133" i="32"/>
  <c r="G144" i="32"/>
  <c r="F108" i="23"/>
  <c r="E218" i="32"/>
  <c r="F218" i="32" s="1"/>
  <c r="H218" i="32" s="1"/>
  <c r="I218" i="32" s="1"/>
  <c r="I164" i="32"/>
  <c r="G164" i="32"/>
  <c r="H164" i="32" s="1"/>
  <c r="G156" i="32"/>
  <c r="G111" i="32"/>
  <c r="H104" i="32"/>
  <c r="H100" i="32"/>
  <c r="G98" i="32"/>
  <c r="G95" i="32"/>
  <c r="H103" i="32"/>
  <c r="F103" i="32"/>
  <c r="A3" i="23"/>
  <c r="F65" i="6"/>
  <c r="C63" i="23"/>
  <c r="H65" i="6"/>
  <c r="F61" i="6"/>
  <c r="F62" i="6"/>
  <c r="C59" i="23"/>
  <c r="E59" i="23"/>
  <c r="C60" i="23"/>
  <c r="E60" i="23"/>
  <c r="H62" i="6"/>
  <c r="H61" i="6"/>
  <c r="F53" i="6"/>
  <c r="E51" i="23"/>
  <c r="C51" i="23"/>
  <c r="H53" i="6"/>
  <c r="C46" i="23"/>
  <c r="H48" i="6"/>
  <c r="F48" i="6"/>
  <c r="E46" i="23"/>
  <c r="C150" i="6"/>
  <c r="G91" i="31"/>
  <c r="G90" i="31"/>
  <c r="C89" i="31"/>
  <c r="F67" i="33"/>
  <c r="F89" i="31" s="1"/>
  <c r="G89" i="31" s="1"/>
  <c r="G127" i="31"/>
  <c r="G126" i="31"/>
  <c r="G120" i="31"/>
  <c r="G119" i="31"/>
  <c r="G113" i="31"/>
  <c r="G112" i="31"/>
  <c r="G105" i="31"/>
  <c r="G106" i="31"/>
  <c r="C186" i="6"/>
  <c r="C184" i="23" s="1"/>
  <c r="C185" i="6"/>
  <c r="C183" i="23" s="1"/>
  <c r="C184" i="6"/>
  <c r="C182" i="23" s="1"/>
  <c r="C183" i="6"/>
  <c r="C181" i="23" s="1"/>
  <c r="C125" i="31"/>
  <c r="C118" i="31"/>
  <c r="C111" i="31"/>
  <c r="C104" i="31"/>
  <c r="F91" i="33"/>
  <c r="F125" i="31" s="1"/>
  <c r="G125" i="31" s="1"/>
  <c r="F85" i="33"/>
  <c r="F118" i="31" s="1"/>
  <c r="G118" i="31" s="1"/>
  <c r="F79" i="33"/>
  <c r="F111" i="31" s="1"/>
  <c r="G111" i="31" s="1"/>
  <c r="F73" i="33"/>
  <c r="F104" i="31" s="1"/>
  <c r="G104" i="31" s="1"/>
  <c r="F184" i="6"/>
  <c r="F185" i="6"/>
  <c r="F186" i="6"/>
  <c r="F183" i="6"/>
  <c r="F179" i="6"/>
  <c r="C177" i="23"/>
  <c r="H179" i="6"/>
  <c r="F177" i="6"/>
  <c r="C175" i="23"/>
  <c r="H177" i="6"/>
  <c r="F82" i="6"/>
  <c r="E80" i="23"/>
  <c r="C80" i="23"/>
  <c r="H82" i="6"/>
  <c r="F68" i="6"/>
  <c r="F69" i="6"/>
  <c r="F70" i="6"/>
  <c r="F71" i="6"/>
  <c r="F72" i="6"/>
  <c r="F73" i="6"/>
  <c r="F74" i="6"/>
  <c r="F75" i="6"/>
  <c r="F76" i="6"/>
  <c r="F77" i="6"/>
  <c r="F78" i="6"/>
  <c r="F80" i="6"/>
  <c r="F67" i="6"/>
  <c r="E78" i="23"/>
  <c r="E79" i="23"/>
  <c r="C78" i="23"/>
  <c r="C79" i="23"/>
  <c r="C67" i="23"/>
  <c r="C68" i="23"/>
  <c r="C69" i="23"/>
  <c r="C70" i="23"/>
  <c r="C71" i="23"/>
  <c r="C72" i="23"/>
  <c r="C74" i="23"/>
  <c r="C73" i="23"/>
  <c r="E67" i="23"/>
  <c r="E68" i="23"/>
  <c r="E69" i="23"/>
  <c r="E70" i="23"/>
  <c r="E71" i="23"/>
  <c r="E72" i="23"/>
  <c r="E74" i="23"/>
  <c r="E73" i="23"/>
  <c r="C131" i="23"/>
  <c r="H133" i="6"/>
  <c r="F133" i="6"/>
  <c r="F123" i="6"/>
  <c r="C121" i="23"/>
  <c r="E121" i="23"/>
  <c r="H123" i="6"/>
  <c r="G53" i="31" l="1"/>
  <c r="G102" i="6" s="1"/>
  <c r="H102" i="6" s="1"/>
  <c r="I102" i="6" s="1"/>
  <c r="G41" i="31"/>
  <c r="G99" i="6" s="1"/>
  <c r="H99" i="6" s="1"/>
  <c r="I99" i="6" s="1"/>
  <c r="H101" i="6"/>
  <c r="I101" i="6" s="1"/>
  <c r="G98" i="6"/>
  <c r="H98" i="6" s="1"/>
  <c r="I98" i="6" s="1"/>
  <c r="I196" i="6"/>
  <c r="I193" i="6"/>
  <c r="I191" i="6"/>
  <c r="I203" i="6"/>
  <c r="I195" i="6"/>
  <c r="I189" i="6"/>
  <c r="I199" i="6"/>
  <c r="I89" i="6"/>
  <c r="I79" i="6"/>
  <c r="I13" i="6"/>
  <c r="G27" i="31"/>
  <c r="G97" i="6" s="1"/>
  <c r="H97" i="6" s="1"/>
  <c r="I97" i="6" s="1"/>
  <c r="G63" i="31"/>
  <c r="I113" i="6"/>
  <c r="I130" i="6"/>
  <c r="J164" i="32"/>
  <c r="G165" i="32"/>
  <c r="H165" i="32" s="1"/>
  <c r="J165" i="32" s="1"/>
  <c r="I129" i="6"/>
  <c r="I128" i="6"/>
  <c r="I65" i="6"/>
  <c r="I148" i="6"/>
  <c r="I62" i="6"/>
  <c r="I53" i="6"/>
  <c r="I61" i="6"/>
  <c r="I48" i="6"/>
  <c r="I177" i="6"/>
  <c r="G86" i="31"/>
  <c r="G123" i="31"/>
  <c r="G186" i="6" s="1"/>
  <c r="H186" i="6" s="1"/>
  <c r="I186" i="6" s="1"/>
  <c r="G116" i="31"/>
  <c r="G185" i="6" s="1"/>
  <c r="H185" i="6" s="1"/>
  <c r="I185" i="6" s="1"/>
  <c r="G109" i="31"/>
  <c r="G184" i="6" s="1"/>
  <c r="H184" i="6" s="1"/>
  <c r="I184" i="6" s="1"/>
  <c r="G102" i="31"/>
  <c r="G183" i="6" s="1"/>
  <c r="H183" i="6" s="1"/>
  <c r="I183" i="6" s="1"/>
  <c r="I179" i="6"/>
  <c r="I82" i="6"/>
  <c r="I133" i="6"/>
  <c r="I123" i="6"/>
  <c r="E204" i="23"/>
  <c r="C206" i="6"/>
  <c r="C204" i="23" s="1"/>
  <c r="C133" i="31"/>
  <c r="F25" i="33"/>
  <c r="F133" i="31" s="1"/>
  <c r="G133" i="31" s="1"/>
  <c r="G134" i="31"/>
  <c r="G135" i="31"/>
  <c r="G136" i="31"/>
  <c r="G132" i="31"/>
  <c r="E138" i="31"/>
  <c r="G138" i="31" s="1"/>
  <c r="E137" i="31"/>
  <c r="G137" i="31" s="1"/>
  <c r="G138" i="6" l="1"/>
  <c r="H138" i="6" s="1"/>
  <c r="I138" i="6" s="1"/>
  <c r="G150" i="6"/>
  <c r="H150" i="6" s="1"/>
  <c r="I150" i="6" s="1"/>
  <c r="G130" i="31"/>
  <c r="G206" i="6" l="1"/>
  <c r="H206" i="6" s="1"/>
  <c r="F206" i="6"/>
  <c r="C188" i="23"/>
  <c r="C190" i="23"/>
  <c r="C192" i="23"/>
  <c r="C195" i="23"/>
  <c r="C196" i="23"/>
  <c r="C198" i="23"/>
  <c r="C199" i="23"/>
  <c r="C200" i="23"/>
  <c r="C166" i="23"/>
  <c r="C167" i="23"/>
  <c r="C168" i="23"/>
  <c r="C169" i="23"/>
  <c r="C170" i="23"/>
  <c r="C171" i="23"/>
  <c r="C172" i="23"/>
  <c r="C173" i="23"/>
  <c r="C174" i="23"/>
  <c r="C176" i="23"/>
  <c r="C178" i="23"/>
  <c r="C179" i="23"/>
  <c r="C180" i="23"/>
  <c r="I206" i="6" l="1"/>
  <c r="E223" i="32"/>
  <c r="F223" i="32" s="1"/>
  <c r="I223" i="32" s="1"/>
  <c r="F139" i="6"/>
  <c r="E137" i="23"/>
  <c r="C137" i="23"/>
  <c r="H139" i="6"/>
  <c r="F131" i="23"/>
  <c r="F135" i="6"/>
  <c r="C133" i="23"/>
  <c r="E133" i="23"/>
  <c r="E217" i="32"/>
  <c r="E221" i="32"/>
  <c r="F221" i="32" s="1"/>
  <c r="E224" i="32"/>
  <c r="F224" i="32" s="1"/>
  <c r="I224" i="32" s="1"/>
  <c r="E222" i="32"/>
  <c r="F222" i="32" s="1"/>
  <c r="G220" i="32"/>
  <c r="I220" i="32" s="1"/>
  <c r="G212" i="32"/>
  <c r="I212" i="32" s="1"/>
  <c r="G213" i="32"/>
  <c r="I213" i="32" s="1"/>
  <c r="G214" i="32"/>
  <c r="I214" i="32" s="1"/>
  <c r="G215" i="32"/>
  <c r="I215" i="32" s="1"/>
  <c r="G216" i="32"/>
  <c r="I216" i="32" s="1"/>
  <c r="G219" i="32"/>
  <c r="I219" i="32" s="1"/>
  <c r="G211" i="32"/>
  <c r="I211" i="32" s="1"/>
  <c r="F34" i="6"/>
  <c r="C30" i="23"/>
  <c r="C31" i="23"/>
  <c r="C32" i="23"/>
  <c r="H34" i="6"/>
  <c r="F117" i="23"/>
  <c r="F119" i="6" s="1"/>
  <c r="E117" i="23"/>
  <c r="C117" i="23"/>
  <c r="H119" i="6"/>
  <c r="F116" i="23"/>
  <c r="F118" i="6" s="1"/>
  <c r="E116" i="23"/>
  <c r="C116" i="23"/>
  <c r="H118" i="6"/>
  <c r="H112" i="32"/>
  <c r="H107" i="32"/>
  <c r="H106" i="32"/>
  <c r="H97" i="32"/>
  <c r="H94" i="32"/>
  <c r="H93" i="32"/>
  <c r="H92" i="32"/>
  <c r="H85" i="32"/>
  <c r="H84" i="32"/>
  <c r="G87" i="32"/>
  <c r="G86" i="32"/>
  <c r="H174" i="32"/>
  <c r="J174" i="32" s="1"/>
  <c r="C84" i="32"/>
  <c r="F84" i="32" s="1"/>
  <c r="F19" i="6"/>
  <c r="E17" i="23"/>
  <c r="C17" i="23"/>
  <c r="H19" i="6"/>
  <c r="K71" i="32"/>
  <c r="J71" i="32"/>
  <c r="I71" i="32"/>
  <c r="H71" i="32"/>
  <c r="K70" i="32"/>
  <c r="J70" i="32"/>
  <c r="I70" i="32"/>
  <c r="H70" i="32"/>
  <c r="H69" i="32"/>
  <c r="J67" i="32"/>
  <c r="H68" i="32"/>
  <c r="H67" i="32"/>
  <c r="J16" i="32"/>
  <c r="K45" i="32"/>
  <c r="K57" i="32"/>
  <c r="J57" i="32"/>
  <c r="I57" i="32"/>
  <c r="H57" i="32"/>
  <c r="K56" i="32"/>
  <c r="I56" i="32"/>
  <c r="H56" i="32"/>
  <c r="K52" i="32"/>
  <c r="I52" i="32"/>
  <c r="H52" i="32"/>
  <c r="K16" i="32"/>
  <c r="K20" i="32"/>
  <c r="K31" i="32"/>
  <c r="K34" i="32"/>
  <c r="I17" i="32"/>
  <c r="I18" i="32"/>
  <c r="I19" i="32"/>
  <c r="I20" i="32"/>
  <c r="I21" i="32"/>
  <c r="I22" i="32"/>
  <c r="I23" i="32"/>
  <c r="I24" i="32"/>
  <c r="I25" i="32"/>
  <c r="I26" i="32"/>
  <c r="I27" i="32"/>
  <c r="I28" i="32"/>
  <c r="I29" i="32"/>
  <c r="I30" i="32"/>
  <c r="I31" i="32"/>
  <c r="I32" i="32"/>
  <c r="I33" i="32"/>
  <c r="I34" i="32"/>
  <c r="I35" i="32"/>
  <c r="I36" i="32"/>
  <c r="I16" i="32"/>
  <c r="G36" i="32"/>
  <c r="G26" i="32"/>
  <c r="G20" i="32"/>
  <c r="G21" i="32"/>
  <c r="G22" i="32"/>
  <c r="G23" i="32"/>
  <c r="F35" i="32"/>
  <c r="G35" i="32"/>
  <c r="H35" i="32"/>
  <c r="J35" i="32"/>
  <c r="F30" i="32"/>
  <c r="F27" i="32"/>
  <c r="H27" i="32"/>
  <c r="F20" i="32"/>
  <c r="F21" i="32"/>
  <c r="F22" i="32"/>
  <c r="F23" i="32"/>
  <c r="F24" i="32"/>
  <c r="F25" i="32"/>
  <c r="F26" i="32"/>
  <c r="F31" i="32"/>
  <c r="F34" i="32"/>
  <c r="F36" i="32"/>
  <c r="J11" i="32"/>
  <c r="F11" i="32"/>
  <c r="F10" i="32"/>
  <c r="C23" i="31"/>
  <c r="C96" i="6" s="1"/>
  <c r="C95" i="6"/>
  <c r="C94" i="6"/>
  <c r="D17" i="31"/>
  <c r="C17" i="31"/>
  <c r="D11" i="31"/>
  <c r="C11" i="31"/>
  <c r="F19" i="33"/>
  <c r="F23" i="31" s="1"/>
  <c r="F13" i="33"/>
  <c r="F17" i="31" s="1"/>
  <c r="G17" i="31" s="1"/>
  <c r="G18" i="31"/>
  <c r="G12" i="31"/>
  <c r="B37" i="8"/>
  <c r="B35" i="8"/>
  <c r="B11" i="8"/>
  <c r="F190" i="6"/>
  <c r="F192" i="6"/>
  <c r="F194" i="6"/>
  <c r="F197" i="6"/>
  <c r="F198" i="6"/>
  <c r="F200" i="6"/>
  <c r="F201" i="6"/>
  <c r="F202" i="6"/>
  <c r="F188" i="6"/>
  <c r="G188" i="23"/>
  <c r="G190" i="23" s="1"/>
  <c r="G192" i="23" s="1"/>
  <c r="C186" i="23"/>
  <c r="C185" i="23"/>
  <c r="H202" i="6"/>
  <c r="H201" i="6"/>
  <c r="H200" i="6"/>
  <c r="H198" i="6"/>
  <c r="H197" i="6"/>
  <c r="H194" i="6"/>
  <c r="H192" i="6"/>
  <c r="H190" i="6"/>
  <c r="H188" i="6"/>
  <c r="I40" i="32" l="1"/>
  <c r="K40" i="32"/>
  <c r="I192" i="6"/>
  <c r="G195" i="23"/>
  <c r="G196" i="23" s="1"/>
  <c r="G197" i="23" s="1"/>
  <c r="G193" i="23"/>
  <c r="G194" i="23" s="1"/>
  <c r="F40" i="32"/>
  <c r="F217" i="32"/>
  <c r="E225" i="32"/>
  <c r="G225" i="32"/>
  <c r="F153" i="23" s="1"/>
  <c r="I139" i="6"/>
  <c r="I118" i="6"/>
  <c r="I34" i="6"/>
  <c r="I222" i="32"/>
  <c r="I221" i="32"/>
  <c r="H129" i="32"/>
  <c r="F31" i="23" s="1"/>
  <c r="I119" i="6"/>
  <c r="I19" i="6"/>
  <c r="G129" i="32"/>
  <c r="F30" i="23" s="1"/>
  <c r="C100" i="32"/>
  <c r="F100" i="32" s="1"/>
  <c r="C92" i="32"/>
  <c r="C111" i="32"/>
  <c r="C106" i="32"/>
  <c r="F106" i="32" s="1"/>
  <c r="C94" i="32"/>
  <c r="F94" i="32" s="1"/>
  <c r="C97" i="32"/>
  <c r="F97" i="32" s="1"/>
  <c r="H12" i="32"/>
  <c r="G15" i="31"/>
  <c r="G95" i="6" s="1"/>
  <c r="I202" i="6"/>
  <c r="I200" i="6"/>
  <c r="I201" i="6"/>
  <c r="I194" i="6"/>
  <c r="I190" i="6"/>
  <c r="I188" i="6"/>
  <c r="I198" i="6"/>
  <c r="I197" i="6"/>
  <c r="F168" i="6"/>
  <c r="F169" i="6"/>
  <c r="F170" i="6"/>
  <c r="F171" i="6"/>
  <c r="F172" i="6"/>
  <c r="F173" i="6"/>
  <c r="F174" i="6"/>
  <c r="F175" i="6"/>
  <c r="F176" i="6"/>
  <c r="F178" i="6"/>
  <c r="F180" i="6"/>
  <c r="F181" i="6"/>
  <c r="F182" i="6"/>
  <c r="F167" i="6"/>
  <c r="G166" i="23"/>
  <c r="G167" i="23" s="1"/>
  <c r="G168" i="23" s="1"/>
  <c r="G169" i="23" s="1"/>
  <c r="G170" i="23" s="1"/>
  <c r="G171" i="23" s="1"/>
  <c r="G172" i="23" s="1"/>
  <c r="G173" i="23" s="1"/>
  <c r="G174" i="23" s="1"/>
  <c r="C165" i="23"/>
  <c r="C164" i="23"/>
  <c r="H182" i="6"/>
  <c r="H181" i="6"/>
  <c r="H180" i="6"/>
  <c r="H178" i="6"/>
  <c r="H176" i="6"/>
  <c r="H175" i="6"/>
  <c r="H174" i="6"/>
  <c r="H173" i="6"/>
  <c r="H172" i="6"/>
  <c r="H171" i="6"/>
  <c r="H170" i="6"/>
  <c r="H169" i="6"/>
  <c r="H168" i="6"/>
  <c r="H167" i="6"/>
  <c r="I187" i="6" l="1"/>
  <c r="D38" i="8" s="1"/>
  <c r="I38" i="8" s="1"/>
  <c r="G198" i="23"/>
  <c r="G199" i="23" s="1"/>
  <c r="G200" i="23" s="1"/>
  <c r="G201" i="23" s="1"/>
  <c r="H217" i="32"/>
  <c r="F225" i="32"/>
  <c r="F152" i="23" s="1"/>
  <c r="G176" i="23"/>
  <c r="G178" i="23" s="1"/>
  <c r="G179" i="23" s="1"/>
  <c r="G180" i="23" s="1"/>
  <c r="G181" i="23" s="1"/>
  <c r="G182" i="23" s="1"/>
  <c r="G183" i="23" s="1"/>
  <c r="G184" i="23" s="1"/>
  <c r="G175" i="23"/>
  <c r="G177" i="23" s="1"/>
  <c r="I170" i="6"/>
  <c r="I171" i="6"/>
  <c r="I172" i="6"/>
  <c r="I175" i="6"/>
  <c r="I176" i="6"/>
  <c r="I173" i="6"/>
  <c r="I174" i="6"/>
  <c r="I167" i="6"/>
  <c r="I181" i="6"/>
  <c r="I168" i="6"/>
  <c r="I182" i="6"/>
  <c r="I178" i="6"/>
  <c r="I180" i="6"/>
  <c r="I169" i="6"/>
  <c r="H95" i="6"/>
  <c r="F87" i="6"/>
  <c r="F88" i="6"/>
  <c r="F90" i="6"/>
  <c r="F91" i="6"/>
  <c r="F92" i="6"/>
  <c r="F93" i="6"/>
  <c r="F100" i="6"/>
  <c r="F94" i="6"/>
  <c r="F95" i="6"/>
  <c r="F96" i="6"/>
  <c r="F104" i="6"/>
  <c r="F84" i="23"/>
  <c r="F86" i="6" s="1"/>
  <c r="F85" i="6"/>
  <c r="F82" i="23"/>
  <c r="F84" i="6" s="1"/>
  <c r="F83" i="6"/>
  <c r="I166" i="6" l="1"/>
  <c r="D36" i="8" s="1"/>
  <c r="H225" i="32"/>
  <c r="I217" i="32"/>
  <c r="I225" i="32" s="1"/>
  <c r="F156" i="6" s="1"/>
  <c r="I95" i="6"/>
  <c r="E102" i="23"/>
  <c r="C102" i="23"/>
  <c r="E94" i="23"/>
  <c r="C94" i="23"/>
  <c r="E93" i="23"/>
  <c r="C93" i="23"/>
  <c r="E92" i="23"/>
  <c r="C92" i="23"/>
  <c r="E98" i="23"/>
  <c r="C98" i="23"/>
  <c r="E91" i="23"/>
  <c r="C91" i="23"/>
  <c r="E90" i="23"/>
  <c r="C90" i="23"/>
  <c r="E89" i="23"/>
  <c r="C89" i="23"/>
  <c r="E88" i="23"/>
  <c r="C88" i="23"/>
  <c r="E86" i="23"/>
  <c r="C86" i="23"/>
  <c r="E85" i="23"/>
  <c r="C85" i="23"/>
  <c r="E84" i="23"/>
  <c r="C84" i="23"/>
  <c r="E83" i="23"/>
  <c r="C83" i="23"/>
  <c r="E82" i="23"/>
  <c r="C82" i="23"/>
  <c r="E81" i="23"/>
  <c r="C81" i="23"/>
  <c r="H104" i="6"/>
  <c r="H81" i="6"/>
  <c r="H80" i="6"/>
  <c r="H100" i="6"/>
  <c r="H75" i="6"/>
  <c r="H76" i="6"/>
  <c r="H69" i="6"/>
  <c r="H70" i="6"/>
  <c r="H71" i="6"/>
  <c r="H72" i="6"/>
  <c r="H73" i="6"/>
  <c r="H74" i="6"/>
  <c r="H93" i="6"/>
  <c r="H92" i="6"/>
  <c r="H91" i="6"/>
  <c r="H90" i="6"/>
  <c r="H88" i="6"/>
  <c r="H87" i="6"/>
  <c r="H86" i="6"/>
  <c r="H85" i="6"/>
  <c r="H84" i="6"/>
  <c r="H83" i="6"/>
  <c r="H78" i="6"/>
  <c r="H77" i="6"/>
  <c r="H68" i="6"/>
  <c r="H67" i="6"/>
  <c r="F154" i="23" l="1"/>
  <c r="I36" i="8"/>
  <c r="F36" i="8"/>
  <c r="I85" i="6"/>
  <c r="I86" i="6"/>
  <c r="I100" i="6"/>
  <c r="I91" i="6"/>
  <c r="I80" i="6"/>
  <c r="I104" i="6"/>
  <c r="I75" i="6"/>
  <c r="I76" i="6"/>
  <c r="I69" i="6"/>
  <c r="I70" i="6"/>
  <c r="I72" i="6"/>
  <c r="I73" i="6"/>
  <c r="I74" i="6"/>
  <c r="I93" i="6"/>
  <c r="I90" i="6"/>
  <c r="I88" i="6"/>
  <c r="I87" i="6"/>
  <c r="I84" i="6"/>
  <c r="I83" i="6"/>
  <c r="I78" i="6"/>
  <c r="I77" i="6"/>
  <c r="I68" i="6"/>
  <c r="I67" i="6"/>
  <c r="I81" i="6"/>
  <c r="I92" i="6"/>
  <c r="I71" i="6"/>
  <c r="H162" i="6" l="1"/>
  <c r="H163" i="6"/>
  <c r="H155" i="6"/>
  <c r="F149" i="6"/>
  <c r="F147" i="6"/>
  <c r="E145" i="23"/>
  <c r="H147" i="6"/>
  <c r="H149" i="6"/>
  <c r="I149" i="6" l="1"/>
  <c r="I147" i="6"/>
  <c r="F33" i="6"/>
  <c r="F32" i="6"/>
  <c r="H33" i="6"/>
  <c r="H32" i="6"/>
  <c r="F14" i="23"/>
  <c r="F16" i="6" s="1"/>
  <c r="C13" i="23"/>
  <c r="H16" i="6"/>
  <c r="F10" i="23"/>
  <c r="F12" i="6" s="1"/>
  <c r="I32" i="6" l="1"/>
  <c r="I33" i="6"/>
  <c r="I16" i="6"/>
  <c r="F9" i="23"/>
  <c r="F11" i="6" s="1"/>
  <c r="H12" i="6"/>
  <c r="I12" i="6" s="1"/>
  <c r="H11" i="6"/>
  <c r="F159" i="6"/>
  <c r="E159" i="6"/>
  <c r="E157" i="23" s="1"/>
  <c r="C159" i="6"/>
  <c r="C157" i="23" s="1"/>
  <c r="E96" i="31"/>
  <c r="G96" i="31" s="1"/>
  <c r="G99" i="31"/>
  <c r="G98" i="31"/>
  <c r="G97" i="31"/>
  <c r="G94" i="31" l="1"/>
  <c r="G159" i="6" s="1"/>
  <c r="H159" i="6" s="1"/>
  <c r="I159" i="6" s="1"/>
  <c r="I11" i="6"/>
  <c r="A4" i="32" l="1"/>
  <c r="A3" i="32"/>
  <c r="A2" i="32"/>
  <c r="G178" i="32"/>
  <c r="F20" i="6"/>
  <c r="F17" i="6"/>
  <c r="E27" i="23"/>
  <c r="C27" i="23"/>
  <c r="H29" i="6"/>
  <c r="G26" i="23"/>
  <c r="G25" i="23"/>
  <c r="G24" i="23"/>
  <c r="G23" i="23"/>
  <c r="K62" i="32"/>
  <c r="K63" i="32" s="1"/>
  <c r="J62" i="32"/>
  <c r="J63" i="32" s="1"/>
  <c r="I62" i="32"/>
  <c r="I63" i="32" s="1"/>
  <c r="H62" i="32"/>
  <c r="H63" i="32" s="1"/>
  <c r="I44" i="32"/>
  <c r="H45" i="32"/>
  <c r="H36" i="32"/>
  <c r="H28" i="32"/>
  <c r="H29" i="32"/>
  <c r="H30" i="32"/>
  <c r="H31" i="32"/>
  <c r="H32" i="32"/>
  <c r="H33" i="32"/>
  <c r="H26" i="32"/>
  <c r="H17" i="32"/>
  <c r="H18" i="32"/>
  <c r="H19" i="32"/>
  <c r="H20" i="32"/>
  <c r="H21" i="32"/>
  <c r="H22" i="32"/>
  <c r="H23" i="32"/>
  <c r="H16" i="32"/>
  <c r="G24" i="32"/>
  <c r="J18" i="32"/>
  <c r="J17" i="32"/>
  <c r="J69" i="32"/>
  <c r="K69" i="32"/>
  <c r="K68" i="32"/>
  <c r="F29" i="6" l="1"/>
  <c r="I29" i="6" s="1"/>
  <c r="J68" i="32"/>
  <c r="I69" i="32"/>
  <c r="I68" i="32"/>
  <c r="F59" i="6"/>
  <c r="F60" i="6"/>
  <c r="F63" i="6"/>
  <c r="F64" i="6"/>
  <c r="E62" i="23"/>
  <c r="C62" i="23"/>
  <c r="E61" i="23"/>
  <c r="C61" i="23"/>
  <c r="E58" i="23"/>
  <c r="C58" i="23"/>
  <c r="E57" i="23"/>
  <c r="C57" i="23"/>
  <c r="H64" i="6"/>
  <c r="H63" i="6"/>
  <c r="H60" i="6"/>
  <c r="H59" i="6"/>
  <c r="F52" i="6"/>
  <c r="F54" i="6"/>
  <c r="F55" i="6"/>
  <c r="F56" i="6"/>
  <c r="F57" i="6"/>
  <c r="E55" i="23"/>
  <c r="C55" i="23"/>
  <c r="E54" i="23"/>
  <c r="C54" i="23"/>
  <c r="E53" i="23"/>
  <c r="C53" i="23"/>
  <c r="E52" i="23"/>
  <c r="C52" i="23"/>
  <c r="E50" i="23"/>
  <c r="C50" i="23"/>
  <c r="H57" i="6"/>
  <c r="H56" i="6"/>
  <c r="H55" i="6"/>
  <c r="H54" i="6"/>
  <c r="H52" i="6"/>
  <c r="F46" i="6"/>
  <c r="F47" i="6"/>
  <c r="F49" i="6"/>
  <c r="F50" i="6"/>
  <c r="F51" i="6"/>
  <c r="E49" i="23"/>
  <c r="C49" i="23"/>
  <c r="E48" i="23"/>
  <c r="C48" i="23"/>
  <c r="E47" i="23"/>
  <c r="C47" i="23"/>
  <c r="E45" i="23"/>
  <c r="C45" i="23"/>
  <c r="E44" i="23"/>
  <c r="C44" i="23"/>
  <c r="H51" i="6"/>
  <c r="H50" i="6"/>
  <c r="H49" i="6"/>
  <c r="H47" i="6"/>
  <c r="H46" i="6"/>
  <c r="I59" i="6" l="1"/>
  <c r="I60" i="6"/>
  <c r="I54" i="6"/>
  <c r="I52" i="6"/>
  <c r="I46" i="6"/>
  <c r="I64" i="6"/>
  <c r="I63" i="6"/>
  <c r="I47" i="6"/>
  <c r="I50" i="6"/>
  <c r="I55" i="6"/>
  <c r="I56" i="6"/>
  <c r="I57" i="6"/>
  <c r="I51" i="6"/>
  <c r="I49" i="6"/>
  <c r="F42" i="6" l="1"/>
  <c r="F43" i="6"/>
  <c r="F44" i="6"/>
  <c r="F45" i="6"/>
  <c r="E43" i="23"/>
  <c r="C43" i="23"/>
  <c r="E42" i="23"/>
  <c r="C42" i="23"/>
  <c r="E41" i="23"/>
  <c r="C41" i="23"/>
  <c r="E40" i="23"/>
  <c r="C40" i="23"/>
  <c r="H45" i="6"/>
  <c r="H44" i="6"/>
  <c r="H43" i="6"/>
  <c r="H42" i="6"/>
  <c r="F37" i="6"/>
  <c r="F38" i="6"/>
  <c r="F39" i="6"/>
  <c r="F40" i="6"/>
  <c r="F41" i="6"/>
  <c r="F36" i="6"/>
  <c r="G35" i="23"/>
  <c r="G36" i="23" s="1"/>
  <c r="G37" i="23" s="1"/>
  <c r="G38" i="23" s="1"/>
  <c r="G39" i="23" s="1"/>
  <c r="G40" i="23" s="1"/>
  <c r="G41" i="23" s="1"/>
  <c r="G42" i="23" s="1"/>
  <c r="G43" i="23" s="1"/>
  <c r="G44" i="23" s="1"/>
  <c r="G45" i="23" s="1"/>
  <c r="E39" i="23"/>
  <c r="C39" i="23"/>
  <c r="E38" i="23"/>
  <c r="C38" i="23"/>
  <c r="E37" i="23"/>
  <c r="C37" i="23"/>
  <c r="E36" i="23"/>
  <c r="C36" i="23"/>
  <c r="E35" i="23"/>
  <c r="C35" i="23"/>
  <c r="H41" i="6"/>
  <c r="H40" i="6"/>
  <c r="H39" i="6"/>
  <c r="H38" i="6"/>
  <c r="G47" i="23" l="1"/>
  <c r="G48" i="23" s="1"/>
  <c r="G49" i="23" s="1"/>
  <c r="G50" i="23" s="1"/>
  <c r="G46" i="23"/>
  <c r="I40" i="6"/>
  <c r="I39" i="6"/>
  <c r="I38" i="6"/>
  <c r="I41" i="6"/>
  <c r="I44" i="6"/>
  <c r="I43" i="6"/>
  <c r="I45" i="6"/>
  <c r="I42" i="6"/>
  <c r="G52" i="23" l="1"/>
  <c r="G53" i="23" s="1"/>
  <c r="G54" i="23" s="1"/>
  <c r="G55" i="23" s="1"/>
  <c r="G57" i="23" s="1"/>
  <c r="G58" i="23" s="1"/>
  <c r="G51" i="23"/>
  <c r="F165" i="6"/>
  <c r="E163" i="23"/>
  <c r="C163" i="23"/>
  <c r="H165" i="6"/>
  <c r="G61" i="23" l="1"/>
  <c r="G62" i="23" s="1"/>
  <c r="G63" i="23" s="1"/>
  <c r="G59" i="23"/>
  <c r="G60" i="23" s="1"/>
  <c r="I165" i="6"/>
  <c r="A6" i="32"/>
  <c r="B39" i="8" l="1"/>
  <c r="B33" i="8"/>
  <c r="B31" i="8"/>
  <c r="B29" i="8"/>
  <c r="B27" i="8"/>
  <c r="B25" i="8"/>
  <c r="B23" i="8"/>
  <c r="B21" i="8"/>
  <c r="B19" i="8"/>
  <c r="B17" i="8"/>
  <c r="B15" i="8"/>
  <c r="B13" i="8"/>
  <c r="A5" i="31"/>
  <c r="A4" i="31"/>
  <c r="A3" i="31"/>
  <c r="A2" i="31"/>
  <c r="A1" i="31"/>
  <c r="D23" i="31"/>
  <c r="G24" i="31"/>
  <c r="A4" i="33"/>
  <c r="A3" i="33"/>
  <c r="A2" i="33"/>
  <c r="F7" i="33"/>
  <c r="E65" i="23"/>
  <c r="C65" i="23"/>
  <c r="G23" i="31" l="1"/>
  <c r="G21" i="31" s="1"/>
  <c r="G96" i="6" s="1"/>
  <c r="H96" i="6" s="1"/>
  <c r="I96" i="6" s="1"/>
  <c r="F11" i="31"/>
  <c r="G11" i="31" s="1"/>
  <c r="G9" i="31" s="1"/>
  <c r="G94" i="6" s="1"/>
  <c r="H94" i="6" s="1"/>
  <c r="I94" i="6" s="1"/>
  <c r="F114" i="6"/>
  <c r="F117" i="6"/>
  <c r="F120" i="6"/>
  <c r="F116" i="6"/>
  <c r="E118" i="23"/>
  <c r="C118" i="23"/>
  <c r="E115" i="23"/>
  <c r="C115" i="23"/>
  <c r="F122" i="6"/>
  <c r="F127" i="6"/>
  <c r="F124" i="23"/>
  <c r="F126" i="6" s="1"/>
  <c r="F110" i="6"/>
  <c r="F123" i="23"/>
  <c r="F125" i="6" s="1"/>
  <c r="F122" i="23"/>
  <c r="F124" i="6" s="1"/>
  <c r="E122" i="23"/>
  <c r="E123" i="23"/>
  <c r="E124" i="23"/>
  <c r="E125" i="23"/>
  <c r="C122" i="23"/>
  <c r="C123" i="23"/>
  <c r="C124" i="23"/>
  <c r="C125" i="23"/>
  <c r="F163" i="6"/>
  <c r="I163" i="6" s="1"/>
  <c r="F156" i="23"/>
  <c r="F158" i="6" s="1"/>
  <c r="F157" i="6"/>
  <c r="E156" i="23"/>
  <c r="C156" i="23"/>
  <c r="H158" i="6"/>
  <c r="G202" i="32"/>
  <c r="H202" i="32" s="1"/>
  <c r="I202" i="32" s="1"/>
  <c r="G188" i="32"/>
  <c r="H144" i="32"/>
  <c r="I144" i="32" s="1"/>
  <c r="G140" i="32"/>
  <c r="H140" i="32" s="1"/>
  <c r="J140" i="32" s="1"/>
  <c r="H152" i="32"/>
  <c r="I152" i="32" s="1"/>
  <c r="F92" i="32"/>
  <c r="F111" i="32"/>
  <c r="E75" i="31"/>
  <c r="E73" i="31"/>
  <c r="F146" i="6"/>
  <c r="E146" i="6"/>
  <c r="E144" i="23" s="1"/>
  <c r="B144" i="23"/>
  <c r="C146" i="6"/>
  <c r="C144" i="23" s="1"/>
  <c r="E74" i="31"/>
  <c r="G78" i="31"/>
  <c r="G79" i="31"/>
  <c r="G80" i="31"/>
  <c r="G81" i="31"/>
  <c r="F134" i="6"/>
  <c r="F136" i="6"/>
  <c r="F137" i="6"/>
  <c r="F140" i="6"/>
  <c r="F141" i="6"/>
  <c r="F142" i="6"/>
  <c r="F143" i="6"/>
  <c r="F144" i="6"/>
  <c r="F145" i="6"/>
  <c r="F132" i="6"/>
  <c r="I66" i="6" l="1"/>
  <c r="H133" i="32"/>
  <c r="G206" i="32"/>
  <c r="F104" i="23" s="1"/>
  <c r="F112" i="6"/>
  <c r="F115" i="6"/>
  <c r="I158" i="6"/>
  <c r="H120" i="6"/>
  <c r="I120" i="6" s="1"/>
  <c r="H117" i="6"/>
  <c r="I117" i="6" s="1"/>
  <c r="F106" i="6" l="1"/>
  <c r="I133" i="32"/>
  <c r="E20" i="23"/>
  <c r="C20" i="23"/>
  <c r="E19" i="23"/>
  <c r="C19" i="23"/>
  <c r="H22" i="6"/>
  <c r="H21" i="6"/>
  <c r="K44" i="32"/>
  <c r="H44" i="32"/>
  <c r="K55" i="32"/>
  <c r="I55" i="32"/>
  <c r="H55" i="32"/>
  <c r="K54" i="32"/>
  <c r="I54" i="32"/>
  <c r="H54" i="32"/>
  <c r="K53" i="32"/>
  <c r="I53" i="32"/>
  <c r="H53" i="32"/>
  <c r="K51" i="32"/>
  <c r="I51" i="32"/>
  <c r="H51" i="32"/>
  <c r="K50" i="32"/>
  <c r="I50" i="32"/>
  <c r="H50" i="32"/>
  <c r="K49" i="32"/>
  <c r="I49" i="32"/>
  <c r="H49" i="32"/>
  <c r="K48" i="32"/>
  <c r="I48" i="32"/>
  <c r="H48" i="32"/>
  <c r="K47" i="32"/>
  <c r="I47" i="32"/>
  <c r="H47" i="32"/>
  <c r="K46" i="32"/>
  <c r="I46" i="32"/>
  <c r="H46" i="32"/>
  <c r="J20" i="32"/>
  <c r="J34" i="32"/>
  <c r="J36" i="32"/>
  <c r="H34" i="32"/>
  <c r="G34" i="32"/>
  <c r="H25" i="32"/>
  <c r="G25" i="32"/>
  <c r="H24" i="32"/>
  <c r="J10" i="32"/>
  <c r="G10" i="32"/>
  <c r="J40" i="32" l="1"/>
  <c r="H40" i="32"/>
  <c r="G40" i="32"/>
  <c r="J72" i="32"/>
  <c r="J58" i="32"/>
  <c r="E154" i="23"/>
  <c r="C154" i="23"/>
  <c r="E152" i="23"/>
  <c r="C152" i="23"/>
  <c r="E151" i="23"/>
  <c r="C151" i="23"/>
  <c r="E150" i="23"/>
  <c r="C150" i="23"/>
  <c r="H153" i="6"/>
  <c r="E106" i="23"/>
  <c r="C106" i="23"/>
  <c r="H188" i="32" l="1"/>
  <c r="I188" i="32" s="1"/>
  <c r="H178" i="32"/>
  <c r="I178" i="32" s="1"/>
  <c r="H192" i="32"/>
  <c r="I192" i="32" s="1"/>
  <c r="H148" i="32"/>
  <c r="H156" i="32"/>
  <c r="J170" i="32"/>
  <c r="I148" i="32" l="1"/>
  <c r="I206" i="32" s="1"/>
  <c r="F106" i="23" s="1"/>
  <c r="H170" i="32"/>
  <c r="H206" i="32" s="1"/>
  <c r="F105" i="23" s="1"/>
  <c r="F125" i="32"/>
  <c r="F129" i="32" s="1"/>
  <c r="E75" i="23"/>
  <c r="E76" i="23"/>
  <c r="C75" i="23"/>
  <c r="C76" i="23"/>
  <c r="F107" i="6" l="1"/>
  <c r="F108" i="6"/>
  <c r="F150" i="23"/>
  <c r="F152" i="6" s="1"/>
  <c r="F29" i="23"/>
  <c r="F31" i="6" s="1"/>
  <c r="F154" i="6" l="1"/>
  <c r="F155" i="6"/>
  <c r="I155" i="6" s="1"/>
  <c r="J156" i="32"/>
  <c r="J206" i="32" l="1"/>
  <c r="F107" i="23" s="1"/>
  <c r="H108" i="6"/>
  <c r="E112" i="23"/>
  <c r="C112" i="23"/>
  <c r="H114" i="6"/>
  <c r="E120" i="23"/>
  <c r="C120" i="23"/>
  <c r="H122" i="6"/>
  <c r="E76" i="31"/>
  <c r="G76" i="31" s="1"/>
  <c r="G73" i="31"/>
  <c r="G74" i="31"/>
  <c r="G75" i="31"/>
  <c r="G83" i="31"/>
  <c r="G82" i="31"/>
  <c r="F109" i="6" l="1"/>
  <c r="E77" i="31"/>
  <c r="G77" i="31" s="1"/>
  <c r="F151" i="23"/>
  <c r="I108" i="6"/>
  <c r="I114" i="6"/>
  <c r="I122" i="6"/>
  <c r="F162" i="23"/>
  <c r="F164" i="6" s="1"/>
  <c r="E162" i="23"/>
  <c r="C162" i="23"/>
  <c r="E161" i="23"/>
  <c r="C161" i="23"/>
  <c r="E159" i="23"/>
  <c r="C159" i="23"/>
  <c r="C158" i="23"/>
  <c r="E155" i="23"/>
  <c r="C155" i="23"/>
  <c r="C149" i="23"/>
  <c r="E143" i="23"/>
  <c r="C143" i="23"/>
  <c r="E142" i="23"/>
  <c r="C142" i="23"/>
  <c r="E141" i="23"/>
  <c r="C141" i="23"/>
  <c r="E140" i="23"/>
  <c r="C140" i="23"/>
  <c r="E139" i="23"/>
  <c r="E138" i="23"/>
  <c r="C138" i="23"/>
  <c r="E135" i="23"/>
  <c r="C135" i="23"/>
  <c r="E134" i="23"/>
  <c r="C134" i="23"/>
  <c r="E132" i="23"/>
  <c r="C132" i="23"/>
  <c r="E130" i="23"/>
  <c r="C130" i="23"/>
  <c r="C129" i="23"/>
  <c r="C119" i="23"/>
  <c r="E114" i="23"/>
  <c r="C114" i="23"/>
  <c r="E113" i="23"/>
  <c r="C113" i="23"/>
  <c r="E110" i="23"/>
  <c r="C110" i="23"/>
  <c r="C109" i="23"/>
  <c r="E108" i="23"/>
  <c r="C108" i="23"/>
  <c r="E107" i="23"/>
  <c r="C107" i="23"/>
  <c r="E105" i="23"/>
  <c r="C105" i="23"/>
  <c r="E104" i="23"/>
  <c r="C104" i="23"/>
  <c r="C103" i="23"/>
  <c r="E66" i="23"/>
  <c r="C66" i="23"/>
  <c r="C64" i="23"/>
  <c r="E34" i="23"/>
  <c r="C34" i="23"/>
  <c r="C33" i="23"/>
  <c r="E29" i="23"/>
  <c r="C29" i="23"/>
  <c r="C28" i="23"/>
  <c r="E26" i="23"/>
  <c r="C26" i="23"/>
  <c r="E25" i="23"/>
  <c r="C25" i="23"/>
  <c r="E24" i="23"/>
  <c r="C24" i="23"/>
  <c r="E23" i="23"/>
  <c r="C23" i="23"/>
  <c r="E22" i="23"/>
  <c r="C22" i="23"/>
  <c r="C21" i="23"/>
  <c r="E18" i="23"/>
  <c r="C18" i="23"/>
  <c r="C16" i="23"/>
  <c r="C12" i="23"/>
  <c r="G71" i="31" l="1"/>
  <c r="F153" i="6"/>
  <c r="I153" i="6" s="1"/>
  <c r="G72" i="32"/>
  <c r="H72" i="32"/>
  <c r="K67" i="32"/>
  <c r="I67" i="32"/>
  <c r="G58" i="32"/>
  <c r="G63" i="32" s="1"/>
  <c r="F58" i="32"/>
  <c r="F63" i="32" s="1"/>
  <c r="I45" i="32"/>
  <c r="K12" i="32"/>
  <c r="I12" i="32"/>
  <c r="J12" i="32"/>
  <c r="E80" i="32" s="1"/>
  <c r="F24" i="23" s="1"/>
  <c r="F26" i="6" s="1"/>
  <c r="G11" i="32"/>
  <c r="G12" i="32" s="1"/>
  <c r="F12" i="32"/>
  <c r="G146" i="6" l="1"/>
  <c r="H146" i="6" s="1"/>
  <c r="I146" i="6" s="1"/>
  <c r="B80" i="32"/>
  <c r="K72" i="32"/>
  <c r="I72" i="32"/>
  <c r="A80" i="32"/>
  <c r="I58" i="32"/>
  <c r="H58" i="32"/>
  <c r="K58" i="32"/>
  <c r="D80" i="32" l="1"/>
  <c r="C80" i="32"/>
  <c r="F159" i="23"/>
  <c r="F19" i="23"/>
  <c r="F22" i="23"/>
  <c r="F24" i="6" s="1"/>
  <c r="F23" i="23"/>
  <c r="F25" i="6" s="1"/>
  <c r="F80" i="32"/>
  <c r="F26" i="23" s="1"/>
  <c r="F28" i="6" s="1"/>
  <c r="F25" i="23"/>
  <c r="F27" i="6" s="1"/>
  <c r="H17" i="6"/>
  <c r="I17" i="6" s="1"/>
  <c r="I15" i="6" s="1"/>
  <c r="D12" i="8" s="1"/>
  <c r="E12" i="8" s="1"/>
  <c r="H25" i="6"/>
  <c r="H26" i="6"/>
  <c r="H27" i="6"/>
  <c r="H28" i="6"/>
  <c r="H37" i="6"/>
  <c r="I37" i="6" s="1"/>
  <c r="H107" i="6"/>
  <c r="I107" i="6" s="1"/>
  <c r="H109" i="6"/>
  <c r="H110" i="6"/>
  <c r="I110" i="6" s="1"/>
  <c r="H106" i="6"/>
  <c r="H115" i="6"/>
  <c r="I115" i="6" s="1"/>
  <c r="H116" i="6"/>
  <c r="I116" i="6" s="1"/>
  <c r="H124" i="6"/>
  <c r="I124" i="6" s="1"/>
  <c r="H125" i="6"/>
  <c r="I125" i="6" s="1"/>
  <c r="H126" i="6"/>
  <c r="I126" i="6" s="1"/>
  <c r="H127" i="6"/>
  <c r="I127" i="6" s="1"/>
  <c r="H134" i="6"/>
  <c r="H135" i="6"/>
  <c r="H136" i="6"/>
  <c r="I136" i="6" s="1"/>
  <c r="H137" i="6"/>
  <c r="I137" i="6" s="1"/>
  <c r="H140" i="6"/>
  <c r="I140" i="6" s="1"/>
  <c r="H141" i="6"/>
  <c r="I141" i="6" s="1"/>
  <c r="H142" i="6"/>
  <c r="I142" i="6" s="1"/>
  <c r="H143" i="6"/>
  <c r="H144" i="6"/>
  <c r="H145" i="6"/>
  <c r="I145" i="6" s="1"/>
  <c r="H154" i="6"/>
  <c r="I154" i="6" s="1"/>
  <c r="H156" i="6"/>
  <c r="I156" i="6" s="1"/>
  <c r="H157" i="6"/>
  <c r="I157" i="6" s="1"/>
  <c r="H161" i="6"/>
  <c r="H164" i="6"/>
  <c r="I164" i="6" s="1"/>
  <c r="H205" i="6"/>
  <c r="H152" i="6"/>
  <c r="H132" i="6"/>
  <c r="I132" i="6" s="1"/>
  <c r="H112" i="6"/>
  <c r="I112" i="6" s="1"/>
  <c r="H36" i="6"/>
  <c r="I36" i="6" s="1"/>
  <c r="H31" i="6"/>
  <c r="I31" i="6" s="1"/>
  <c r="I30" i="6" s="1"/>
  <c r="H24" i="6"/>
  <c r="H20" i="6"/>
  <c r="I20" i="6" s="1"/>
  <c r="N121" i="6"/>
  <c r="F160" i="23" l="1"/>
  <c r="F162" i="6" s="1"/>
  <c r="I162" i="6" s="1"/>
  <c r="F161" i="6"/>
  <c r="F20" i="23"/>
  <c r="F22" i="6" s="1"/>
  <c r="I22" i="6" s="1"/>
  <c r="I121" i="6"/>
  <c r="D28" i="8" s="1"/>
  <c r="I35" i="6"/>
  <c r="I24" i="6"/>
  <c r="F21" i="6"/>
  <c r="I21" i="6" s="1"/>
  <c r="I25" i="6"/>
  <c r="I111" i="6"/>
  <c r="D26" i="8" s="1"/>
  <c r="H26" i="8" s="1"/>
  <c r="I28" i="6"/>
  <c r="I27" i="6"/>
  <c r="D22" i="8"/>
  <c r="G22" i="8" s="1"/>
  <c r="D18" i="8"/>
  <c r="I152" i="6"/>
  <c r="I151" i="6" s="1"/>
  <c r="I135" i="6"/>
  <c r="I106" i="6"/>
  <c r="I143" i="6"/>
  <c r="I161" i="6"/>
  <c r="I160" i="6" s="1"/>
  <c r="I26" i="6"/>
  <c r="I144" i="6"/>
  <c r="I109" i="6"/>
  <c r="I134" i="6"/>
  <c r="H10" i="6"/>
  <c r="I18" i="6" l="1"/>
  <c r="D14" i="8" s="1"/>
  <c r="I131" i="6"/>
  <c r="I105" i="6"/>
  <c r="I23" i="6"/>
  <c r="F18" i="8"/>
  <c r="G18" i="8"/>
  <c r="D32" i="8"/>
  <c r="H32" i="8" s="1"/>
  <c r="G26" i="8"/>
  <c r="D34" i="8"/>
  <c r="I34" i="8" s="1"/>
  <c r="H28" i="8"/>
  <c r="G28" i="8"/>
  <c r="D20" i="8"/>
  <c r="G20" i="8" s="1"/>
  <c r="D16" i="8" l="1"/>
  <c r="F16" i="8" s="1"/>
  <c r="I32" i="8"/>
  <c r="D30" i="8"/>
  <c r="H30" i="8" s="1"/>
  <c r="D24" i="8"/>
  <c r="H24" i="8" s="1"/>
  <c r="F34" i="8"/>
  <c r="F10" i="6"/>
  <c r="C7" i="23"/>
  <c r="E8" i="23"/>
  <c r="C8" i="23"/>
  <c r="F42" i="8" l="1"/>
  <c r="H42" i="8"/>
  <c r="G24" i="8"/>
  <c r="G42" i="8" s="1"/>
  <c r="F205" i="6"/>
  <c r="I205" i="6" s="1"/>
  <c r="E203" i="23"/>
  <c r="C203" i="23"/>
  <c r="C202" i="23"/>
  <c r="I204" i="6" l="1"/>
  <c r="I14" i="6" s="1"/>
  <c r="D40" i="8" l="1"/>
  <c r="I40" i="8" s="1"/>
  <c r="I42" i="8" s="1"/>
  <c r="E14" i="8"/>
  <c r="G5" i="8" l="1"/>
  <c r="A4" i="23" l="1"/>
  <c r="A2" i="23"/>
  <c r="E16" i="8" l="1"/>
  <c r="C6" i="8" l="1"/>
  <c r="A6" i="8"/>
  <c r="A5" i="8"/>
  <c r="I10" i="6"/>
  <c r="I9" i="6" s="1"/>
  <c r="I207" i="6" l="1"/>
  <c r="D9" i="8"/>
  <c r="D42" i="8" l="1"/>
  <c r="F41" i="8" s="1"/>
  <c r="D5" i="8"/>
  <c r="E9" i="8"/>
  <c r="E42" i="8" s="1"/>
  <c r="E41" i="8" l="1"/>
  <c r="D23" i="8"/>
  <c r="D15" i="8"/>
  <c r="D13" i="8"/>
  <c r="I41" i="8"/>
  <c r="D19" i="8"/>
  <c r="D8" i="8"/>
  <c r="D21" i="8"/>
  <c r="D29" i="8"/>
  <c r="D31" i="8"/>
  <c r="D27" i="8"/>
  <c r="D39" i="8"/>
  <c r="H41" i="8"/>
  <c r="G41" i="8"/>
  <c r="D11" i="8"/>
  <c r="D37" i="8"/>
  <c r="D35" i="8"/>
  <c r="D17" i="8"/>
  <c r="D25" i="8"/>
  <c r="D33" i="8"/>
  <c r="D41" i="8" l="1"/>
</calcChain>
</file>

<file path=xl/sharedStrings.xml><?xml version="1.0" encoding="utf-8"?>
<sst xmlns="http://schemas.openxmlformats.org/spreadsheetml/2006/main" count="2574" uniqueCount="1010">
  <si>
    <t>ITEM</t>
  </si>
  <si>
    <t>DESCRIÇÃO</t>
  </si>
  <si>
    <t>QUANTIDADE</t>
  </si>
  <si>
    <t>UNIDADE</t>
  </si>
  <si>
    <t>CÓDIGO</t>
  </si>
  <si>
    <t>PREÇO TOTAL</t>
  </si>
  <si>
    <t>CREA</t>
  </si>
  <si>
    <t xml:space="preserve">FORMA DE EXECUÇÃO: </t>
  </si>
  <si>
    <t>Carimbo e assinatura do engenheiro responsável técnico pela elaboração da planilha</t>
  </si>
  <si>
    <t>M2</t>
  </si>
  <si>
    <t>1.1</t>
  </si>
  <si>
    <t>Carimbo e assinatura do prefeito ou presidente da instituição</t>
  </si>
  <si>
    <t>M</t>
  </si>
  <si>
    <t>UNID.</t>
  </si>
  <si>
    <t>FOLHA Nº:  01/01</t>
  </si>
  <si>
    <t xml:space="preserve">ISS: </t>
  </si>
  <si>
    <t>(     )</t>
  </si>
  <si>
    <t>DIRETA</t>
  </si>
  <si>
    <t>(  x  )</t>
  </si>
  <si>
    <t>INDIRETA</t>
  </si>
  <si>
    <t>BDI:</t>
  </si>
  <si>
    <t>CRONOGRAMA FÍSICO-FINANCEIRO</t>
  </si>
  <si>
    <t>ETAPAS/DESCRIÇÃO</t>
  </si>
  <si>
    <t>FÍSICO/ FINANCEIRO</t>
  </si>
  <si>
    <t>TOTAL  ETAPAS</t>
  </si>
  <si>
    <t>MÊS 1</t>
  </si>
  <si>
    <t>MÊS 2</t>
  </si>
  <si>
    <t>Físico %</t>
  </si>
  <si>
    <t>Financeiro</t>
  </si>
  <si>
    <t>TOTAL</t>
  </si>
  <si>
    <t>Carimbo e assinatura do prefeito</t>
  </si>
  <si>
    <t>ANEXO I - PLANILHA ORÇAMENTÁRIA DE CUSTOS</t>
  </si>
  <si>
    <t xml:space="preserve">A N E X O   I I </t>
  </si>
  <si>
    <t>M3</t>
  </si>
  <si>
    <t>DESCRIÇÃO DO SERVIÇO OU FORNECIMENTO</t>
  </si>
  <si>
    <t>DATA BASE</t>
  </si>
  <si>
    <t>PREÇO REFERENCIAL</t>
  </si>
  <si>
    <t>COMP. 01</t>
  </si>
  <si>
    <t>2.1</t>
  </si>
  <si>
    <t xml:space="preserve"> INSTALAÇÕES INICIAIS DA OBRA</t>
  </si>
  <si>
    <t>VALOR DA OBRA:</t>
  </si>
  <si>
    <t>2.2</t>
  </si>
  <si>
    <t>CJ</t>
  </si>
  <si>
    <t>ED-50635</t>
  </si>
  <si>
    <t>Priscila Cristina De Paula Neto</t>
  </si>
  <si>
    <r>
      <t>Engenheira Civil - CREA/MG n</t>
    </r>
    <r>
      <rPr>
        <sz val="10"/>
        <rFont val="Calibri"/>
        <family val="2"/>
      </rPr>
      <t>º</t>
    </r>
    <r>
      <rPr>
        <sz val="10"/>
        <rFont val="Arial"/>
        <family val="2"/>
      </rPr>
      <t xml:space="preserve"> 142702/D</t>
    </r>
  </si>
  <si>
    <t>ANEXO I I -MEMORIA DE CALCULO</t>
  </si>
  <si>
    <t>FÓRMULA/MEMÓRIA</t>
  </si>
  <si>
    <t>PREÇO UNIT.                C/ LDI</t>
  </si>
  <si>
    <t>___________________________________________________</t>
  </si>
  <si>
    <t>MÊS 3</t>
  </si>
  <si>
    <t>RO-40211</t>
  </si>
  <si>
    <t>QUANT.</t>
  </si>
  <si>
    <t>PREÇO UNIT. S/ LDI</t>
  </si>
  <si>
    <t>ED-51121</t>
  </si>
  <si>
    <t>REATERRO MANUAL DE VALA, INCLUSIVE ESPALHAMENTO E COMPACTAÇÃO MECANIZADA COM PLACA VIBRATÓRIA</t>
  </si>
  <si>
    <t>ED-49638</t>
  </si>
  <si>
    <t>ED-48295</t>
  </si>
  <si>
    <t>CORTE, DOBRA E MONTAGEM DE AÇO CA-50 DIÂMETRO (6,3MM A 12,5MM)</t>
  </si>
  <si>
    <t>KG</t>
  </si>
  <si>
    <t>ED-48297</t>
  </si>
  <si>
    <t>CORTE, DOBRA E MONTAGEM DE AÇO CA-60 DIÂMETRO (4,2MM A 5,0MM)</t>
  </si>
  <si>
    <t>ED-8471</t>
  </si>
  <si>
    <t>FORMA E DESFORMA DE TÁBUA E SARRAFO, REAPROVEITAMENTO (5X), EXCLUSIVE ESCORAMENTO</t>
  </si>
  <si>
    <t>LASTRO DE CONCRETO MAGRO, INCLUSIVE TRANSPORTE, LANÇAMENTO E ADENSAMENTO</t>
  </si>
  <si>
    <t>ED-49812</t>
  </si>
  <si>
    <t>COMPOSIÇÕES DE CUSTO - COM  DESONERADO</t>
  </si>
  <si>
    <t>FONTE</t>
  </si>
  <si>
    <t>DESCRIÇÃO DO INSUMO</t>
  </si>
  <si>
    <t>COEFICIENTE</t>
  </si>
  <si>
    <t>CUSTO UNITÁRIO</t>
  </si>
  <si>
    <t>CUSTO TOTAL</t>
  </si>
  <si>
    <t>SEINFRA</t>
  </si>
  <si>
    <t>H</t>
  </si>
  <si>
    <t>ED-50367</t>
  </si>
  <si>
    <t>SERVENTE COM ENCARGOS COMPLEMENTARES</t>
  </si>
  <si>
    <t>SERVIÇOS FINAIS</t>
  </si>
  <si>
    <t>COMP. 02</t>
  </si>
  <si>
    <t>1,00 UNDADE</t>
  </si>
  <si>
    <t>ED-51123</t>
  </si>
  <si>
    <t>REGULARIZAÇÃO MANUAL E COMPACTAÇÃO MECANIZADA DE TERRENO COM PLACA VIBRATÓRIA, EXCLUSIVE DESMATAMENTO, DESTOCAMENTO, LIMPEZA/ROÇADA DO TERRENO</t>
  </si>
  <si>
    <t>PEDREIRO COM ENCARGOS COMPLEMENTARES</t>
  </si>
  <si>
    <t>PLACA DE ALUMÍNIO FUNDIDO, DIMENSÃO (85X50)CM, PARA INAUGURAÇÃO, INCLUSIVE FIXAÇÃO</t>
  </si>
  <si>
    <t>ESCAVAÇÃO MANUAL DE VALA EM MATERIAL DE 1ª CATEGORIA NA PROFUNDIDADE DE 0 A 1,50 M</t>
  </si>
  <si>
    <t>ED-28427</t>
  </si>
  <si>
    <t>FORNECIMENTO E COLOCAÇÃO DE PLACA DE OBRA EM CHAPA GALVANIZADA #26, ESP. 0,45MM, DIMENSÃO (3X1,5)M, PLOTADA COM ADESIVO VINÍLICO, AFIXADA COM REBITES 4,8X40MM, EM ESTRUTURA METÁLICA DE METALON 20X20MM, ESP. 1,25MM, INCLUSIVE SUPORTE EM EUCALIPTO AUTOCLAVADO PINTADO COM TINTA PVA DUAS (2) DEMÃOS</t>
  </si>
  <si>
    <t>ED-50381</t>
  </si>
  <si>
    <t>1,00 &gt; PLACA DE OBRA</t>
  </si>
  <si>
    <t>ED-50668</t>
  </si>
  <si>
    <t>CONDUTOR CIRCULAR DE ÁGUA PLUVIAL PARA DO TELHADO EM TUBO DE PVC, DIÂMETRO DE 100MM, INCLUSIVE CONEXÕES E SUPORTES</t>
  </si>
  <si>
    <t>ED-50497</t>
  </si>
  <si>
    <t>PINTURA ESMALTE EM ESTRUTURA METÁLICA, DUAS (2) DEMÃOS, INCLUSIVE UMA (1) DEMÃO FUNDO ANTICORROSIVO</t>
  </si>
  <si>
    <t>MOVIMENTAÇÃO DE TERRA</t>
  </si>
  <si>
    <t>ED-50702</t>
  </si>
  <si>
    <t>DESMATAMENTO, DESTOCAMENTO E LIMPEZA, INCLUSIVE TRANSPORTE ATÉ CINQUENTA (50) METROS</t>
  </si>
  <si>
    <t>FORNECIMENTO DE CONCRETO ESTRUTURAL, USINADO BOMBEADO, COM FCK 25 MPA, INCLUSIVE LANÇAMENTO, ADENSAMENTO E ACABAMENTO</t>
  </si>
  <si>
    <t>ALVENARIA</t>
  </si>
  <si>
    <t>PONTOS DE INSTALAÇÕES HIDROSSANITÁRIAS</t>
  </si>
  <si>
    <t>PONTOS DE INSTALAÇÕES ELÉTRICAS</t>
  </si>
  <si>
    <t>ED-50727</t>
  </si>
  <si>
    <t>CHAPISCO COM ARGAMASSA, TRAÇO 1:3 (CIMENTO E AREIA), ESP . 5MM, APLICADO EM ALVENARIA/ESTRUTURA DE CONCRETO COM COLHER, INCLUSIVE ARGAMASSA COM PREPARO MECANIZADO</t>
  </si>
  <si>
    <t>ED-50732</t>
  </si>
  <si>
    <t>EMBOÇO COM ARGAMASSA, TRAÇO 1:6 (CIMENTO E AREIA), ESP. 20MM, APLICAÇÃO MANUAL, INCLUSIVE ARGAMASSA COM PREPARO MECANIZADO, EXCLUSIVE CHAPISCO</t>
  </si>
  <si>
    <t>ED-9081</t>
  </si>
  <si>
    <t>REVESTIMENTO COM CERÂMICA APLICADO EM PAREDE, ACABAMENTO ESMALTADO, AMBIENTE INTERNO/EXTERNO, PADRÃO EXTRA, DIMENSÃO DA PEÇA ATÉ 2025 CM2, PEI III, ASSENTAMENTO COM ARGAMASSA INDUSTRIALIZADA, INCLUSIVE REJUNTAMENTO</t>
  </si>
  <si>
    <t>ED-50997</t>
  </si>
  <si>
    <t>REVESTIMENTO DE PISO INT. E EXT.</t>
  </si>
  <si>
    <t>ED-50566</t>
  </si>
  <si>
    <t>CONTRAPISO DESEMPENADO COM ARGAMASSA, TRAÇO 1:3 (CIMENTO E AREIA), ESP. 20MM</t>
  </si>
  <si>
    <t>ED-51002</t>
  </si>
  <si>
    <t xml:space="preserve">ESQUADRIAS </t>
  </si>
  <si>
    <t>ED-29451</t>
  </si>
  <si>
    <t>FERRAGENS PARA MÓDULO DE JANELA DE ALUMÍNIO MÁXIM-AR, INCLUSIVE FECHO E BRAÇO, FORNECIMENTO E INSTALAÇÃO, EXCLUSIVE JANELA</t>
  </si>
  <si>
    <t>LOUÇAS, METAIS E ACESSÓRIOS</t>
  </si>
  <si>
    <t>ED-50283</t>
  </si>
  <si>
    <t>ED-50277</t>
  </si>
  <si>
    <t>CUBA EM AÇO INOXIDÁVEL DE EMBUTIR, AISI 304, APLICAÇÃO PARA PIA (465X330X115MM), NÚMERO 1, ASSENTAMENTO EM BANCADA, INCLUSIVE VÁLVULA DE ESCOAMENTO DE METAL COM ACABAMENTO CROMADO, SIFÃO DE METAL TIPO COPO COM ACABAMENTO CROMADO, FORNECIMENTO E INSTALAÇÃO</t>
  </si>
  <si>
    <t>ED-50297</t>
  </si>
  <si>
    <t>BACIA SANITÁRIA (VASO) DE LOUÇA COM CAIXA ACOPLADA, COR BRANCA, INCLUSIVE ACESSÓRIOS DE FIXAÇÃO/VEDAÇÃO, ENGATE FLEXÍVEL METÁLICO, FORNECIMENTO, INSTALAÇÃO E REJUNTAMENTO</t>
  </si>
  <si>
    <t>ED-48156</t>
  </si>
  <si>
    <t>ASSENTO BRANCO PARA VASO</t>
  </si>
  <si>
    <t>ED-16344</t>
  </si>
  <si>
    <t>CHUVEIRO ELÉTRICO BRANCO, TENSÃO 127V/220V, POTÊNCIA 4600W/5500W, INCLUSIVE BRAÇO, FORNECIMENTO E INSTALAÇÃO</t>
  </si>
  <si>
    <t>ED-50326</t>
  </si>
  <si>
    <t>TORNEIRA METÁLICA PARA PIA, ABERTURA 1/4 DE VOLTA, ACABAMENTO CROMADO, COM AREJADOR, APLICAÇÃO DE PAREDE, INCLUSIVE FORNECIMENTO E INSTALAÇÃO</t>
  </si>
  <si>
    <t>ED-48181</t>
  </si>
  <si>
    <t>ED-51152</t>
  </si>
  <si>
    <t>ESPELHO CRISTAL, DIMENSÃO (40X60)CM, COM ESP. 4MM, EM ACABAMENTO LAPIDADO, INCLUSIVE FIXAÇÃO COM PARAFUSO TIPO FINESSON, FORNECIMENTO E INSTALAÇÃO</t>
  </si>
  <si>
    <t>PINTURA</t>
  </si>
  <si>
    <t>ED-50514</t>
  </si>
  <si>
    <t>PREPARAÇÃO PARA EMASSAMENTO OU PINTURA (LÁTEX/ACRÍLICA) EM PAREDE, INCLUSIVE UMA (1) DEMÃO DE SELADOR ACRÍLICO</t>
  </si>
  <si>
    <t>ED-50515</t>
  </si>
  <si>
    <t>PREPARAÇÃO PARA EMASSAMENTO OU PINTURA (LÁTEX/ACRÍLICA) EM TETO, INCLUSIVE UMA (1) DEMÃO DE SELADOR ACRÍLICO</t>
  </si>
  <si>
    <t>ED-50527</t>
  </si>
  <si>
    <t>PINTURA COM VERNIZ SINTÉTICO MARÍTIMO EM ESQUADRIAS DE MADEIRA, DUAS (2) DEMÃOS, ACABAMENTO TIPO ACETINADO ( BRILHO SÚTIL)</t>
  </si>
  <si>
    <t>3.1</t>
  </si>
  <si>
    <t>3.2</t>
  </si>
  <si>
    <t>3.3</t>
  </si>
  <si>
    <t>ED-48192</t>
  </si>
  <si>
    <t>ANEXO V - ANEXO À MEMORIAL DE CÁLCULO</t>
  </si>
  <si>
    <t>LARG (M)</t>
  </si>
  <si>
    <t>COMP (M)</t>
  </si>
  <si>
    <t>ALT (M)</t>
  </si>
  <si>
    <t>ESCAVAÇÃO MANUAL(m3)</t>
  </si>
  <si>
    <t>LASTRO
(m3)</t>
  </si>
  <si>
    <t>CONCRETO FCK 25Mpa(m3)</t>
  </si>
  <si>
    <t>AÇO - 60KG/M³ (KG)</t>
  </si>
  <si>
    <t>AÇO - 50KG/M³ (KG)</t>
  </si>
  <si>
    <t>FORMA
(m2)</t>
  </si>
  <si>
    <t>-</t>
  </si>
  <si>
    <t>BLOCOS DE COROAMENTO</t>
  </si>
  <si>
    <t>VALOR TOTAL</t>
  </si>
  <si>
    <t>ESCAVAÇÃO MANUAL (m3)</t>
  </si>
  <si>
    <t>Vb01</t>
  </si>
  <si>
    <t>Vb02</t>
  </si>
  <si>
    <t>Vb03</t>
  </si>
  <si>
    <t>Vb04</t>
  </si>
  <si>
    <t>Vb05</t>
  </si>
  <si>
    <t>Vb06</t>
  </si>
  <si>
    <t>Vb07</t>
  </si>
  <si>
    <t>V01</t>
  </si>
  <si>
    <t>V02</t>
  </si>
  <si>
    <t>V03</t>
  </si>
  <si>
    <t>V04</t>
  </si>
  <si>
    <t>V06</t>
  </si>
  <si>
    <t>V07</t>
  </si>
  <si>
    <t>V08</t>
  </si>
  <si>
    <t>PILAR</t>
  </si>
  <si>
    <t>ESCAVAÇÃO MECÂNICA
(m3)</t>
  </si>
  <si>
    <t>TOTAL DE FUNDAÇÃO E SUPERESTRUTURA</t>
  </si>
  <si>
    <t>ESCAVAÇÃO MANUAL
(m3)</t>
  </si>
  <si>
    <t>CONCRETO FCK 25Mpa (m3)</t>
  </si>
  <si>
    <t>COMP. 03</t>
  </si>
  <si>
    <t>3,50 x 8,00 &gt; ALT. X QUANT.</t>
  </si>
  <si>
    <t>ED-48212</t>
  </si>
  <si>
    <t>ALVENARIA DE BLOCO DE CONCRETO CHEIO COM ARMAÇÃO, EM CONCRETO COM FCK 15MPA , ESP. 9CM, PARA REVESTIMENTO, INCLUSIVE ARGAMASSA PARA ASSENTAMENTO (DETALHE D CADERNO SEDS)</t>
  </si>
  <si>
    <t>COMPACTAÇÃO MANUAL DE ATERRO COM SOQUETE, INCLUSIVE
 ESPALHAMENTO MANUAL</t>
  </si>
  <si>
    <t>ED-51097</t>
  </si>
  <si>
    <t>ED-50973</t>
  </si>
  <si>
    <t>PORTA METÁLICA EM CHAPA DOBRADA, DIMENSÃO (80X210)CM, TIPO DE ABRIR, UMA (1) FOLHA, INCLUSIVE ESTRUTURA, DOBRADIÇA E MARCO, EXCLUSIVE FECHADURA E PINTURA</t>
  </si>
  <si>
    <t>ED-21612</t>
  </si>
  <si>
    <t>FECHADURA TIPO EXTERNA, EM PORTA METÁLICA, GRAU DE SEGURANÇA MÉDIO, DISTÂNCIA DE BROCA 20MM, ACABAMENTO COM ESPELHO CROMADO E MAÇANETA MODELO ALAVANCA EM ZAMAC, INCLUSIVE ACESSÓRIOS PARA FIXAÇÃO E DUAS (2) CHAVES</t>
  </si>
  <si>
    <t>ED-29481</t>
  </si>
  <si>
    <t>ED-50552</t>
  </si>
  <si>
    <t>PISO CIMENTADO NATADO COM ARGAMASSA, TRAÇO 1:3 (CIMENTO E AREIA), ESP. 20MM, ACABAMENTO QUEIMADO, SEM JUNTA DE DILATAÇÃO</t>
  </si>
  <si>
    <t>ED-50761</t>
  </si>
  <si>
    <t>REBOCO COM ARGAMASSA, TRAÇO 1:2:8 (CIMENTO, CAL E AREIA), ESP. 20MM, APLICAÇÃO MANUAL, INCLUSIVE ARGAMASSA COM PREPARO MECANIZADO, EXCLUSIVE CHAPISCO</t>
  </si>
  <si>
    <t>ALVENARIAS</t>
  </si>
  <si>
    <t xml:space="preserve">COMP (M) </t>
  </si>
  <si>
    <t>ALTURA / LARGURA (M)</t>
  </si>
  <si>
    <t>PORTAS E JANELAS (SUBTRAIR) DIMENSÕES E QUANTIDADE</t>
  </si>
  <si>
    <t>ALVENARIA (M2)</t>
  </si>
  <si>
    <t>0,80 x 2,10</t>
  </si>
  <si>
    <t>REVESTIMENTO CERÂMICO (M2)</t>
  </si>
  <si>
    <t>CAIXA D´ÁGUA DE POLIETILENO, CAPACIDADE DE 1.000L, INCLUSIVE TAMPA, TORNEIRA DE BOIA, EXTRAVASOR, TUBO DE LIMPEZA E ACESSÓRIOS, EXCLUSIVE TUBULAÇÃO DE ENTRADA/ SAÍDA DE ÁGUA</t>
  </si>
  <si>
    <t>FECHAMENTO CAIXA D'AGUA</t>
  </si>
  <si>
    <t>DADOS RETIRADOS DE ANEXO V - ANEXO À MEMORIAL DE CÁLCULO</t>
  </si>
  <si>
    <t>ED-50455</t>
  </si>
  <si>
    <t>PINTURA ACRÍLICA EM PAREDE, DUAS (2) DEMÃOS, INCLUSIVE UMA (1) DEMÃO DE MASSA CORRIDA (PVA), EXCLUSIVE SELADOR ACRÍLICO</t>
  </si>
  <si>
    <t>ED-50499</t>
  </si>
  <si>
    <t xml:space="preserve"> PINTURA LÁTEX (PVA) EM TETO, DUAS (2) DEMÃOS, EXCLUSIVE SELADOR ACRÍLICO E MASSA ACRÍLICA/CORRIDA (PVA)</t>
  </si>
  <si>
    <t>Vb08</t>
  </si>
  <si>
    <t>Vb09</t>
  </si>
  <si>
    <t>Vb10</t>
  </si>
  <si>
    <t>Vb11</t>
  </si>
  <si>
    <t>Vb12</t>
  </si>
  <si>
    <t>Vb13</t>
  </si>
  <si>
    <t>Vb14</t>
  </si>
  <si>
    <t>Vb15</t>
  </si>
  <si>
    <t>Vb16</t>
  </si>
  <si>
    <t>Vb17</t>
  </si>
  <si>
    <t>Vb18</t>
  </si>
  <si>
    <t>Vb19</t>
  </si>
  <si>
    <t>V10</t>
  </si>
  <si>
    <t>V11</t>
  </si>
  <si>
    <t>V12</t>
  </si>
  <si>
    <t>V13</t>
  </si>
  <si>
    <t>V14</t>
  </si>
  <si>
    <t>BASE DECENTRALIZADA SAMU</t>
  </si>
  <si>
    <r>
      <t>PREFEITURA: Prefeitura Municipal de Bom Jardim de Minas</t>
    </r>
    <r>
      <rPr>
        <b/>
        <sz val="10"/>
        <rFont val="Calibri"/>
        <family val="2"/>
      </rPr>
      <t xml:space="preserve"> - MG</t>
    </r>
  </si>
  <si>
    <t>ED-50754</t>
  </si>
  <si>
    <t>REVESTIMENTO COM PORCELANATO APLICADO EM PISO, ACABAMENTO POLÍDO, AMBIENTE INTERNO, PADRÃO EXTRA, BORDA RETIFICADA, DIMENSÃO DA PEÇA (60X60CM), ASSENTAMENTO COM ARGAMASSA INDUSTRIALIZADA, INCLUSIVE REJUNTAMENTO</t>
  </si>
  <si>
    <t>ED-50437</t>
  </si>
  <si>
    <t>PLANTIO DE GRAMA ESMERALDA EM PLACAS, INCLUSIVE TERRA VEGETAL E CONSERVAÇÃO POR TRINTA (30) DIAS</t>
  </si>
  <si>
    <t>1,00 DML</t>
  </si>
  <si>
    <t>2,00 SALA DE UTILIDADES + 1,00 COPA</t>
  </si>
  <si>
    <t>BANCADA EM AÇO INOXIDÁVEL</t>
  </si>
  <si>
    <t>ED-48337</t>
  </si>
  <si>
    <t xml:space="preserve">1,00 TANQUE EXTERNO - DEMARCADO EM PROJETO </t>
  </si>
  <si>
    <t>MASSA PLÁSTICA (COR: BRANCA, CINZA OU PRETA| CATALIZADOR: INCLUSO| RENDIMENTO: 0,59KG/M2)</t>
  </si>
  <si>
    <t>SIFÃO METÁLICO PARA TANQUE (TIPO: COPO/ MATERIAL: METAL| ACABAMENTO: CROMADO| DIÂMETRO DE ENTRADA: 1.1/ 4"|DIÂMETRO DE SAÍDA: 1.1/2")</t>
  </si>
  <si>
    <t>SILICONE ACÉTICO (COR: INCOLOR|APLICAÇÃO: USO GERAL|REFIL: 9"|DENSIDADE:  0,99 G/ML OU 990 KG/M3)</t>
  </si>
  <si>
    <t>VÁLVULA DE ESCOAMENTO METÁLICA PARA TANQUE/ MICTÓRIO (MATERIAL: METAL |ACABAMENTO: CROMADO| DIÂMETRO DE ENTRADA: 1.1/4")</t>
  </si>
  <si>
    <t>MATED-15101</t>
  </si>
  <si>
    <t xml:space="preserve">MATED-11696 </t>
  </si>
  <si>
    <t>MATED-9529</t>
  </si>
  <si>
    <t>MATED-11703</t>
  </si>
  <si>
    <t xml:space="preserve">BANCADA COM TANQUE EM CONCRETO 150 X 75 CM, INCLUSIVE ALVENARIA, BARRADO EM AZULEJO E VÁLVULA DE ESCOAMENTO DE METAL COM ACABAMENTO CROMADO, SIFÃO DE METAL TIPO COPO COM ACABAMENTO CROMADO, FORNECIMENTO E INSTALAÇÃO - CONFORME DETAHAMENTO EM PROJETO </t>
  </si>
  <si>
    <t xml:space="preserve">SALA DE UTILIDADES </t>
  </si>
  <si>
    <t>DML</t>
  </si>
  <si>
    <t>0,80 x 0,50</t>
  </si>
  <si>
    <t xml:space="preserve">REPOUSO 01 </t>
  </si>
  <si>
    <t>1,80 x 0,60</t>
  </si>
  <si>
    <t>REPOUSO 02</t>
  </si>
  <si>
    <t>SALA DE ESTAR/ CIRCULAÇÃO / COPA</t>
  </si>
  <si>
    <t>1,20 x 1,00</t>
  </si>
  <si>
    <t>ALMOZARIFADO/ CAF</t>
  </si>
  <si>
    <t>1,43 x 0,50</t>
  </si>
  <si>
    <t>FECHAMENTO BEIRAL</t>
  </si>
  <si>
    <t>SALA DE ESTAR/ CIRCULAÇÃO</t>
  </si>
  <si>
    <t>COPA</t>
  </si>
  <si>
    <t xml:space="preserve">ÁREA EXTERNA </t>
  </si>
  <si>
    <t>ALMOXARIFADO/   CAF</t>
  </si>
  <si>
    <t xml:space="preserve">PILARES </t>
  </si>
  <si>
    <t xml:space="preserve">0,80 x 2,10 x 3,00 x 2,00 &gt; COMP. X ALT. X QUANT. X LADOS </t>
  </si>
  <si>
    <t xml:space="preserve">COBERTURA </t>
  </si>
  <si>
    <t>ED-50848</t>
  </si>
  <si>
    <t>LAJE 10 CM MACIÇA DE CONCRETO 20 MPa, COM ARMAÇÃO, FÔRMA RESINADA, ESCORAMENTO E DESFORMA</t>
  </si>
  <si>
    <t>ED-50168</t>
  </si>
  <si>
    <t>ED-49962</t>
  </si>
  <si>
    <t>RALO HEMISFÉRICO, TIPO ABACAXI, DIÂMETRO DE 100MM, EXCLUSIVE CONDUTOR DE ÁGUA PLUVIAL</t>
  </si>
  <si>
    <t>IMPERMEABILIZAÇÃO COM MANTA ASFÁLTICA PRÉ-FABRICADA, E = 4 MM</t>
  </si>
  <si>
    <t>8,00 UNIDADES</t>
  </si>
  <si>
    <t>ED-49602</t>
  </si>
  <si>
    <t>3,00 - P1</t>
  </si>
  <si>
    <t>13.1</t>
  </si>
  <si>
    <t>ED-49187</t>
  </si>
  <si>
    <t>1,00 UNIDADE</t>
  </si>
  <si>
    <r>
      <t>PRAZO DE EXECUÇÃO: 5</t>
    </r>
    <r>
      <rPr>
        <b/>
        <sz val="10"/>
        <rFont val="Calibri"/>
        <family val="2"/>
      </rPr>
      <t xml:space="preserve"> meses </t>
    </r>
  </si>
  <si>
    <t>4.1</t>
  </si>
  <si>
    <t>5.1</t>
  </si>
  <si>
    <t>6.1</t>
  </si>
  <si>
    <t>7.1</t>
  </si>
  <si>
    <t>8.1</t>
  </si>
  <si>
    <t>9.1</t>
  </si>
  <si>
    <t>10.1</t>
  </si>
  <si>
    <t>11.1</t>
  </si>
  <si>
    <t>12.1</t>
  </si>
  <si>
    <t>12.2</t>
  </si>
  <si>
    <t>12.3</t>
  </si>
  <si>
    <t>12.4</t>
  </si>
  <si>
    <t>11.2</t>
  </si>
  <si>
    <t>11.3</t>
  </si>
  <si>
    <t>11.4</t>
  </si>
  <si>
    <t>11.5</t>
  </si>
  <si>
    <t>11.6</t>
  </si>
  <si>
    <t>10.2</t>
  </si>
  <si>
    <t>10.3</t>
  </si>
  <si>
    <t>10.4</t>
  </si>
  <si>
    <t>10.5</t>
  </si>
  <si>
    <t>9.2</t>
  </si>
  <si>
    <t>9.3</t>
  </si>
  <si>
    <t>9.4</t>
  </si>
  <si>
    <t>9.5</t>
  </si>
  <si>
    <t>9.6</t>
  </si>
  <si>
    <t>8.2</t>
  </si>
  <si>
    <t>8.3</t>
  </si>
  <si>
    <t>8.4</t>
  </si>
  <si>
    <t>8.5</t>
  </si>
  <si>
    <t>7.2</t>
  </si>
  <si>
    <t>7.3</t>
  </si>
  <si>
    <t>7.4</t>
  </si>
  <si>
    <t>7.5</t>
  </si>
  <si>
    <t>6.2</t>
  </si>
  <si>
    <t>6.3</t>
  </si>
  <si>
    <t>6.4</t>
  </si>
  <si>
    <t>6.5</t>
  </si>
  <si>
    <t>6.6</t>
  </si>
  <si>
    <t>6.7</t>
  </si>
  <si>
    <t>6.8</t>
  </si>
  <si>
    <t>6.9</t>
  </si>
  <si>
    <t>5.2</t>
  </si>
  <si>
    <t>5.3</t>
  </si>
  <si>
    <t>COTAÇÕES</t>
  </si>
  <si>
    <t>CNPJ</t>
  </si>
  <si>
    <t>NOME DA EMPRESA FORNECEDORA</t>
  </si>
  <si>
    <t>TELEFONE</t>
  </si>
  <si>
    <t>CONTATO</t>
  </si>
  <si>
    <t>DATA COTAÇÃO</t>
  </si>
  <si>
    <t>PREÇO COTADO</t>
  </si>
  <si>
    <t xml:space="preserve"> 18.126.995/0001-05</t>
  </si>
  <si>
    <t>REI MATERIAIS ELETRICO LTDA</t>
  </si>
  <si>
    <t>23.456.051/0001-28</t>
  </si>
  <si>
    <t xml:space="preserve">NOVA ELETRICA JUIZ DE FORA EIRELI </t>
  </si>
  <si>
    <t>(32) 3221-7705</t>
  </si>
  <si>
    <t xml:space="preserve">21.576.749/0001-51 </t>
  </si>
  <si>
    <t>ELETRO GUIMARAES IRMAOS LTDA</t>
  </si>
  <si>
    <t>(32) 3257-8700</t>
  </si>
  <si>
    <t>RAFAEL</t>
  </si>
  <si>
    <t xml:space="preserve">ED-50373 </t>
  </si>
  <si>
    <t>ELETRICISTA COM ENCARGOS COMPLEMENTARES</t>
  </si>
  <si>
    <t>COTAÇÃO 001</t>
  </si>
  <si>
    <t>COTAÇÃO</t>
  </si>
  <si>
    <t>001</t>
  </si>
  <si>
    <t xml:space="preserve">SEINFRA / COTAÇÃO </t>
  </si>
  <si>
    <t>MÊS 4</t>
  </si>
  <si>
    <t>MÊS 5</t>
  </si>
  <si>
    <r>
      <rPr>
        <b/>
        <sz val="10"/>
        <rFont val="Arial"/>
        <family val="2"/>
      </rPr>
      <t>PRAZO DA OBRA:</t>
    </r>
    <r>
      <rPr>
        <sz val="10"/>
        <rFont val="Arial"/>
        <family val="2"/>
      </rPr>
      <t xml:space="preserve"> 5 meses</t>
    </r>
  </si>
  <si>
    <t>BASE DESCENTRALIZADA SAMU</t>
  </si>
  <si>
    <t>ED-22902</t>
  </si>
  <si>
    <t>TORNEIRA METÁLICA PARA TANQUE, ACABAMENTO CROMADO, COM AREJADOR, INCLUSIVE FORNECIMENTO E INSTALAÇÃO</t>
  </si>
  <si>
    <t>ED-48332</t>
  </si>
  <si>
    <t>PINGADEIRA COM DIMENSÃO (20X5)CM, MOLDADO "IN-LOCO", EM CONCRETO NÃO ESTRUTURAL, PREPARADO EM OBRA COM BETONEIRA, COM FCK 15MPA, INCLUSIVE LANÇAMENTO, ADENSAMENTO, ACABAMENTO E ARMAÇÃO</t>
  </si>
  <si>
    <t>12.5</t>
  </si>
  <si>
    <t>SINAPI-89401</t>
  </si>
  <si>
    <t>TUBO, PVC, SOLDÁVEL, DN 20MM, INSTALADO EM RAMAL DE DISTRIBUIÇÃO DE ÁGUA - FORNECIMENTO E INSTALAÇÃO. AF_12/2014</t>
  </si>
  <si>
    <t>SINAPI-89402</t>
  </si>
  <si>
    <t>TUBO, PVC, SOLDÁVEL, DN 25MM, INSTALADO EM RAMAL DE DISTRIBUIÇÃO DE ÁGUA - FORNECIMENTO E INSTALAÇÃO. AF_06/2022</t>
  </si>
  <si>
    <t>SINAPI-89711</t>
  </si>
  <si>
    <t>TUBO PVC, SERIE NORMAL, ESGOTO PREDIAL, DN 40 MM, FORNECIDO E INSTALADO EM RAMAL DE DESCARGA OU RAMAL DE ESGOTO SANITÁRIO. AF_12/2014</t>
  </si>
  <si>
    <t>SINAPI-89714</t>
  </si>
  <si>
    <t>TUBO PVC, SERIE NORMAL, ESGOTO PREDIAL, DN 100 MM, FORNECIDO E INSTALADO EM RAMAL DE DESCARGA OU RAMAL DE ESGOTO SANITÁRIO. AF_12/2014</t>
  </si>
  <si>
    <t>TUBO, PVC, SOLDÁVEL, DN 32MM, INSTALADO EM RAMAL DE DISTRIBUIÇÃO DE ÁGUA - FORNECIMENTO E INSTALAÇÃO. AF_06/2022</t>
  </si>
  <si>
    <t>TUBO PVC, SERIE NORMAL, ESGOTO PREDIAL, DN 50 MM, FORNECIDO E INSTALADO EM RAMAL DE DESCARGA OU RAMAL DE ESGOTO SANITÁRIO. AF_08/2022</t>
  </si>
  <si>
    <t>SINAPI-89403</t>
  </si>
  <si>
    <t>SINAPI-89712</t>
  </si>
  <si>
    <t>DADOS RETIRADOS DE PROJETO HIDROSSANITÁRIO</t>
  </si>
  <si>
    <t>SINAPI-89358</t>
  </si>
  <si>
    <t>JOELHO 90 GRAUS, PVC, SOLDÁVEL, DN 20MM, INSTALADO EM RAMAL OU SUB-RAM UN CR JOELHO 90 GRAUS, PVC, SOLDÁVEL, DN 20MM, INSTALADO EM RAMAL OU SUB-RAMAL DE ÁGUA - FORNECIMENTO E INSTALAÇÃO. AF_12/2014</t>
  </si>
  <si>
    <t>SINAPI-89362</t>
  </si>
  <si>
    <t>JOELHO 90 GRAUS, PVC, SOLDÁVEL, DN 25MM, INSTALADO EM RAMAL OU SUB-RAMAL DE ÁGUA - FORNECIMENTO E INSTALAÇÃO. AF_12/2014</t>
  </si>
  <si>
    <t>SINAPI-89400</t>
  </si>
  <si>
    <t>TÊ DE REDUÇÃO, PVC, SOLDÁVEL, DN 32MM X 25MM, INSTALADO EM RAMAL OU SUB-RAMAL DE ÁGUA - FORNECIMENTO E INSTALAÇÃO. AF_06/2022</t>
  </si>
  <si>
    <t>SINAPI-89438</t>
  </si>
  <si>
    <t>TE, PVC, SOLDÁVEL, DN 20MM, INSTALADO EM RAMAL DE DISTRIBUIÇÃO DE ÁGUA - FORNECIMENTO E INSTALAÇÃO. AF_06/2022</t>
  </si>
  <si>
    <t>SINAPI-89726</t>
  </si>
  <si>
    <t>JOELHO 45 GRAUS, PVC, SERIE NORMAL, ESGOTO PREDIAL, DN 40 MM, JUNTA SOLDÁVEL, FORNECIDO E INSTALADO EM RAMAL DE DESCARGA OU RAMAL DE ESGOTO SANITÁRIO. AF_08/2022</t>
  </si>
  <si>
    <t>SINAPI-89724</t>
  </si>
  <si>
    <t>JOELHO 90 GRAUS, PVC, SERIE NORMAL, ESGOTO PREDIAL, DN 40 MM, JUNTA SOLDÁVEL, FORNECIDO E INSTALADO EM RAMAL DE DESCARGA OU RAMAL DE ESGOTO SANITÁRIO. AF_12/2014</t>
  </si>
  <si>
    <t>SINAPI-89731</t>
  </si>
  <si>
    <t>JOELHO 90 GRAUS, PVC, SERIE NORMAL, ESGOTO PREDIAL, DN 50 MM, JUNTA ELÁSTICA, FORNECIDO E INSTALADO EM RAMAL DE DESCARGA OU RAMAL DE ESGOTO SANITÁRIO. AF_08/2022</t>
  </si>
  <si>
    <t>SINAPI-89744</t>
  </si>
  <si>
    <t>JOELHO 90 GRAUS, PVC, SERIE NORMAL, ESGOTO PREDIAL, DN 100 MM, JUNTA ELÁSTICA, FORNECIDO E INSTALADO EM RAMAL DE DESCARGA OU RAMAL DE ESGOTO SANITÁRIO. AF_12/2014</t>
  </si>
  <si>
    <t>JOELHO 45 GRAUS, PVC, SERIE NORMAL, ESGOTO PREDIAL, DN 50 MM, JUNTA ELÁSTICA, FORNECIDO E INSTALADO EM RAMAL DE DESCARGA OU RAMAL DE ESGOTO SANITÁRIO. AF_08/2022</t>
  </si>
  <si>
    <t>SINAPI-89732</t>
  </si>
  <si>
    <t>JUNÇÃO DE REDUÇÃO INVERTIDA, PVC, SÉRIE NORMAL, ESGOTO PREDIAL, DN 100 X 50 MM, JUNTA ELÁSTICA, FORNECIDO E INSTALADO EM RAMAL DE DESCARGA OU RAMAL DE ESGOTO SANITÁRIO. AF_08/2022</t>
  </si>
  <si>
    <t>SINAPI-104345</t>
  </si>
  <si>
    <t>SINAPI-89753</t>
  </si>
  <si>
    <t>LUVA SIMPLES, PVC, SERIE NORMAL, ESGOTO PREDIAL, DN 50 MM, JUNTA ELÁSTICA, FORNECIDO E INSTALADO EM RAMAL DE DESCARGA OU RAMAL DE ESGOTO SANITÁRIO. AF_08/2022</t>
  </si>
  <si>
    <t>SINAPI-89778</t>
  </si>
  <si>
    <t xml:space="preserve"> LUVA SIMPLES, PVC, SERIE NORMAL, ESGOTO PREDIAL, DN 100 MM, JUNTA ELÁSTICA, FORNECIDO E INSTALADO EM RAMAL DE DESCARGA OU RAMAL DE ESGOTO SANITÁRIO. AF_08/2022</t>
  </si>
  <si>
    <t>SINAPI-89784</t>
  </si>
  <si>
    <t>TE, PVC, SERIE NORMAL, ESGOTO PREDIAL, DN 50 X 50 MM, JUNTA ELÁSTICA, FORNECIDO E INSTALADO EM RAMAL DE DESCARGA OU RAMAL DE ESGOTO SANITÁRIO. AF_08/2022</t>
  </si>
  <si>
    <t>SINAPI-104328</t>
  </si>
  <si>
    <t>CAIXA SIFONADA, COM GRELHA QUADRADA, PVC, DN 150 X 150 X 50 MM, JUNTA SOLDÁVEL, FORNECIDA E INSTALADA EM RAMAL DE DESCARGA OU EM RAMAL DE ESGOTO SANITÁRIO. AF_08/2022</t>
  </si>
  <si>
    <t>SINAPI-97903</t>
  </si>
  <si>
    <t>CAIXA ENTERRADA HIDRÁULICA RETANGULAR EM ALVENARIA COM TIJOLOS CERÂMICOS MACIÇOS, DIMENSÕES INTERNAS: 0,8X0,8X0,6 M PARA REDE DE ESGOTO. AF_ 12/2020</t>
  </si>
  <si>
    <t>ED-49999</t>
  </si>
  <si>
    <t>REGISTRO DE ESFERA, TIPO PVC SOLDÁVEL DN 20MM (1/2"),  INCLUSIVE VOLANTE PARA ACIONAMENTO</t>
  </si>
  <si>
    <t>ED-49936</t>
  </si>
  <si>
    <t xml:space="preserve">VIGA BALDRAME </t>
  </si>
  <si>
    <t xml:space="preserve">VIGA TRAVAMENTO </t>
  </si>
  <si>
    <t>RO-00218</t>
  </si>
  <si>
    <t>MATED-11448</t>
  </si>
  <si>
    <t xml:space="preserve">ED-50365 </t>
  </si>
  <si>
    <t>AJUDANTE DE PINTOR COM ENCARGOS COMPLEMENTARES</t>
  </si>
  <si>
    <t>ED-50382</t>
  </si>
  <si>
    <t>PINTOR COM ENCARGOS COMPLEMENTARES</t>
  </si>
  <si>
    <t>SINAPI</t>
  </si>
  <si>
    <t xml:space="preserve">MATED-9598 </t>
  </si>
  <si>
    <t>FITA CREPE ROLO (LARGURA : 25MM|COMPRIMENTO DO ROLO*: 50M)*VALORES REFERENCIAIS APROXIMADOS</t>
  </si>
  <si>
    <t>COMP. 04</t>
  </si>
  <si>
    <t>TINTA (TIPO: ACRÍLICA PREMIUM|APLICAÇÃO: ALVENARIA, CONCRETO, GESSO E REBOCO|ACABAMENTO: FOSCO)</t>
  </si>
  <si>
    <t xml:space="preserve">PINTURA ACRÍLICA ARTÍSTICA CONFORME PROJETO (LOGO DO SAMU),(2,50 X 1,50M), DUAS (2) DEMÃOS, EXCLUSIVE SELADOR ACRÍLICO </t>
  </si>
  <si>
    <t>COMP.04</t>
  </si>
  <si>
    <t>11.7</t>
  </si>
  <si>
    <t>1.2</t>
  </si>
  <si>
    <t xml:space="preserve">ED-50135 </t>
  </si>
  <si>
    <t>BARRACÃO DE OBRA, EM CHAPA DE COMPENSADO RESINADO, INCLUSIVE INSTALAÇÕES SANITÁRIAS E MOBILIÁRIO - PADRÃO DER-MG</t>
  </si>
  <si>
    <t xml:space="preserve">ED-29823 </t>
  </si>
  <si>
    <t>TAPUME FIXO DE PROTEÇÃO PARA FECHAMENTO DE OBRA EM TELHA METÁLICA GALVANIZADA, TIPO TRAPEZOIDAL, ESP. 0,5MM, COM MÓDULO NA DIMENSÃO DE (300X220)CM, COM REAPROVEITAMENTO, EXCLUSIVE PINTURA ESMALTE, INCLUSIVE PONTALETE E FIXAÇÃO</t>
  </si>
  <si>
    <t>1.3</t>
  </si>
  <si>
    <t>4,00x 3,00 &gt; COMP. x LARG.</t>
  </si>
  <si>
    <t>(18,00 + 20,00 + 20,00) x 2,20 &gt; COMP. x ALT</t>
  </si>
  <si>
    <t xml:space="preserve">DEMOLIÇÕES E REMOÇÕES </t>
  </si>
  <si>
    <t xml:space="preserve">ED-48435 </t>
  </si>
  <si>
    <t>DEMOLIÇÃO MANUAL DE ALVENARIA DE TIJOLO CERÂMICO OU BLOCO DE CONCRETO, INCLUSIVE AFASTAMENTO E EMPILHAMENTO, EXCLUSIVE TRANSPORTE E RETIRADA DO MATERIAL DEMOLIDO</t>
  </si>
  <si>
    <t>(20,00) x 2,20 x 0,15 &gt; COMP. x ALT x ESP.</t>
  </si>
  <si>
    <t>4.2</t>
  </si>
  <si>
    <t>4.3</t>
  </si>
  <si>
    <t xml:space="preserve">ED-9906 </t>
  </si>
  <si>
    <t xml:space="preserve">ED-9903 </t>
  </si>
  <si>
    <t>VERGA OU CONTRAVERGA EM CONCRETO ESTRUTURAL PARA VÃOS ACIMA DE 150CM, PREPARADO EM OBRA COM BETONEIRA, CONTROLE "A", COM FCK 20 MPA, MOLDADA IN LOCO, INCLUSIVE ARMAÇÃO</t>
  </si>
  <si>
    <t>VERGA OU CONTRAVERGA EM CONCRETO ESTRUTURAL PARA VÃOS DE ATÉ 150CM, PREPARADO EM OBRA COM BETONEIRA, CONTROLE "A", COM FCK 20 MPA, MOLDADA IN LOCO, INCLUSIVE ARMAÇÃO</t>
  </si>
  <si>
    <t>4.4</t>
  </si>
  <si>
    <t>4.5</t>
  </si>
  <si>
    <t>4.6</t>
  </si>
  <si>
    <t>V09</t>
  </si>
  <si>
    <t>V05</t>
  </si>
  <si>
    <t>6.10</t>
  </si>
  <si>
    <t>6.11</t>
  </si>
  <si>
    <t>6.12</t>
  </si>
  <si>
    <t>6.13</t>
  </si>
  <si>
    <t>6.14</t>
  </si>
  <si>
    <t>6.15</t>
  </si>
  <si>
    <t>6.16</t>
  </si>
  <si>
    <t>6.17</t>
  </si>
  <si>
    <t>6.18</t>
  </si>
  <si>
    <t>6.19</t>
  </si>
  <si>
    <t>6.20</t>
  </si>
  <si>
    <t>6.21</t>
  </si>
  <si>
    <t>6.22</t>
  </si>
  <si>
    <t>6.23</t>
  </si>
  <si>
    <t>6.24</t>
  </si>
  <si>
    <t>7.6</t>
  </si>
  <si>
    <t>7.7</t>
  </si>
  <si>
    <t>7.8</t>
  </si>
  <si>
    <t>7.9</t>
  </si>
  <si>
    <t>11.8</t>
  </si>
  <si>
    <t>11.9</t>
  </si>
  <si>
    <t>11.10</t>
  </si>
  <si>
    <t>11.11</t>
  </si>
  <si>
    <t>11.12</t>
  </si>
  <si>
    <t>11.13</t>
  </si>
  <si>
    <t xml:space="preserve">ED-50329 </t>
  </si>
  <si>
    <t>TORNEIRA METÁLICA PARA LAVATÓRIO, FECHAMENTO AUTOMÁTICO, ACABAMENTO CROMADO, COM AREJADOR, APLICAÇÃO DE MESA, INCLUSIVE ENGATE FLEXÍVEL METÁLICO, FORNECIMENTO E INSTALAÇÃO</t>
  </si>
  <si>
    <t>11.14</t>
  </si>
  <si>
    <t>11.15</t>
  </si>
  <si>
    <t>11.16</t>
  </si>
  <si>
    <t xml:space="preserve">ED-48163 </t>
  </si>
  <si>
    <t>BARRA DE APOIO EM AÇO INOX POLIDO RETA, DN 1.1/4" (31,75MM), PARA ACESSIBILIDADE (PMR/PCR), COMPRIMENTO 40CM, INSTALADO EM PORTA/PAREDE, INCLUSIVE FORNECIMENTO, INSTALAÇÃO E ACESSÓRIOS PARA FIXAÇÃO</t>
  </si>
  <si>
    <t xml:space="preserve">ED-48165 </t>
  </si>
  <si>
    <t>BARRA DE APOIO EM AÇO INOX POLIDO EM "L", DN 1.1/4" (31,75MM), PARA ACESSIBILIDADE (PMR/PCR), COMPRIMENTO 140CM, INSTALADO EM PAREDE, INCLUSIVE FORNECIMENTO, INSTALAÇÃO E ACESSÓRIOS PARA FIXAÇÃO</t>
  </si>
  <si>
    <t xml:space="preserve">ED-48162 </t>
  </si>
  <si>
    <t>BARRA DE APOIO EM AÇO INOX POLIDO RETA, DN 1.1/4" (31,75MM), PARA ACESSIBILIDADE (PMR/PCR), COMPRIMENTO 90CM, INSTALADO EM PAREDE, INCLUSIVE FORNECIMENTO,INSTALAÇÃO E ACESSÓRIOS PARA FIXAÇÃO</t>
  </si>
  <si>
    <t xml:space="preserve">ED-50476 </t>
  </si>
  <si>
    <t>EMASSAMENTO EM TETO COM MASSA ACRÍLICA, DUAS (2) DEMÃOS, INCLUSIVE LIXAMENTO PARA PINTURA</t>
  </si>
  <si>
    <t>12.6</t>
  </si>
  <si>
    <t>12.7</t>
  </si>
  <si>
    <t>12.8</t>
  </si>
  <si>
    <t>13.2</t>
  </si>
  <si>
    <t>13.3</t>
  </si>
  <si>
    <t>13.4</t>
  </si>
  <si>
    <t>13.5</t>
  </si>
  <si>
    <t>13.6</t>
  </si>
  <si>
    <t xml:space="preserve">SINAPI-101881 </t>
  </si>
  <si>
    <t>CAIXA DE LIGAÇÃO/PASSAGEM EM PVC RÍGIDO PARA ELETRODUTO, DIMENSÕES 4"X2", EMBUTIDA EM ALVENARIA - FORNECIMENTO E INSTALAÇÃO</t>
  </si>
  <si>
    <t>ED-49190</t>
  </si>
  <si>
    <t>CAIXA DE LIGAÇÃO/PASSAGEM EM PVC RÍGIDO PARA ELETRODUTO, OCTOGONAL COM FUNDO FIXO REFORÇADO, DIMENSÕES 4"X4", EMBUTIDA EM LAJE - FORNECIMENTO E INSTALAÇÃO</t>
  </si>
  <si>
    <t>ED-48951</t>
  </si>
  <si>
    <t>CABO DE COBRE FLEXÍVEL, CLASSE 5, ISOLAMENTO TIPO LSHF/ ATOX, NÃO HALOGENADO, ANTICHAMA, TERMOPLÁSTICO, UNIPOLAR, SEÇÃO 2,5 MM2, 70°C, 450/750V</t>
  </si>
  <si>
    <t>ED-48956</t>
  </si>
  <si>
    <t>CABO DE COBRE FLEXÍVEL, CLASSE 5, ISOLAMENTO TIPO LSHF/ ATOX, NÃO HALOGENADO, ANTICHAMA, TERMOPLÁSTICO, UNIPOLAR, SEÇÃO 4 MM2, 70°C, 450/750V</t>
  </si>
  <si>
    <t>ED-48961</t>
  </si>
  <si>
    <t>CABO DE COBRE FLEXÍVEL, CLASSE 5, ISOLAMENTO TIPO LSHF/ ATOX, NÃO HALOGENADO, ANTICHAMA, TERMOPLÁSTICO, UNIPOLAR, SEÇÃO 6 MM2, 70°C, 450/750V</t>
  </si>
  <si>
    <t>ED-48971</t>
  </si>
  <si>
    <t>CABO DE COBRE FLEXÍVEL, CLASSE 5, ISOLAMENTO TIPO LSHF/ ATOX, NÃO HALOGENADO, ANTICHAMA, TERMOPLÁSTICO, UNIPOLAR, SEÇÃO 16 MM2, 70°C, 450/750V</t>
  </si>
  <si>
    <t>ED-15733</t>
  </si>
  <si>
    <t>CONJUNTO DE UM (1) INTERRUPTOR SIMPLES, CORRENTE 10A, TENSÃO 250V, (10A-250V), COM PLACA 4"X2" DE UM (1) POSTO, INCLUSIVE FORNECIMENTO, INSTALAÇÃO, SUPORTE, MÓDULO E PLACA</t>
  </si>
  <si>
    <t>ED-15741</t>
  </si>
  <si>
    <t>CONJUNTO DE TRÊS (3) INTERRUPTORES SIMPLES, CORRENTE 10A, TENSÃO 250V, (10A-250V), COM PLACA 4"X2" DE TRÊS (3) POSTOS, INCLUSIVE FORNECIMENTO, INSTALAÇÃO, SUPORTE, MÓDULO E PLACA</t>
  </si>
  <si>
    <t>ED-15763</t>
  </si>
  <si>
    <t>CONJUNTO DE UM (1) MÓDULO COM FURO PARA SAÍDA DE FIO Ø10MM, COM PLACA 4"X2" DE UM (1) POSTO, INCLUSIVE FORNECIMENTO, INSTALAÇÃO, SUPORTE, MÓDULO E PLACA</t>
  </si>
  <si>
    <t>ED-15748</t>
  </si>
  <si>
    <t>CONJUNTO DE UMA (1) TOMADA PADRÃO, TRÊS (3) POLOS, CORRENTE 10A, TENSÃO 250V, (2P+T/10A-250V), COM PLACA 4"X2" DE UM (1) POSTO, INCLUSIVE FORNECIMENTO, INSTALAÇÃO, SUPORTE, MÓDULO E PLACA</t>
  </si>
  <si>
    <t>ED-15749</t>
  </si>
  <si>
    <t>CONJUNTO DE UMA (1) TOMADA PADRÃO, TRÊS (3) POLOS, CORRENTE 20A, TENSÃO 250V, (2P+T/20A-250V), COM PLACA 4"X2" DE UM (1) POSTO, INCLUSIVE FORNECIMENTO  INSTALAÇÃO, SUPORTE, MÓDULO E PLACA</t>
  </si>
  <si>
    <t>ED-15755</t>
  </si>
  <si>
    <t>CONJUNTO DE DUAS (2) TOMADAS PADRÃO, TRÊS (3) POLOS, CORRENTE 10A, TENSÃO 250V, (2P+T/10A-250V), COM PLACA 4"X2" DE DOIS (2) POSTOS, INCLUSIVE FORNECIMENTO, INSTALAÇÃO, SUPORTE, MÓDULO E PLACA</t>
  </si>
  <si>
    <t>ED-34461</t>
  </si>
  <si>
    <t>DISJUNTOR MONOPOLAR TIPO DIN, CORRENTE NOMINAL DE 16A, FORNECIMENTO E INSTALAÇÃO, INCLUSIVE TERMINAL ILHÓS</t>
  </si>
  <si>
    <t>ED-34462</t>
  </si>
  <si>
    <t>DISJUNTOR MONOPOLAR TIPO DIN, CORRENTE NOMINAL DE 20A, FORNECIMENTO E INSTALAÇÃO, INCLUSIVE TERMINAL ILHÓS</t>
  </si>
  <si>
    <t>ED-34463</t>
  </si>
  <si>
    <t>DISJUNTOR MONOPOLAR TIPO DIN, CORRENTE NOMINAL DE 25A, FORNECIMENTO E INSTALAÇÃO, INCLUSIVE TERMINAL ILHÓS</t>
  </si>
  <si>
    <t>ED-34474</t>
  </si>
  <si>
    <t>DISJUNTOR BIPOLAR TIPO DIN, CORRENTE NOMINAL DE 16A,FORNECIMENTO E INSTALAÇÃO, INCLUSIVE TERMINAL ILHÓS</t>
  </si>
  <si>
    <t>ED-34477</t>
  </si>
  <si>
    <t>DISJUNTOR BIPOLAR TIPO DIN, CORRENTE NOMINAL DE 32A, FORNECIMENTO E INSTALAÇÃO, INCLUSIVE TERMINAL ILHÓS</t>
  </si>
  <si>
    <t>ED-34493</t>
  </si>
  <si>
    <t>DISJUNTOR TRIPOLAR TIPO DIN, CORRENTE NOMINAL DE 63A, FORNECIMENTO E INSTALAÇÃO, INCLUSIVE TERMINAL ILHÓS</t>
  </si>
  <si>
    <t>ED-15114</t>
  </si>
  <si>
    <t>DISJUNTOR DE PROTEÇÃO DIFERENCIAL RESIDUAL (DR), BIPOLAR TIPO DIN, CORRENTE NOMINAL DE 25A, SENSIBILIDADE DE 30MA, FORNECIMENTO E INSTALAÇÃO, INCLUSIVE TERMINAL ILHÓS</t>
  </si>
  <si>
    <t>ED-15115</t>
  </si>
  <si>
    <t>DISJUNTOR DE PROTEÇÃO DIFERENCIAL RESIDUAL (DR), BIPOLAR TIPO DIN, CORRENTE NOMINAL DE 40A, SENSIBILIDADE DE 30MA, FORNECIMENTO E INSTALAÇÃO, INCLUSIVE TERMINAL ILHÓS</t>
  </si>
  <si>
    <t>ED-51092</t>
  </si>
  <si>
    <t>VLC SLIM CLASSE 1 275V 12,5/40kA</t>
  </si>
  <si>
    <t>COMP.01</t>
  </si>
  <si>
    <t>COMP.02</t>
  </si>
  <si>
    <t>COMP.03</t>
  </si>
  <si>
    <t>ED-49414</t>
  </si>
  <si>
    <t>ELETRODUTO FLEXÍVEL CORRUGADO, PVC, ANTI-CHAMA, DN25MM (3/4"), APLICADO EM ALVENARIA, INCLUSIVE RASGO</t>
  </si>
  <si>
    <t>ED-50705</t>
  </si>
  <si>
    <t>ENCHIMENTO DE RASGO EM ALVENARIA/CONCRETO COM ARGAMASSA, DIÂMETRO DE 32MM A 50MM (1.1/4" A 2"), INCLUSIVE ARGAMASSA, TRAÇO 1:2:8 (CIMENTO, CAL E AREIA), COM PREPARO MECANIZADO</t>
  </si>
  <si>
    <t>7.10</t>
  </si>
  <si>
    <t>7.11</t>
  </si>
  <si>
    <t>7.12</t>
  </si>
  <si>
    <t>7.13</t>
  </si>
  <si>
    <t>7.14</t>
  </si>
  <si>
    <t>7.15</t>
  </si>
  <si>
    <t>7.16</t>
  </si>
  <si>
    <t>7.17</t>
  </si>
  <si>
    <t>7.18</t>
  </si>
  <si>
    <t>7.19</t>
  </si>
  <si>
    <t>7.20</t>
  </si>
  <si>
    <t>7.21</t>
  </si>
  <si>
    <t>7.22</t>
  </si>
  <si>
    <t>7.23</t>
  </si>
  <si>
    <t>7.24</t>
  </si>
  <si>
    <t>7.25</t>
  </si>
  <si>
    <t>7.26</t>
  </si>
  <si>
    <t>7.27</t>
  </si>
  <si>
    <t>7.28</t>
  </si>
  <si>
    <t>7.29</t>
  </si>
  <si>
    <t>7.30</t>
  </si>
  <si>
    <t>DADOS RETIRADOS DE PROJETO ELÉTRICO</t>
  </si>
  <si>
    <t>PEITORIL DE GRANITO, NA COR CINZA ANDORINHA, COM PINGADEIRA, ESP. 2CM, ACABAMENTO POLIDO, ASSENTAMENTO COM ARGAMASSA INDUSTRIALIZADA, INCLUSIVE REJUNTAMENTO</t>
  </si>
  <si>
    <t>SOLEIRA DE GRANITO, NA COR CINZA ANDORINHA, ESP. 2CM, ACABAMENTO POLIDO, ASSENTAMENTO COM ARGAMASSA INDUSTRIALIZADA, INCLUSIVE REJUNTAMENTO</t>
  </si>
  <si>
    <t>SINAPI-92398</t>
  </si>
  <si>
    <t>EXECUÇÃO DE PAVIMENTO EM PISO INTERTRAVADO, COM BLOCO RETANGULAR COR NATURAL DE 20 X 10 CM, ESPESSURA 8 CM. AF_10/2022</t>
  </si>
  <si>
    <t>COMP. 05</t>
  </si>
  <si>
    <t>COMP.05</t>
  </si>
  <si>
    <t>TELEFONIA E DADOS</t>
  </si>
  <si>
    <t>ED-49415</t>
  </si>
  <si>
    <t>ELETRODUTO FLEXÍVEL CORRUGADO, PVC, ANTI-CHAMA, DN32MM (1"), APLICADO EM ALVENARIA, INCLUSIVE RASGO</t>
  </si>
  <si>
    <t xml:space="preserve"> ED-50705</t>
  </si>
  <si>
    <t>ED-49149</t>
  </si>
  <si>
    <t>CAIXA DE PASSAGEM, DIMENSÃO (20X20)CM, EM CHAPA DE AÇO, TIPO DE EMBUTIR, COM ACABAMENTO EM PINTURA ELETROSTÁTICA E TAMPA CEGA, INCLUSIVE FIXAÇÃO EM ALVENARIA</t>
  </si>
  <si>
    <t>ED-15764</t>
  </si>
  <si>
    <t>CONJUNTO DE UMA (1) PLACA CEGA 4"X2", INCLUSIVE FORNECIMENTO, INSTALAÇÃO, SUPORTE E PLACA</t>
  </si>
  <si>
    <t>ED-17983</t>
  </si>
  <si>
    <t>CONJUNTO PARA CONDULETE DE 1" (25MM) COM UMA (1) TOMADA DE DADOS OU TELEFONIA (CONECTOR RJ45 CAT.6E OU RJ11) E PLACA DE UM (1) POSTO, INCLUSIVE FORNECIMENTO, INSTALAÇÃO, SUPORTE, MÓDULO E PLACA, EXCLUSIVE CONDULETE</t>
  </si>
  <si>
    <t>ED-9194</t>
  </si>
  <si>
    <t>CABO UTP COM QUATRO (4) PARES, CATEGORIA 6, CLASSIFICAÇÃO LSZH, COM ISOLAMENTO NÃO HALOGENADO E ANTICHAMA, EXCLUSIVE CONECTOR/PLUG MACHO RJ45 E CRIMPAGEM</t>
  </si>
  <si>
    <t>ED-5631</t>
  </si>
  <si>
    <t>MÓDULO PARA REDE (CONECTOR RJ45 CAT.6E), INCLUSIVE FORNECIMENTO E INSTALAÇÃO, EXCLUSIVE PLACA E SUPORTE</t>
  </si>
  <si>
    <t>ED-32151</t>
  </si>
  <si>
    <t>PATCH CORD RJ45/RJ45 UTP-4P METÁLICO CATEGORIA 6, PINAGEM T568A (VOZ), COMPRIMENTO 2 METROS</t>
  </si>
  <si>
    <t>ED-48364</t>
  </si>
  <si>
    <t>CABO COAXIAL RG-6, IMPEDÂNCIA 75 OHM, CONDUTOR EM FIO DE COBRE NU, BLINDAGEM TRANÇA FORMADA POR FIOS DE COBRE MALHA 90%</t>
  </si>
  <si>
    <t>SINAPI - 98305</t>
  </si>
  <si>
    <t>RACK FECHADO PARA SERVIDOR - FORNECIMENTO E INSTALAÇÃO. AF_11/2019</t>
  </si>
  <si>
    <t>ED-48373</t>
  </si>
  <si>
    <t>PATCH PANEL 24 POSIÇÕES, CATEGORIA COM GUIA TRASEIRO</t>
  </si>
  <si>
    <t>CJ.</t>
  </si>
  <si>
    <t>ED-48377</t>
  </si>
  <si>
    <t>ORGANIZADOR DE CABOS DE 1U PARA RACK 19"</t>
  </si>
  <si>
    <t>14.1</t>
  </si>
  <si>
    <t>14.2</t>
  </si>
  <si>
    <t>14.3</t>
  </si>
  <si>
    <t>14.4</t>
  </si>
  <si>
    <t>14.5</t>
  </si>
  <si>
    <t>14.6</t>
  </si>
  <si>
    <t>14.7</t>
  </si>
  <si>
    <t>14.8</t>
  </si>
  <si>
    <t>14.9</t>
  </si>
  <si>
    <t>14.10</t>
  </si>
  <si>
    <t>14.11</t>
  </si>
  <si>
    <t>14.12</t>
  </si>
  <si>
    <t>14.13</t>
  </si>
  <si>
    <t>14.14</t>
  </si>
  <si>
    <t>DADOS RETIRADOS DE PROJETO TELECOMUNICAÇÃO</t>
  </si>
  <si>
    <t>15.1</t>
  </si>
  <si>
    <t>15.2</t>
  </si>
  <si>
    <t>15.3</t>
  </si>
  <si>
    <t>15.4</t>
  </si>
  <si>
    <t>15.5</t>
  </si>
  <si>
    <t>15.6</t>
  </si>
  <si>
    <t>15.7</t>
  </si>
  <si>
    <t>15.8</t>
  </si>
  <si>
    <t>15.9</t>
  </si>
  <si>
    <t>SPDA</t>
  </si>
  <si>
    <t>ED-13940</t>
  </si>
  <si>
    <t>ED-13941</t>
  </si>
  <si>
    <t>CABO DE COBRE NU #35MM2 - 7 FIOSX2,50MM, PARA ELEMENTOS DE CAPTAÇÃO/ ANEL DE CINTAMENTO/ DESCIDA (SPDA), INCLUSIVE SUPORTE E ISOLADOR</t>
  </si>
  <si>
    <t>CABO DE COBRE NU #50MM2 - 7 FIOSX3,00MM, PARA ELEMENTOS DE CAPTAÇÃO/ ANEL DE CINTAMENTO/ DESCIDA (SPDA), INCLUSIVE SUPORTE E ISOLADOR</t>
  </si>
  <si>
    <t>BARRA CHATA DE ALUMÍNIO 7/8" X 1/8" X 3M</t>
  </si>
  <si>
    <t>ED-51019</t>
  </si>
  <si>
    <t>HASTE PARA ATERRAMENTO, ALTA CAMADA, 3/4" X 3M</t>
  </si>
  <si>
    <t>ED-51067</t>
  </si>
  <si>
    <t>ED-51088</t>
  </si>
  <si>
    <t>ED-51091</t>
  </si>
  <si>
    <t>CAIXA DE INSPEÇÃO EM PVC, DIÂMETRO DE 30CM, ALTURA DE 30CM, COM TAMPA EM FERRO FUNDIDO, EXCLUSIVE HASTE DE ATERRAMENTO, INCLUSIVE INSTALAÇÃO</t>
  </si>
  <si>
    <t>ED-51055</t>
  </si>
  <si>
    <t>TERMINAL A COMPRESSAO EM COBRE ESTANHADO 2 FUROS PARA CABO 50 MM2</t>
  </si>
  <si>
    <t>TERMINAL A COMPRESSAO EM COBRE ESTANHADO 2 FUROS PARA CABO 16 MM2</t>
  </si>
  <si>
    <t>ED-51054</t>
  </si>
  <si>
    <t>CAIXA DE EQUALIZAÇÃO PARA USO INTERNO E EXTERNO COM 9 TERMINAIS 380X320X175MM EM AÇO E ACABAMENTO EM EPOXI</t>
  </si>
  <si>
    <t>16.1</t>
  </si>
  <si>
    <t>DADOS RETIRADOS DE PROJETO SPDA</t>
  </si>
  <si>
    <t>COTAÇÃO 002</t>
  </si>
  <si>
    <t>COTAÇÃO 003</t>
  </si>
  <si>
    <t>PLAFON LED QUADRADO DE SOBREPOR 20X20 18W, 4000K</t>
  </si>
  <si>
    <t>PLAFON LED QUADRADO DE SOBREPOR 20X20 18W, 6500K</t>
  </si>
  <si>
    <t>AUGUSTO</t>
  </si>
  <si>
    <t>(32)2843-8684</t>
  </si>
  <si>
    <t>TALITA</t>
  </si>
  <si>
    <t xml:space="preserve"> SPOT LED PAINEL SOBREPOR AVANT 5W 3000K</t>
  </si>
  <si>
    <t>002</t>
  </si>
  <si>
    <t>003</t>
  </si>
  <si>
    <t>360,00 &gt; ÁREA RETIRADA DO AUTOCAD</t>
  </si>
  <si>
    <t>Vb20</t>
  </si>
  <si>
    <t>VIGA TRAVAMENTO FACHADA</t>
  </si>
  <si>
    <t>VF1, VF2, VF3</t>
  </si>
  <si>
    <t>CONCRETO FCK 25Mpa(m3) - (H=1,00 SAPATAS)</t>
  </si>
  <si>
    <t>FUNDAÇÃO E SUPERESTRUTURA</t>
  </si>
  <si>
    <t>OK</t>
  </si>
  <si>
    <t xml:space="preserve">SINAPI 96385 </t>
  </si>
  <si>
    <t>EXECUÇÃO E COMPACTAÇÃO DE CORPO DE ATERRO DE ATERRO (95% DE ENERGIA DO PROCTOR NORMAL) COM SOLO PREDOMINANTEMENTE ARGILOSO ESPESSURA 15 CM - EXCLUSIVE MATERIAL, ESCAVAÇÃO, CARGA E TRANSPORTE. AF_09/2024 (A SER FORNECIDO PELA PREFEITURA MUNICIPAL</t>
  </si>
  <si>
    <t>3.4</t>
  </si>
  <si>
    <t xml:space="preserve">ED-48232 </t>
  </si>
  <si>
    <t>ALVENARIA DE VEDAÇÃO COM TIJOLO CERÂMICO FURADO, ESP.14CM, PARA REVESTIMENTO, INCLUSIVE ARGAMASSA PARA ASSENTAMENTO</t>
  </si>
  <si>
    <t>ALTURA / LARGURA (M) - VIGAS</t>
  </si>
  <si>
    <t>TOTAL DE ALVENARIA VERGA E CONTRAVERGA</t>
  </si>
  <si>
    <t>VERGA E CONTRAVERGA ACIMA 150CM            (0,15X 0,15) M3)</t>
  </si>
  <si>
    <t>VERGA E CONTRAVERGA ATÉ 150CM            (0,15X 0,15)(M3)</t>
  </si>
  <si>
    <t>PLAFON LED QUADRADO DE SOBREPOR 20X20 18W, 4000K FORNECIMENTO E INSTALAÇÃO</t>
  </si>
  <si>
    <t>PLAFON LED QUADRADO DE SOBREPOR 20X20 18W, 6500K FORNECIMENTO E INSTALAÇÃO</t>
  </si>
  <si>
    <t xml:space="preserve"> SPOT LED PAINEL SOBREPOR AVANT 5W 3000K FORNECIMENTO E INSTALAÇÃO</t>
  </si>
  <si>
    <t>01/07/2024
01/10/2024</t>
  </si>
  <si>
    <t>ÁREA EXTERNA &gt; ÁREA RETIRADA DO AUTOCAD</t>
  </si>
  <si>
    <t>9.7</t>
  </si>
  <si>
    <t xml:space="preserve">ED-51139 </t>
  </si>
  <si>
    <t>GUIA DE MEIO-FIO, EM CONCRETO COM FCK 20MPA, PRÉ-MOLDADA, MFC-01 PADRÃO DER-MG, DIMENSÕES (12X16,7X35)CM, EXCLUSIVE SARJETA, INCLUSIVE ESCAVAÇÃO, APILOAMENTO E TRANSPORTE COM RETIRADA DO MATERIAL ESCAVADO (EM CAÇAMBA)</t>
  </si>
  <si>
    <t>0,50 + 5,20 + 4,00 + 4,75 &gt; ASSENTAMENTO REBAIXADO ENTRE ÁREA DO PISO INTERTRAVADO E PISO EM GRAMA</t>
  </si>
  <si>
    <t xml:space="preserve">ED-50764 </t>
  </si>
  <si>
    <t>REVESTIMENTO COM IMPERMEABILIZANTE EM DUAS (2) CAMADAS SOBREPOSTAS DE ARGAMASSA, TRAÇO 1:3 (CIMENTO E AREIA) COM ADITIVO IMPERMEABILIZANTE, ESP. 20MM, INCLUSIVE PINTURA COM DUAS (2) DEMÃOS COM EMULSÃO ASFÁLTICA</t>
  </si>
  <si>
    <t>9.8</t>
  </si>
  <si>
    <t>5.4</t>
  </si>
  <si>
    <t>ED-9904</t>
  </si>
  <si>
    <t xml:space="preserve">SINAPI 91299 </t>
  </si>
  <si>
    <t>PORTA DE MADEIRA, TIPO MEXICANA, MACIÇA (PESADA OU SUPERPESADA), 80X210CM, ESPESSURA DE 3,5CM, INCLUSO DOBRADIÇAS - FORNECIMENTO E INSTALAÇÃO. AF_12/2019</t>
  </si>
  <si>
    <t>BEIRAIS EXTERNOS</t>
  </si>
  <si>
    <t>CHAPISCO PAREDES (M2)</t>
  </si>
  <si>
    <t>EMBOÇO PAREDES (M2)</t>
  </si>
  <si>
    <t>REBOCO /     PINTURA PAREDES(M2)</t>
  </si>
  <si>
    <t xml:space="preserve">REVESTIMENTOS DE PAREDES </t>
  </si>
  <si>
    <t>TOTAL DE REVESTIMENTOS DE PAREDE</t>
  </si>
  <si>
    <t>REVESTIMENTOS DE TETO</t>
  </si>
  <si>
    <t>CHAPISCO  (M2)</t>
  </si>
  <si>
    <t xml:space="preserve"> PINTURA (M2)</t>
  </si>
  <si>
    <t>SALA DE ESTAR</t>
  </si>
  <si>
    <t>CIRCULAÇÃO</t>
  </si>
  <si>
    <t>AREA EXTERNA COBERTA</t>
  </si>
  <si>
    <t>TOTAL DE REVESTIMENTOS DE TETO</t>
  </si>
  <si>
    <t>JANELA EM ALUMÍNIO MÁXIM-AR, LINHA 25/ SUPREMA, ACABAMENTO ANODIZADO NATURAL, INCLUSIVE PERFIS, VIDRO LISO 4MM E INSTALAÇÃO, EXCLUSIVE FERRAGENS PARA MÓDULO DE JANELA DE ALUMÍNIO MÁXIM-AR</t>
  </si>
  <si>
    <t xml:space="preserve">ED-50288 </t>
  </si>
  <si>
    <t>CUBA EM AÇO INOXIDÁVEL DE SOBREPOR, AISI 304, APLICAÇÃO PARA TANQUE (630X515X260MM), ASSENTAMENTO EM BANCADA, INCLUSIVE VÁLVULA DE ESCOAMENTO DE METAL COM ACABAMENTO CROMADO, SIFÃO DE METAL TIPO COPO COM ACABAMENTO CROMADO, FORNECIMENTO E INSTALAÇÃO</t>
  </si>
  <si>
    <t>(1,50 x 0,60 x 1,00) + (1,50 x 0,60 x 1,00) + (0,60 X 0,60) &gt; SALA DE UTILIDADES + COPA + DML &gt; COMP X  LARG X QUANT.</t>
  </si>
  <si>
    <t xml:space="preserve">D-48182 </t>
  </si>
  <si>
    <t>DISPENSER EM PLÁSTICO PARA PAPEL TOALHA  2 OU 3 FOLHAS / PAPEL HIGIENICO</t>
  </si>
  <si>
    <t>11.17</t>
  </si>
  <si>
    <t xml:space="preserve">ED-48533 </t>
  </si>
  <si>
    <t>DIVISÓRIA EM GRANITO CINZA ANDORINHA, ESP. 3CM, INCLUSIVE INSTALAÇÃO, FERRAGENS EM LATÃO CROMADO E ACESSÓRIOS</t>
  </si>
  <si>
    <t>LIXAMENTO E  GESSO OU MASSA CORRIDA (M2)</t>
  </si>
  <si>
    <t>REVESTIMENTOS DE PAREDE INT./EXT. E TETO</t>
  </si>
  <si>
    <t>CHAPISCO PAREDES E TETOS &gt; DADOS RETIRADOS DE ANEXO V - ANEXO À MEMORIAL DE CÁLCULO</t>
  </si>
  <si>
    <t>REBOCO  (M2)</t>
  </si>
  <si>
    <t>EMBOÇO PAREDES &gt; DADOS RETIRADOS DE ANEXO V - ANEXO À MEMORIAL DE CÁLCULO</t>
  </si>
  <si>
    <t>REBOCO DAS PAREDES E TETOS &gt; DADOS RETIRADOS DE ANEXO V - ANEXO À MEMORIAL DE CÁLCULO</t>
  </si>
  <si>
    <t>16.2</t>
  </si>
  <si>
    <t>COMP. 06</t>
  </si>
  <si>
    <t xml:space="preserve">LETRA CAIXA EM AÇO ESCOVADO, DIMENSÃO 25CM, INCLUSIVE ILUMINAÇÃO EM LED FORNECIMENTO E INSTALAÇÃO </t>
  </si>
  <si>
    <t xml:space="preserve">ED-50633 </t>
  </si>
  <si>
    <t>PLACA DE CHAPA DE AÇO ESCOVADO, DIMENSÃO (25X12)CM, INCLUSIVE FIXAÇÃO</t>
  </si>
  <si>
    <t xml:space="preserve">ED-7830 </t>
  </si>
  <si>
    <t xml:space="preserve">SERRALHEIRO COM ENCARGOS COMPLEMENTARES </t>
  </si>
  <si>
    <t xml:space="preserve">ED-50367 </t>
  </si>
  <si>
    <t xml:space="preserve">ED-9075 </t>
  </si>
  <si>
    <t>FORNECIMENTO DE ANDAIME METÁLICO PARA FACHADA (LOCAÇÃO), INCLUSIVE PISO METÁLICO E SAPATAS, EXCLUSIVE MONTAGEM E DESMONTAGEM</t>
  </si>
  <si>
    <t xml:space="preserve">M2XMÊS </t>
  </si>
  <si>
    <t xml:space="preserve">ED-48246 </t>
  </si>
  <si>
    <t>MONTAGEM E DESMONTAGEM DE ANDAIME METÁLICO PARA FACHADA COM PISO METÁLICO, EXCLUSIVE FORNECIMENTO DO ANDAIME E RODAPÉ/GUARDA-CORPO EM MADEIRA</t>
  </si>
  <si>
    <t>COTAÇÃO 004</t>
  </si>
  <si>
    <t>FITA LED 12V 5W/ PEÇA COM 5M</t>
  </si>
  <si>
    <t>004</t>
  </si>
  <si>
    <t>COMP.06</t>
  </si>
  <si>
    <t>BASE DESCENTRALIZADA SAMU &gt; 23 UNID</t>
  </si>
  <si>
    <t>20,00 &gt; MURO LATERAL</t>
  </si>
  <si>
    <t xml:space="preserve">ED-50397 </t>
  </si>
  <si>
    <t>MURO DIVISÓRIO EM BLOCO DE CONCRETO COM ACABAMENTO REVESTIDO, ESP.15CM, ALTURA DE 220CM, COM SAPATA EM CONCRETO ARMADO , DIMENSÃO (50X55)CM, FORMA EM CONTRA BARRANCO, INCLUSIVE ESCAVAÇÃO COM TRANSPORTE E RETIRADA DO MATERIAL ESCAVADO (EM CAÇAMBA), PINGADEIRA EM CONCRETO, CHAPISCO/REBOCO COM ARGAMASSA (CIMENTO E AREIA) E PINTURA EM DUAS (2) DEMÃOS</t>
  </si>
  <si>
    <t>(1,60 + 5,20 + 2,45 + 1,65 + 2,30 + 2,85) x 1,00 &gt; COMP. x ALT. PAREDE DA FACHADA AONDE ENCOSTA NA GRAMA</t>
  </si>
  <si>
    <t xml:space="preserve">ED-49700 </t>
  </si>
  <si>
    <t>FECHADURA TIPO INTERNA (GORGE), GRAU DE SEGURANÇA MÉDIO, DISTÂNCIA DE BROCA 40MM, ACABAMENTO COM ESPELHO CROMADO E MAÇANETA MODELO ALAVANCA EM ZAMAC, INCLUSIVE ACESSÓRIOS PARA FIXAÇÃO E DUAS (2) CHAVES</t>
  </si>
  <si>
    <t>10.6</t>
  </si>
  <si>
    <t xml:space="preserve">ED-50282 </t>
  </si>
  <si>
    <t>LAVATÓRIO DE LOUÇA BRANCA COM COLUNA, TAMANHO MÉDIO, INCLUSIVE ACESSÓRIOS DE FIXAÇÃO, VÁLVULA DE ESCOAMENTO DE METAL COM ACABAMENTO CROMADO, SIFÃO DE METAL TIPO COPO COM ACABAMENTO CROMADO, FORNECIMENTO, INSTALAÇÃO E REJUNTAMENTO, EXCLUSIVE TORNEIRA E ENGATE FLEXÍVEL</t>
  </si>
  <si>
    <t>QUADRO DE DISTRIBUIÇÃO DE ENERGIA EM CHAPA DE AÇO GALVANIZADO, DE EMBUTIR, COM BARRAMENTO TRIFÁSICO, PARA 40 DISJUNTORES DIN 100A - FORNECIMENTO E INSTALAÇÃO. AF_10/2020</t>
  </si>
  <si>
    <t xml:space="preserve">ED-20582 </t>
  </si>
  <si>
    <t>ENTRADA DE ENERGIA AÉREA, TIPO C2, PADRÃO CEMIG, CARGA INSTALADA DE 15,1KVA ATÉ 23KVA, TRIFÁSICO, COM SAÍDA SUBTERRÂNEA, INCLUSIVE POSTE, CAIXA PARA MEDIDOR, DISJUNTOR, BARRAMENTO, ATERRAMENTO E ACESSÓRIOS</t>
  </si>
  <si>
    <t xml:space="preserve">SINAPI - 91849 </t>
  </si>
  <si>
    <t>ELETRODUTO FLEXÍVEL LISO, PEAD, DN 32 MM (1"), PARA CIRCUITOS TERMINAIS, INSTALADO EM LAJE - FORNECIMENTO E INSTALAÇÃO. AF_03/2023</t>
  </si>
  <si>
    <t xml:space="preserve">ED-48946 </t>
  </si>
  <si>
    <t>CABO DE COBRE FLEXÍVEL, CLASSE 5, ISOLAMENTO TIPO LSHF/ATOX, NÃO HALOGENADO, ANTICHAMA, TERMOPLÁSTICO, UNIPOLAR, SEÇÃO 1,5 MM2, 70°C, 450/750V</t>
  </si>
  <si>
    <t>7.31</t>
  </si>
  <si>
    <t xml:space="preserve">ED-9195 </t>
  </si>
  <si>
    <t>CONECTOR/PLUG MACHO RJ45, CATEGORIA 6, INCLUSIVE CAPA PROTETORA E CRIMPAGEM, EXCLUSIVE CERTIFICAÇÃO</t>
  </si>
  <si>
    <t>14.15</t>
  </si>
  <si>
    <t>ED-9195</t>
  </si>
  <si>
    <t xml:space="preserve">ED-15763 </t>
  </si>
  <si>
    <t>SWITCH 10/100 16 PORTAS POE, PADRÃO IEEE 802.3AF, IEEE 802.3AT, SUPORTA ATÉ 30W POE POR PORTA, SUPORTA ATÉ A POTENCIA POE DE 130W NO TOTAL, CERTIFICAÇÃO CE, ROHS, FCC, UL. REFERENCIA: HIKIVISION DS-3E0318P-E/M(B)</t>
  </si>
  <si>
    <t>CAMERA IP, BULLET 2MP, IR, LENTE FIXA 2,8MM, IP 67 (RESISTENTE A POEIRA E AGUA) SENSOR 1/2.9" PROGRESSIVE SCAN CMOS, COR: 0.01 LUX @ (F2.2, AGC ON),B/W: 0 LUX COM IR; TEMPO DO OBTURADOR: 1/3 S TO 1/100,000 S, LUZ IR SUPLEMENTAR ATÉ 30M (COMPRIMENTO DE ONDA IR 850NM), PORTA 1 RJ45 10/100, ALIMENTAÇÃO POE: IEEE 802.3AF, CLASS 3, MAX. 6.5 W, CONDIÇÃO DE OPERAÇÃO DE TEMPERATURA -30 °C TO 60 °C E 95% DE HUMIDADE DO AR OU MENOS. REFERÊNCIA: HIKIVISION DS-2CD1021G0-I(2,8MM)</t>
  </si>
  <si>
    <t>NVR 16 CANAIS IP, SUPORTE AOS PROTOCOLOS ONVIF (PROFILE S/G); SDK; ISAPI/ H.265+/H.265/H.264+/H.264, COM ANALÍTICO INTELIGENTE, DETECÇÃO FACIAL, SENSOR DE MOVIMENTO, PROTEÇÃO DE PERÍMETRO, SUPORTE PARA GRAVAÇÃO DE VÍDEO E AUDIO, CERTIFICAÇÃO FCC PART 15, ANSI C63.4-2014, CE, FCC, ROHS. COM 1 HD DE 6TB WD PURPLE,  REFERÊNCIA: HIKIVISION DS-7616NI-Q1(C)</t>
  </si>
  <si>
    <t>ACCESS POINT DE PAREDE, MU-MIMO, WIRELESS AC1200, ALIMENTADO VIA POE, WI-FI DUAL BAND: SIMULTÂNEO 300 MBPS EM 2.4 GHZ E 867 MBPS EM 5 GHZ TOTAL 1167 MBPS. REF.:EAP225-WALL TP LINK</t>
  </si>
  <si>
    <t>14.16</t>
  </si>
  <si>
    <t>14.17</t>
  </si>
  <si>
    <t>14.18</t>
  </si>
  <si>
    <t>14.19</t>
  </si>
  <si>
    <t>COMP. 07</t>
  </si>
  <si>
    <t>COMP. 08</t>
  </si>
  <si>
    <t>COMP. 09</t>
  </si>
  <si>
    <t>COMP. 10</t>
  </si>
  <si>
    <t xml:space="preserve">SWITCH 10/100 16 PORTAS POE, PADRÃO IEEE 802.3AF, IEEE 802.3AT, SUPORTA ATÉ 30W POE POR PORTA, SUPORTA ATÉ A POTENCIA POE DE 130W NO TOTAL, CERTIFICAÇÃO CE, ROHS, FCC, UL. REFERENCIA: HIKIVISION DS-3E0318P-E/M(B) FORNECIMENTO E INSTALAÇÃO </t>
  </si>
  <si>
    <t>01/07/2024
01/11/2024</t>
  </si>
  <si>
    <t xml:space="preserve">CAMERA IP, BULLET 2MP, IR, LENTE FIXA 2,8MM, IP 67 (RESISTENTE A POEIRA E AGUA) SENSOR 1/2.9" PROGRESSIVE SCAN CMOS, COR: 0.01 LUX @ (F2.2, AGC ON),B/W: 0 LUX COM IR; TEMPO DO OBTURADOR: 1/3 S TO 1/100,000 S, LUZ IR SUPLEMENTAR ATÉ 30M (COMPRIMENTO DE ONDA IR 850NM), PORTA 1 RJ45 10/100, ALIMENTAÇÃO POE: IEEE 802.3AF, CLASS 3, MAX. 6.5 W, CONDIÇÃO DE OPERAÇÃO DE TEMPERATURA -30 °C TO 60 °C E 95% DE HUMIDADE DO AR OU MENOS. REFERÊNCIA: HIKIVISION DS-2CD1021G0-I(2,8MM)FORNECIMENTO E INSTALAÇÃO </t>
  </si>
  <si>
    <t xml:space="preserve">NVR 16 CANAIS IP, SUPORTE AOS PROTOCOLOS ONVIF (PROFILE S/G); SDK; ISAPI/ H.265+/H.265/H.264+/H.264, COM ANALÍTICO INTELIGENTE, DETECÇÃO FACIAL, SENSOR DE MOVIMENTO, PROTEÇÃO DE PERÍMETRO, SUPORTE PARA GRAVAÇÃO DE VÍDEO E AUDIO, CERTIFICAÇÃO FCC PART 15, ANSI C63.4-2014, CE, FCC, ROHS. COM 1 HD DE 6TB WD PURPLE,  REFERÊNCIA: HIKIVISION DS-7616NI-Q1(C)FORNECIMENTO E INSTALAÇÃO </t>
  </si>
  <si>
    <t>COTAÇÃO 005</t>
  </si>
  <si>
    <t>COTAÇÃO 006</t>
  </si>
  <si>
    <t>COTAÇÃO 007</t>
  </si>
  <si>
    <t>COTAÇÃO 008</t>
  </si>
  <si>
    <t xml:space="preserve">ACCESS POINT DE PAREDE, MU-MIMO, WIRELESS AC1200, ALIMENTADO VIA POE, WI-FI DUAL BAND: SIMULTÂNEO 300 MBPS EM 2.4 GHZ E 867 MBPS EM 5 GHZ TOTAL 1167 MBPS. REF.:EAP225-WALL TP LINK FORNECIMENTO E INSTALAÇÃO </t>
  </si>
  <si>
    <t>005</t>
  </si>
  <si>
    <t>TEKNOLINK SJC</t>
  </si>
  <si>
    <t>51.951.304/0001-75</t>
  </si>
  <si>
    <t>(12) 99207-6157</t>
  </si>
  <si>
    <t>Caroline Gomes</t>
  </si>
  <si>
    <t>(14) 99756-2028</t>
  </si>
  <si>
    <t>Enitec Enitec Tecnologia LTDA</t>
  </si>
  <si>
    <t>RODRIGO ALVES</t>
  </si>
  <si>
    <t>24.224.119/0001-06</t>
  </si>
  <si>
    <t>006</t>
  </si>
  <si>
    <t>007</t>
  </si>
  <si>
    <t>008</t>
  </si>
  <si>
    <t xml:space="preserve">ED-50366 </t>
  </si>
  <si>
    <t>AJUDANTE ESPECIALIZADO COM ENCARGOS COMPLEMENTARES</t>
  </si>
  <si>
    <t>AZTech Hardware</t>
  </si>
  <si>
    <t>(16) 3262-2225</t>
  </si>
  <si>
    <t>06.062.128/0001-66</t>
  </si>
  <si>
    <t>RAMON</t>
  </si>
  <si>
    <t>KIMURA &amp; GARCIA LTDA ME</t>
  </si>
  <si>
    <t>11.162.692/0001-90</t>
  </si>
  <si>
    <t>(67) 3427-0064</t>
  </si>
  <si>
    <t>JOSÉ</t>
  </si>
  <si>
    <t>KATARINA</t>
  </si>
  <si>
    <t>30.184.999/0001-37</t>
  </si>
  <si>
    <t>(43) 3305-7707</t>
  </si>
  <si>
    <t>CASA DO PROVEDOR</t>
  </si>
  <si>
    <t>PAULO MARCOS</t>
  </si>
  <si>
    <t>17.354.683/0001-88</t>
  </si>
  <si>
    <t>(43) 3024-5144</t>
  </si>
  <si>
    <t>UPPERSEG</t>
  </si>
  <si>
    <t>11.18</t>
  </si>
  <si>
    <t>COTAÇÃO 009</t>
  </si>
  <si>
    <t>GURGELMIX MAQUINAS E FERRAMENTAS S.A</t>
  </si>
  <si>
    <t>29.302.348/0001-15</t>
  </si>
  <si>
    <t>(11) 35089979</t>
  </si>
  <si>
    <t>POLIANA</t>
  </si>
  <si>
    <t>YURI</t>
  </si>
  <si>
    <t>08.858.579/0015-35</t>
  </si>
  <si>
    <t>(41) 3314-1853</t>
  </si>
  <si>
    <t>LUIZ HENRIQUE</t>
  </si>
  <si>
    <t>(47)32376251</t>
  </si>
  <si>
    <t>15.052.165/0001-84</t>
  </si>
  <si>
    <t>LOVA COMÉRCIO DE MÁQUINAS E EQUIPAMENTOS LTDA</t>
  </si>
  <si>
    <t>SUPER-PRO COMÉRCIO DE EQUIPAMENTOS E FERRAMENTAS - FERRAMENTAS KENNEDY</t>
  </si>
  <si>
    <t>COMP. 11</t>
  </si>
  <si>
    <t>009</t>
  </si>
  <si>
    <r>
      <t>REGIÃO/MÊS DE REFERÊNCIA: SEINFRA REGIÃO LESTE JULHO/2024 E SINAPI SETEMBRO/2024</t>
    </r>
    <r>
      <rPr>
        <b/>
        <sz val="10"/>
        <rFont val="Calibri"/>
        <family val="2"/>
      </rPr>
      <t xml:space="preserve"> PREÇO DE CUSTO COM DESONERAÇÃO FISCAL - LEI 12.546/2011 e 12.844/2013</t>
    </r>
  </si>
  <si>
    <t xml:space="preserve">SINAPI-89746 </t>
  </si>
  <si>
    <t>JOELHO 45 GRAUS, PVC, SERIE NORMAL, ESGOTO PREDIAL, DN 100 MM, JUNTA ELÁSTICA, FORNECIDO E INSTALADO EM RAMAL DE DESCARGA OU RAMAL DE ESGOTO SANITÁRIO. AF_08/2022</t>
  </si>
  <si>
    <t>6.25</t>
  </si>
  <si>
    <t>SINAPI-89733</t>
  </si>
  <si>
    <t xml:space="preserve">SINAPI-102710 </t>
  </si>
  <si>
    <t>JUNÇÃO SIMPLES DE PVC, 45 GRAUS, SÉRIE NORMAL, PARA ESGOTO PREDIAL, DN 100 MM, INSTALADA EM DRENO - FORNECIMENTO E INSTALAÇÃO. AF_07/2021</t>
  </si>
  <si>
    <t>SINAPI-104346</t>
  </si>
  <si>
    <t xml:space="preserve">SINAPI-89796 </t>
  </si>
  <si>
    <t>TE, PVC, SERIE NORMAL, ESGOTO PREDIAL, DN 100 X 100 MM, JUNTA ELÁSTICA , FORNECIDO E INSTALADO EM RAMAL DE DESCARGA OU RAMAL DE ESGOTO SANITÁRIO. AF_08/2022</t>
  </si>
  <si>
    <t>6.26</t>
  </si>
  <si>
    <t>6.27</t>
  </si>
  <si>
    <t xml:space="preserve">SINAPI-89986 </t>
  </si>
  <si>
    <t>REGISTRO DE GAVETA BRUTO, LATÃO, ROSCÁVEL, 1/2", COM ACABAMENTO E CANOPLA CROMADOS - FORNECIMENTO E INSTALAÇÃO. AF_08/2021</t>
  </si>
  <si>
    <t xml:space="preserve">SINAPI-89984 </t>
  </si>
  <si>
    <t>REGISTRO DE PRESSÃO BRUTO, LATÃO, ROSCÁVEL, 1/2", COM ACABAMENTO E CANOPLA CROMADOS - FORNECIMENTO E INSTALAÇÃO. AF_08/2021</t>
  </si>
  <si>
    <t xml:space="preserve">ED-14737 </t>
  </si>
  <si>
    <t>CANALETA PARA DRENAGEM, EM CONCRETO COM FCK 15MPA, MOLDADA IN LOCO, SEÇÃO 30X30CM, FORMA EM MADEIRA, COM GRELHA EM BARRA REDONDA DN 12,5MM (1/2") E REQUADRO EM BARRA REDONDA DN 20MM (3/4") COM UMA (1) DEMÃO DE FUNDO ANTICORROSIVO E DUAS (2) DEMÃOS DE PINTURA ESMALTE, INCLUSIVE ESCAVAÇÃO, REATERRO COM TRANSPORTE E RETIRADA DO MATERIAL ESCAVADO (EM CAÇAMBA</t>
  </si>
  <si>
    <t>6.28</t>
  </si>
  <si>
    <t>6.29</t>
  </si>
  <si>
    <t>BANHEIRO 01</t>
  </si>
  <si>
    <t>BANHEIRO 02</t>
  </si>
  <si>
    <t>1,20 x 0,60</t>
  </si>
  <si>
    <t>1,20 x 0,50</t>
  </si>
  <si>
    <t>TANQUE EXTERNO</t>
  </si>
  <si>
    <t>REBAIXO DE GESSO COM MASSA CORRIDA (M2)</t>
  </si>
  <si>
    <t xml:space="preserve">J1 (1,20 x 0,20 x 2,00) + J2 (0,80 x 0,20 x 3,00) + J3 (1,20 x 0,20 x 3,00) + J4 (1,20 x 0,20 x 1,00) &gt; COMP. X LARG. X QUANT. - TODAS AS JANELAS </t>
  </si>
  <si>
    <t>1,2 x 0,60</t>
  </si>
  <si>
    <t>1,20 x 1,20</t>
  </si>
  <si>
    <t>0,80 x 0,60</t>
  </si>
  <si>
    <t xml:space="preserve">0,80 x 0,20 x 8,00 &gt; COMP. X LARG. X QUANT. </t>
  </si>
  <si>
    <t>5,00 - P2</t>
  </si>
  <si>
    <t xml:space="preserve">J1 (2,00) + J2 (3,00) + J3 (3,00) + J4 (1,00)  &gt; QUANT. - TODAS AS JANELAS </t>
  </si>
  <si>
    <t>J1 (1,20 x 0,60 x 2,00) + J2 (0,80 x 0,60 x 3,00) + J3 (1,20 x 1,20 x 3,00) + J4 (1,20 x 1,00 x 1,00) &gt; COMP. X ALT. X QUANT.</t>
  </si>
  <si>
    <t>1,00 BANHEIRO 01 + 1,00 BANHEIRO 02</t>
  </si>
  <si>
    <t>(1,00 x 2,20) BANHEIRO 01 + (1,00 x 2,20) BANHEIRO 02</t>
  </si>
  <si>
    <t>1,00 DML + 1,00 TANQUE EXTERNO + 1,00 ÁREA EXTERNA BAIXA</t>
  </si>
  <si>
    <t>2,00 BANHEIRO 01 +2,00 BANHEIRO 02</t>
  </si>
  <si>
    <t>1,00 ÁREA DE HIGIENIZAÇÃO</t>
  </si>
  <si>
    <t>B1 - B28</t>
  </si>
  <si>
    <t>B29</t>
  </si>
  <si>
    <t>1,00 VASO SANITÁRIO BANHEIRO 01  + 1,00 VASO SANITÁRIO BANHEIRO 02</t>
  </si>
  <si>
    <t>(2,00 PORTAS) + (2,00 LAVATORIO) BANHEIRO 01 + (2,00 PORTAS) + (2,00 LAVATORIO) BANHEIRO 02</t>
  </si>
  <si>
    <t>10.7</t>
  </si>
  <si>
    <t xml:space="preserve">ED-50983 </t>
  </si>
  <si>
    <t>PORTÃO DE GRADE EM BARRA REDONDA 1/2" E REQUADRO EM BARRA CHATA 1.1/4"X3/16", EXCLUSIVE CADEADO E PINTURA</t>
  </si>
  <si>
    <t xml:space="preserve">ED-50951 </t>
  </si>
  <si>
    <t>FORNECIMENTO DE GRADE FIXA DE FERRO, INCLUSIVE ASSENTAMENTO E ACESSÓRIOS</t>
  </si>
  <si>
    <t>10.8</t>
  </si>
  <si>
    <t>10.9</t>
  </si>
  <si>
    <t xml:space="preserve">ED-32095 </t>
  </si>
  <si>
    <t>GUARDA-CORPO, ALTURA 110CM, EM TUBO GALVANIZADO, COM COSTURA, DIÂMETRO 2", ESP. 3MM, GRADIL COM DIVISÃO HORIZONTAL EM TUBO GALVANIZADO, COM COSTURA, DIÂMETRO 1", ESP. 3MM, EXCLUSIVE PINTURA</t>
  </si>
  <si>
    <t>1,50 x 1,30 &gt; COBERTURA SALA DE GASES</t>
  </si>
  <si>
    <t>1,50 x 1,50 &gt; SALA DE GASES</t>
  </si>
  <si>
    <t>{(18,00 x 10,5) x [(1,30 + 0,50) / 2]} + {(7,50 x12,45) x [(2,50 + 1,30) / 2]} &gt; ÁREA RETIRADA DO AUTOCAD X ESP.</t>
  </si>
  <si>
    <t>(18,00 x 10,50) + (7,50 x 12,45) &gt; ÁREA RETIRADA DO AUTOCAD X ESP.</t>
  </si>
  <si>
    <t xml:space="preserve">(4,46 SALA DE UTILIDADES + 2,30 DML + 4,65 BANHEIRO 01 + 4,65 BANHEIRO 02  + 8,22 REPOUSO 01  + 8,22 REPOUSO 02 + 4,45 CIRCULAÇÃO + 17,10 SALA DE ESTAR + 3,52 COPA + 5,04 ALMOXARIFADO/CAF) + (5,00% DA ÁREA TOTAL PARA RODAPÉ) + (3,80 x 6,60) + ((0 + 0,30)/2) x 7,00 x 2,00 x 2,00) + (0,15 x 7,00 x 2,00) + (0,30 x 3,80 x 2,00) + (0,15 x 3,80 x 1,00) ÁREA DE HIGIENIZAÇÃO </t>
  </si>
  <si>
    <t>9.9</t>
  </si>
  <si>
    <t xml:space="preserve">ED-50621 </t>
  </si>
  <si>
    <t>SÓCULO COM ENCHIMENTO EM TIJOLOS MACIÇOS, ALTURA DE10CM À 12CM, INCLUSIVE ACABAMENTO EM REVESTIMENTO DE ARGAMASSA, ESP. 20MM, COM APLICAÇÃO MANUAL</t>
  </si>
  <si>
    <t>1,95 &gt; SALA DE GASES</t>
  </si>
  <si>
    <t>1,50 + 2,55 + 2,70 + 2,95 + 3,15 + 0,30 + 3,50 + 3,50 + 0,30 + 3,15 + 4,85 + 0,95 &gt; GUARDA CORPO EM TORNO DA ÁREA ABERTA</t>
  </si>
  <si>
    <t>ÁREA DE HIGIENIZAÇÃO</t>
  </si>
  <si>
    <t>LARGURA / ALTURA (M)</t>
  </si>
  <si>
    <t>Vb21</t>
  </si>
  <si>
    <t>Vb22</t>
  </si>
  <si>
    <t>Vb23</t>
  </si>
  <si>
    <t>Vb24</t>
  </si>
  <si>
    <t>P1 - P08</t>
  </si>
  <si>
    <t>P09 - P14</t>
  </si>
  <si>
    <t>P15 - P24</t>
  </si>
  <si>
    <t>P25 - P28</t>
  </si>
  <si>
    <t>P29 - P31</t>
  </si>
  <si>
    <t>VOL. ESCAVAÇÃO - VOL. PEÇAS DE FUNDAÇÃO = 
35,79 - (11,74+7,31) SAPATAS E VIGAS BALDRAMES</t>
  </si>
  <si>
    <t>LAJE RAMPA (FERRAGEM EXTRA)</t>
  </si>
  <si>
    <t>L07 e L08</t>
  </si>
  <si>
    <t>1,95 GASES + 4,46 SALA DE UTILIDADES + 2,30 DML + 4,65 BANHEIRO 01 + 4,65 BANHEIRO 02 + 8,22 REPOUSO 01  + 8,22 REPOUSO 02 + 4,45 CIRCULAÇÃO + 17,10 SALA DE ESTAR + 3,52 COPA + 5,04 ALMOXARIFADO/CAF + 58,33 ÁREA EXTERNA COBERTA DESCONTANDO A ÁREA DA LAJE NIVEL 0,80M</t>
  </si>
  <si>
    <t>113,90 - 22,86 &gt; ÁREA EXTERNA COBERTA E DESCOBERTA DESCONTANDO A ÁREA  DA RAMPA A RECEBER REVESTIMENTO CERÃMICO</t>
  </si>
  <si>
    <t xml:space="preserve">0,80 x 2,10 x 5,00 x 2,00 &gt; COMP. X ALT. X QUANT. X LADOS </t>
  </si>
  <si>
    <t>8,36 / 0,40 &gt; (VOLUME DE CONCRETO VIGAS / ALTURA VIGAS) = ÁREA DAS VIGAS DE TOPO + 
7,56 / 0,30 &gt; (VOLUME DE CONCRETO PILARES P1 A P28 / LARGURA PILARES) = ÁREA DOS PILARES + 
178,09 &gt; ÁREA DA LAJE NIVEL 3.00M + 
3,23 &gt; L26 LAJE NIVEL 4,50M</t>
  </si>
  <si>
    <t>12,50 + 0,85 + 2,45 + 0,15 + 6,00 + 5,00 + 3,40 + 5,00 + 3,80 + 7,45 + 14,15  &gt; PERIMETRO DO BEIRAL + 
2,45 + 1,65 + 2,45 + 1,65  &gt; PERÍMETRO BEIRAL CAIXA D'ÁGUA</t>
  </si>
  <si>
    <t>OBRA: CONSTRUÇÃO DA SEDE  DO SERVIÇO DE ATENDIMENTO MOVEL - SAMU</t>
  </si>
  <si>
    <t xml:space="preserve">ED-50162 </t>
  </si>
  <si>
    <t>PORTÃO PARA TAPUME FIXO DE PROTEÇÃO COM FECHAMENTO DE OBRA EM CHAPA DE COMPENSADO, ESP. 12MM, COM MÓDULO NA DIMENSÃO DE (110X220)CM, INCLUSIVE FERRAGENS E PINTURA LÁTEX (PVA) COM DUAS (2) DEMÃOS</t>
  </si>
  <si>
    <t>1.4</t>
  </si>
  <si>
    <t>1,10 x 2,20 &gt; COMP. x ALT.</t>
  </si>
  <si>
    <t>BANCADA C/EXPURGO INOX 600 X 500 X 300</t>
  </si>
  <si>
    <t>SIFÃO PARA EXPURGO INOX</t>
  </si>
  <si>
    <t xml:space="preserve">COTAÇÃO </t>
  </si>
  <si>
    <t>EXPURGO HOSPITALAR EM AÇO INOX. INCLUSIVE SIFÃO EM AÇO INOX FORNECIMENTO E INSTALAÇÃO</t>
  </si>
  <si>
    <t>BANCADA COM 01 EXPURGO Ø 300MM 500X500X400
Em aço inoxidável. Acabamento Polido. Com frontal nas partes tangentes a parede, bordas de contenção de líquido e base inferior concretada.</t>
  </si>
  <si>
    <t>PROJINOX INDÚSTRIA E COMÉRCIO EIRELI - EPP</t>
  </si>
  <si>
    <t>(11) 2480 3461</t>
  </si>
  <si>
    <t>03.872.011/0001-50</t>
  </si>
  <si>
    <t>OFICINA DO INOX INDUSTRIA E COMERCIO LTDA ME</t>
  </si>
  <si>
    <t>11.003.061/0001-29</t>
  </si>
  <si>
    <t>(11) 2229-2323</t>
  </si>
  <si>
    <t>REGIANI</t>
  </si>
  <si>
    <t>39.139.985/0001-76</t>
  </si>
  <si>
    <t>PALMETAL METALURGICA AS</t>
  </si>
  <si>
    <t>(21) 24816453</t>
  </si>
  <si>
    <t>JOÃO</t>
  </si>
  <si>
    <t>COTAÇÃO 010</t>
  </si>
  <si>
    <t>LIVIA SOUSA</t>
  </si>
  <si>
    <t>010</t>
  </si>
  <si>
    <t>11.19</t>
  </si>
  <si>
    <t>1,00 &gt; SALA DE UTILIDADES</t>
  </si>
  <si>
    <t>2,00 VASO SANITÁRIO BANHEIRO 01  + 2,00 VASO SANITÁRIO BANHEIRO 02</t>
  </si>
  <si>
    <t>COMP. 12</t>
  </si>
  <si>
    <t>COMP.07</t>
  </si>
  <si>
    <t>LAVADORA INDUSTRIAL DE ALTA PRESSÃO LR-20 2CV MOTOR WEG MONO 450 LIBRAS COM CARRINHO FORNECIMENTO E INSTALAÇÃO</t>
  </si>
  <si>
    <t>LAVADORA INDUSTRIAL DE ALTA PRESSÃO EL 4000V2 A MONO 127/220V COM CARRINHO</t>
  </si>
  <si>
    <t xml:space="preserve">ED-49191 </t>
  </si>
  <si>
    <t>CAIXA DE LIGAÇÃO/PASSAGEM EM PVC RÍGIDO PARA ELETRODUTO, OCTOGONAL COM ANEL DESLIZANTE, DIMENSÕES 3"X3", EMBUTIDA EM LAJE - FORNECIMENTO E INSTALAÇÃO</t>
  </si>
  <si>
    <t>7.32</t>
  </si>
  <si>
    <t>COTAÇÃO 011</t>
  </si>
  <si>
    <t>COTAÇÃO 012</t>
  </si>
  <si>
    <t>ESPETO LED PARA JARDIM 10W, 3000K (BRANCO QUENTE)</t>
  </si>
  <si>
    <t>ESPETO LED PARA JARDIM 10W, 3000K (BRANCO QUENTE) FORNECIMENTO E INSTALAÇÃO</t>
  </si>
  <si>
    <t>7.33</t>
  </si>
  <si>
    <t>011</t>
  </si>
  <si>
    <t>012</t>
  </si>
  <si>
    <t>COMP.08</t>
  </si>
  <si>
    <t>COMP. 13</t>
  </si>
  <si>
    <t xml:space="preserve">ED-15780 </t>
  </si>
  <si>
    <t xml:space="preserve">ED-15743 </t>
  </si>
  <si>
    <t>CONJUNTO DE UM (1) INTERRUPTOR SIMPLES, CORRENTE 10A, TENSÃO 250V, (10A-250V) E UM (1) INTERRUPTOR PARALELO, CORRENTE 10A, TENSÃO 250V, (10A-250V), COM PLACA 4"X2" DE DOIS (2) POSTOS, INCLUSIVE FORNECIMENTO, INSTALAÇÃO, SUPORTE, MÓDULO E PLACA</t>
  </si>
  <si>
    <t xml:space="preserve">ED-48701 </t>
  </si>
  <si>
    <t>TERMINAL PARA ATERRAMENTO E CONEXÃO DE QUADRO/PAINEL ELÉTRICO, TIPO PARAFUSO FENDIDO DE APERTO, EM LATÃO ESTANHADO, DIÂMETRO DERIVAÇÃO 2,5MM2-25MM2, INCLUSIVE INSTALAÇÃO</t>
  </si>
  <si>
    <t>15.10</t>
  </si>
  <si>
    <t xml:space="preserve">MATED-4374 </t>
  </si>
  <si>
    <t>PARAFUSO (ROSCA: SOBERBA|CABEÇA SEXTAVADA|MATERAL: AÇO|COMPRIMENTO: 50MM| DIÂMETRO: 4,8MM [3/16"])</t>
  </si>
  <si>
    <t xml:space="preserve">MATED-34311 </t>
  </si>
  <si>
    <t>BUCHA DE NYLON (DIÂMETRO NOMINAL: 10MM|COMPRIMENTO DA BUCHA: 50MM| DIÂMETRO DO PARAFUSO: 6-8MM)</t>
  </si>
  <si>
    <t>15.11</t>
  </si>
  <si>
    <t>15.12</t>
  </si>
  <si>
    <t xml:space="preserve">ED-51071 </t>
  </si>
  <si>
    <t>PRESILHA PARA CABO DE COBRE SEÇÃO TRANSVERSAL 35 MM2</t>
  </si>
  <si>
    <t xml:space="preserve">ED-51072 - </t>
  </si>
  <si>
    <t>PRESILHA PARA CABO DE ALUMÍNIO SEÇÃO TRANSVERSAL INFERIOR OU IGUAL A 70 MM2</t>
  </si>
  <si>
    <t xml:space="preserve">ED-51070 </t>
  </si>
  <si>
    <t>PRESILHA PARA CABO DE COBRE SEÇÃO TRANSVERSAL 16 MM2</t>
  </si>
  <si>
    <t>15.13</t>
  </si>
  <si>
    <t>15.14</t>
  </si>
  <si>
    <t>15.15</t>
  </si>
  <si>
    <t xml:space="preserve">MATED-8151 </t>
  </si>
  <si>
    <t>ADESIVO/SELANTE ELÁSTICO MONOCOMPONENTE (APLICAÇÃO: USO GERAL|BASE: POLIURETANO|EMBALAGEM: 310ML|DENSIDADE*: 1,35G/ CM3)* VALORES REFERENCIAIS APROXIMADOS</t>
  </si>
  <si>
    <t>15.16</t>
  </si>
  <si>
    <t>12,00 + 11,00 &gt; DADOS RETIRADOS DE PROJETO ELÉTRICO</t>
  </si>
  <si>
    <t>14.20</t>
  </si>
  <si>
    <t>AR CONDICIONADO SPLIT INVERTER CAPACIDADE DE REFRIGERAÇÃO 9.000BTU'S, TIPO CICLO FRIO, CONTROLE REMOTO, TENSÃO/VOLTAGEM 220V FORNECIMENTO E INSTALAÇÃO</t>
  </si>
  <si>
    <t>013</t>
  </si>
  <si>
    <t>014</t>
  </si>
  <si>
    <t>015</t>
  </si>
  <si>
    <t>PROJETOR LED 50W, 6000K/6500k, 3750lm, IP65 FORNECIMENTO E INSTALAÇÃO</t>
  </si>
  <si>
    <t>PROJETOR LED 20W, 6000K/6500k, 1500lm, IP65 FORNECIMENTO E INSTALAÇÃO</t>
  </si>
  <si>
    <t>7.34</t>
  </si>
  <si>
    <t>7.35</t>
  </si>
  <si>
    <t xml:space="preserve">PROJETOR LED 50W, 6000K/6500k, 3750lm, IP65 </t>
  </si>
  <si>
    <t>PROJETOR LED 20W, 6000K/6500k, 1500lm, IP65</t>
  </si>
  <si>
    <t xml:space="preserve">ED-50362 </t>
  </si>
  <si>
    <t>AJUDANTE DE ELETRICISTA COM ENCARGOS COMPLEMENTARES</t>
  </si>
  <si>
    <t>AR CONDICIONADO SPLIT INVERTER CAPACIDADE DE REFRIGERAÇÃO 9.000BTU'S, TIPO CICLO FRIO, CONTROLE REMOTO, TENSÃO/VOLTAGEM 220V</t>
  </si>
  <si>
    <t>7.36</t>
  </si>
  <si>
    <t>COTAÇÃO 013</t>
  </si>
  <si>
    <t>COTAÇÃO 014</t>
  </si>
  <si>
    <t>COTAÇÃO 015</t>
  </si>
  <si>
    <t>COMP. 14</t>
  </si>
  <si>
    <t>COMP. 15</t>
  </si>
  <si>
    <t>COMP. 16</t>
  </si>
  <si>
    <t>COMP.09</t>
  </si>
  <si>
    <t>COMP.10</t>
  </si>
  <si>
    <t>COMP.11</t>
  </si>
  <si>
    <t xml:space="preserve">ED-50096 </t>
  </si>
  <si>
    <t>FORNECIMENTO E ASSENTAMENTO DE TUBO DE COBRE CLASSE
"E" SEM COSTURA SOLDÁVEL, INCLUSIVE CONEXÕES E SUPORTES, D = 15 MM (1/2")</t>
  </si>
  <si>
    <t xml:space="preserve">ED-50707 </t>
  </si>
  <si>
    <t xml:space="preserve">KIT PARA INSTALAÇÃO DE AR CONDICIONADO SPLIT INVERTER CAPACIDADE DE REFRIGERAÇÃO 9.000BTU'S A 12.000BTUS </t>
  </si>
  <si>
    <t>COTAÇÃO 016</t>
  </si>
  <si>
    <t>PONTO PARA AR CONDICIONADO SPLIT INVERTER CAPACIDADE DE REFRIGERAÇÃO 9.000BTU'S A 12.000BTU'S</t>
  </si>
  <si>
    <t>COMP. 17</t>
  </si>
  <si>
    <t>016</t>
  </si>
  <si>
    <t>7.37</t>
  </si>
  <si>
    <t>COMP.12</t>
  </si>
  <si>
    <t>COMP.17</t>
  </si>
  <si>
    <t xml:space="preserve">MATED-8341 </t>
  </si>
  <si>
    <t xml:space="preserve">SEINFRA INSUMO </t>
  </si>
  <si>
    <t>ESPUMA EXPANSIVA DE POLIURETANO MONOCOMPONENTE (CONTEÚDO: 500 ML)</t>
  </si>
  <si>
    <t>RASGO EM ALVENARIA PARA PASSAGEM DE ELETRODUTO/ TUBULAÇÃO, DIÂMETROS DE 15MM A 25MM (1/2" A 1"), EXCLUSIVE ENCHIMENTO</t>
  </si>
  <si>
    <t>7.38</t>
  </si>
  <si>
    <t>CAIXA DE PASAGEM PARA AR CONDICIONADO 29X17X7</t>
  </si>
  <si>
    <t>COTAÇÃO 017</t>
  </si>
  <si>
    <t>017</t>
  </si>
  <si>
    <t>6.30</t>
  </si>
  <si>
    <t xml:space="preserve">SINAPI-89782 </t>
  </si>
  <si>
    <t>TE, PVC, SERIE NORMAL, ESGOTO PREDIAL, DN 40 X 40 MM, JUNTA SOLDÁVEL, FORNECIDO E INSTALADO EM RAMAL DE DESCARGA OU RAMAL DE ESGOTO SANITÁRIO. AF_08/2022</t>
  </si>
  <si>
    <t>SINAPI-89782</t>
  </si>
  <si>
    <t>165,00 + 13,00 + (2,50 x 4,00) &gt; DADOS RETIRADOS DE PROJETO ELÉTRICO E HIDROSSANITÁRIO</t>
  </si>
  <si>
    <t>DADOS RETIRADOS DE PROJETO ELÉTRICO E HIDROSSANITÁRIO (O RASGO DA INSTLAÇÃO DE ELETRODUTO É QUANTIFICADO NO PROPRIO ITEM)</t>
  </si>
  <si>
    <r>
      <t>DATA: 26/11</t>
    </r>
    <r>
      <rPr>
        <b/>
        <sz val="10"/>
        <rFont val="Calibri"/>
        <family val="2"/>
      </rPr>
      <t>/2024</t>
    </r>
  </si>
  <si>
    <t>11,55 + 11,38 + 3,74 + 3,91 + 4,50 + 2,30 &gt; L1, L2, L3, L4, L5 e L6 LAJE DE PISO NIVEL +0.80M + 
11,55 + 11,38 &gt; L7 e L8 LAJE DE PISO RAMPA + 
13,13 + 13,13 + 11,38 + 11,38 + 15,76 + 9,63 + 9,63 + 9,76 + 8,25 + 8,25 + 9,80 + 9,80 + 9,94 + 8,40 + 8,40 + 3,50 + 3,5 + 3,55 + 1,40 + 3,23 &gt; L9 A L25 LAJE NIVEL 3.00M + 
3,23 &gt; L26 LAJE NIVEL 4,50M</t>
  </si>
  <si>
    <t>LOCAL:  Rua José Nogueira de Paula  - Lt nº 115, Bairro Hospital - Bom Jardim de Minas / MG</t>
  </si>
  <si>
    <t>MAURICIO</t>
  </si>
  <si>
    <t>00.776.574/0006-60</t>
  </si>
  <si>
    <t>AMERICANAS S.A</t>
  </si>
  <si>
    <t>(11) 30031084</t>
  </si>
  <si>
    <t>RENATA</t>
  </si>
  <si>
    <t>MAGAZINE LUIZA S/A</t>
  </si>
  <si>
    <t>47.960.950/1088-36</t>
  </si>
  <si>
    <t>0800 773 3838</t>
  </si>
  <si>
    <t>33.041.260/0652-90</t>
  </si>
  <si>
    <t>(11) 4003-4336</t>
  </si>
  <si>
    <t>VIA VAREJO S.A</t>
  </si>
  <si>
    <t>MURILO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</si>
</sst>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quot;R$&quot;\ #,##0.00"/>
    <numFmt numFmtId="166" formatCode="&quot;R$ &quot;#,##0.00"/>
    <numFmt numFmtId="167" formatCode="0.000000"/>
    <numFmt numFmtId="168" formatCode="&quot;R$&quot;#,##0.00"/>
    <numFmt numFmtId="169" formatCode="_-* #,##0.000_-;\-* #,##0.000_-;_-* &quot;-&quot;??_-;_-@_-"/>
    <numFmt numFmtId="170" formatCode="_(&quot;R$ &quot;* #,##0.00_);_(&quot;R$ &quot;* \(#,##0.00\);_(&quot;R$ &quot;* &quot;-&quot;??_);_(@_)"/>
    <numFmt numFmtId="171" formatCode="&quot;R$&quot;\ #,##0.00;&quot;R$&quot;\ #,##0.00;"/>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8"/>
      <name val="Arial"/>
      <family val="2"/>
    </font>
    <font>
      <sz val="8"/>
      <color indexed="12"/>
      <name val="Arial"/>
      <family val="2"/>
    </font>
    <font>
      <sz val="10"/>
      <color indexed="8"/>
      <name val="Arial"/>
      <family val="2"/>
    </font>
    <font>
      <b/>
      <sz val="10"/>
      <name val="Calibri"/>
      <family val="2"/>
    </font>
    <font>
      <b/>
      <sz val="12"/>
      <name val="Arial"/>
      <family val="2"/>
    </font>
    <font>
      <sz val="9"/>
      <color indexed="8"/>
      <name val="Arial"/>
      <family val="2"/>
    </font>
    <font>
      <b/>
      <sz val="9"/>
      <color indexed="12"/>
      <name val="Arial"/>
      <family val="2"/>
    </font>
    <font>
      <sz val="9"/>
      <name val="Arial"/>
      <family val="2"/>
    </font>
    <font>
      <b/>
      <sz val="9"/>
      <color indexed="8"/>
      <name val="Arial"/>
      <family val="2"/>
    </font>
    <font>
      <b/>
      <sz val="8"/>
      <color indexed="8"/>
      <name val="Calibri"/>
      <family val="2"/>
    </font>
    <font>
      <sz val="8"/>
      <color indexed="8"/>
      <name val="Calibri"/>
      <family val="2"/>
    </font>
    <font>
      <sz val="11"/>
      <color theme="1"/>
      <name val="Calibri"/>
      <family val="2"/>
      <scheme val="minor"/>
    </font>
    <font>
      <b/>
      <sz val="11"/>
      <color theme="1"/>
      <name val="Calibri"/>
      <family val="2"/>
      <scheme val="minor"/>
    </font>
    <font>
      <sz val="10"/>
      <color theme="1"/>
      <name val="Arial"/>
      <family val="2"/>
    </font>
    <font>
      <sz val="8"/>
      <color theme="1"/>
      <name val="Arial"/>
      <family val="2"/>
    </font>
    <font>
      <b/>
      <sz val="10"/>
      <color rgb="FFC00000"/>
      <name val="Arial"/>
      <family val="2"/>
    </font>
    <font>
      <b/>
      <sz val="10"/>
      <name val="Calibri"/>
      <family val="2"/>
      <scheme val="minor"/>
    </font>
    <font>
      <b/>
      <sz val="10"/>
      <color theme="1"/>
      <name val="Calibri"/>
      <family val="2"/>
      <scheme val="minor"/>
    </font>
    <font>
      <b/>
      <sz val="12"/>
      <color indexed="8"/>
      <name val="Calibri"/>
      <family val="2"/>
      <scheme val="minor"/>
    </font>
    <font>
      <b/>
      <sz val="12"/>
      <color theme="1"/>
      <name val="Arial"/>
      <family val="2"/>
    </font>
    <font>
      <b/>
      <sz val="10"/>
      <color rgb="FFFF0000"/>
      <name val="Calibri"/>
      <family val="2"/>
      <scheme val="minor"/>
    </font>
    <font>
      <sz val="10"/>
      <name val="Calibri"/>
      <family val="2"/>
    </font>
    <font>
      <sz val="10"/>
      <name val="Arial"/>
      <family val="2"/>
    </font>
    <font>
      <b/>
      <sz val="9"/>
      <name val="Arial"/>
      <family val="2"/>
    </font>
    <font>
      <sz val="10"/>
      <name val="Arial"/>
    </font>
    <font>
      <sz val="8"/>
      <color theme="1"/>
      <name val="Calibri"/>
      <family val="2"/>
    </font>
    <font>
      <sz val="8"/>
      <color rgb="FFFF0000"/>
      <name val="Calibri"/>
      <family val="2"/>
    </font>
    <font>
      <b/>
      <sz val="8"/>
      <color theme="1"/>
      <name val="Calibri"/>
      <family val="2"/>
    </font>
    <font>
      <sz val="11"/>
      <color rgb="FFFF0000"/>
      <name val="Calibri"/>
      <family val="2"/>
      <scheme val="minor"/>
    </font>
    <font>
      <b/>
      <sz val="14"/>
      <color theme="1"/>
      <name val="Calibri"/>
      <family val="2"/>
      <scheme val="minor"/>
    </font>
    <font>
      <b/>
      <sz val="10"/>
      <color theme="1"/>
      <name val="Arial"/>
      <family val="2"/>
    </font>
    <font>
      <b/>
      <sz val="12"/>
      <color theme="1"/>
      <name val="Calibri"/>
      <family val="2"/>
      <scheme val="minor"/>
    </font>
    <font>
      <sz val="10"/>
      <color rgb="FFFF0000"/>
      <name val="Arial"/>
      <family val="2"/>
    </font>
    <font>
      <sz val="12"/>
      <color theme="1"/>
      <name val="Calibri"/>
      <family val="2"/>
      <scheme val="minor"/>
    </font>
    <font>
      <b/>
      <i/>
      <sz val="11"/>
      <color theme="1"/>
      <name val="Calibri"/>
      <family val="2"/>
      <scheme val="minor"/>
    </font>
    <font>
      <b/>
      <i/>
      <sz val="11"/>
      <color rgb="FFFF0000"/>
      <name val="Calibri"/>
      <family val="2"/>
      <scheme val="minor"/>
    </font>
    <font>
      <sz val="10"/>
      <name val="Times New Roman"/>
      <family val="1"/>
    </font>
    <font>
      <sz val="10"/>
      <name val="Abadi"/>
      <family val="2"/>
    </font>
    <font>
      <sz val="8"/>
      <name val="Calibri"/>
      <family val="2"/>
    </font>
    <font>
      <sz val="8"/>
      <name val="Arial"/>
    </font>
    <font>
      <b/>
      <sz val="8"/>
      <name val="Calibri"/>
      <family val="2"/>
    </font>
    <font>
      <b/>
      <sz val="12"/>
      <name val="Calibri"/>
      <family val="2"/>
      <scheme val="minor"/>
    </font>
    <font>
      <sz val="11"/>
      <name val="Calibri"/>
      <family val="2"/>
      <scheme val="minor"/>
    </font>
    <font>
      <b/>
      <sz val="11"/>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59999389629810485"/>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s>
  <borders count="157">
    <border>
      <left/>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style="hair">
        <color indexed="64"/>
      </left>
      <right/>
      <top style="thin">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top/>
      <bottom style="medium">
        <color indexed="64"/>
      </bottom>
      <diagonal/>
    </border>
    <border>
      <left/>
      <right style="thin">
        <color indexed="64"/>
      </right>
      <top style="medium">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style="hair">
        <color indexed="64"/>
      </top>
      <bottom style="medium">
        <color indexed="64"/>
      </bottom>
      <diagonal/>
    </border>
    <border>
      <left/>
      <right/>
      <top style="thin">
        <color indexed="64"/>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s>
  <cellStyleXfs count="20">
    <xf numFmtId="0" fontId="0" fillId="0" borderId="0"/>
    <xf numFmtId="9" fontId="6" fillId="0" borderId="0" applyFont="0" applyFill="0" applyBorder="0" applyAlignment="0" applyProtection="0"/>
    <xf numFmtId="43" fontId="21" fillId="0" borderId="0" applyFont="0" applyFill="0" applyBorder="0" applyAlignment="0" applyProtection="0"/>
    <xf numFmtId="0" fontId="6"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164" fontId="6" fillId="0" borderId="0" applyFont="0" applyFill="0" applyBorder="0" applyAlignment="0" applyProtection="0"/>
    <xf numFmtId="164" fontId="32" fillId="0" borderId="0" applyFont="0" applyFill="0" applyBorder="0" applyAlignment="0" applyProtection="0"/>
    <xf numFmtId="164" fontId="34" fillId="0" borderId="0" applyFont="0" applyFill="0" applyBorder="0" applyAlignment="0" applyProtection="0"/>
    <xf numFmtId="0" fontId="6" fillId="0" borderId="0"/>
    <xf numFmtId="9" fontId="6"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43" fontId="46" fillId="0" borderId="0" applyFont="0" applyFill="0" applyBorder="0" applyAlignment="0" applyProtection="0"/>
    <xf numFmtId="170" fontId="6" fillId="0" borderId="0" applyFont="0" applyFill="0" applyBorder="0" applyAlignment="0" applyProtection="0"/>
    <xf numFmtId="0" fontId="6" fillId="0" borderId="0"/>
    <xf numFmtId="164" fontId="6" fillId="0" borderId="0" applyFont="0" applyFill="0" applyBorder="0" applyAlignment="0" applyProtection="0"/>
  </cellStyleXfs>
  <cellXfs count="837">
    <xf numFmtId="0" fontId="0" fillId="0" borderId="0" xfId="0"/>
    <xf numFmtId="0" fontId="0" fillId="0" borderId="0" xfId="0" applyAlignment="1">
      <alignment vertical="center"/>
    </xf>
    <xf numFmtId="0" fontId="7" fillId="0" borderId="0" xfId="0" applyFont="1" applyAlignment="1">
      <alignment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7" fillId="0" borderId="5" xfId="0" applyFont="1" applyBorder="1" applyAlignment="1">
      <alignment horizontal="center" vertical="center"/>
    </xf>
    <xf numFmtId="0" fontId="23" fillId="0" borderId="0" xfId="0" applyFont="1"/>
    <xf numFmtId="4" fontId="24" fillId="0" borderId="2" xfId="0" applyNumberFormat="1" applyFont="1" applyBorder="1" applyAlignment="1">
      <alignment horizontal="center" vertical="center" wrapText="1"/>
    </xf>
    <xf numFmtId="0" fontId="7" fillId="0" borderId="5" xfId="0" applyFont="1" applyBorder="1" applyAlignment="1">
      <alignment vertical="center"/>
    </xf>
    <xf numFmtId="165" fontId="8" fillId="4" borderId="4" xfId="0" applyNumberFormat="1" applyFont="1" applyFill="1" applyBorder="1" applyAlignment="1">
      <alignment horizontal="center" vertical="center" wrapText="1"/>
    </xf>
    <xf numFmtId="165" fontId="24" fillId="0" borderId="2" xfId="0" applyNumberFormat="1" applyFont="1" applyBorder="1" applyAlignment="1">
      <alignment horizontal="center" vertical="center" wrapText="1"/>
    </xf>
    <xf numFmtId="165" fontId="0" fillId="0" borderId="0" xfId="0" applyNumberFormat="1" applyAlignment="1">
      <alignment horizontal="center" vertical="center"/>
    </xf>
    <xf numFmtId="165" fontId="7" fillId="0" borderId="0" xfId="0" applyNumberFormat="1" applyFont="1" applyAlignment="1">
      <alignment horizontal="center" vertical="center"/>
    </xf>
    <xf numFmtId="165" fontId="0" fillId="0" borderId="0" xfId="0" applyNumberFormat="1"/>
    <xf numFmtId="165" fontId="8" fillId="4" borderId="6" xfId="0" applyNumberFormat="1" applyFont="1" applyFill="1" applyBorder="1" applyAlignment="1">
      <alignment horizontal="center" vertical="center" wrapText="1"/>
    </xf>
    <xf numFmtId="165" fontId="24" fillId="0" borderId="7" xfId="0" applyNumberFormat="1" applyFont="1" applyBorder="1" applyAlignment="1">
      <alignment horizontal="center" vertical="center" wrapText="1"/>
    </xf>
    <xf numFmtId="0" fontId="12" fillId="0" borderId="0" xfId="0" applyFont="1" applyAlignment="1">
      <alignment horizontal="justify" vertical="distributed"/>
    </xf>
    <xf numFmtId="0" fontId="25" fillId="0" borderId="0" xfId="0" applyFont="1" applyAlignment="1">
      <alignment vertical="center"/>
    </xf>
    <xf numFmtId="0" fontId="26" fillId="0" borderId="9" xfId="0" applyFont="1" applyBorder="1" applyAlignment="1">
      <alignment vertical="distributed"/>
    </xf>
    <xf numFmtId="165" fontId="26" fillId="0" borderId="9" xfId="0" applyNumberFormat="1" applyFont="1" applyBorder="1" applyAlignment="1">
      <alignment horizontal="center" vertical="distributed"/>
    </xf>
    <xf numFmtId="165" fontId="26" fillId="0" borderId="10" xfId="0" applyNumberFormat="1" applyFont="1" applyBorder="1" applyAlignment="1">
      <alignment horizontal="center" vertical="distributed"/>
    </xf>
    <xf numFmtId="10" fontId="27" fillId="0" borderId="13" xfId="0" applyNumberFormat="1" applyFont="1" applyBorder="1" applyAlignment="1">
      <alignment horizontal="left" vertical="distributed"/>
    </xf>
    <xf numFmtId="0" fontId="0" fillId="2" borderId="0" xfId="0" applyFill="1"/>
    <xf numFmtId="0" fontId="0" fillId="2" borderId="0" xfId="0" applyFill="1" applyAlignment="1">
      <alignment wrapText="1"/>
    </xf>
    <xf numFmtId="0" fontId="8" fillId="2" borderId="16" xfId="0" applyFont="1" applyFill="1" applyBorder="1" applyAlignment="1">
      <alignment horizontal="center" vertical="center"/>
    </xf>
    <xf numFmtId="49" fontId="15" fillId="2" borderId="17" xfId="0" applyNumberFormat="1" applyFont="1" applyFill="1" applyBorder="1" applyAlignment="1">
      <alignment horizontal="center" vertical="top" wrapText="1"/>
    </xf>
    <xf numFmtId="10" fontId="16" fillId="2" borderId="17" xfId="0" applyNumberFormat="1" applyFont="1" applyFill="1" applyBorder="1" applyAlignment="1">
      <alignment vertical="top" wrapText="1"/>
    </xf>
    <xf numFmtId="10" fontId="15" fillId="2" borderId="17" xfId="0" applyNumberFormat="1" applyFont="1" applyFill="1" applyBorder="1" applyAlignment="1">
      <alignment vertical="top" wrapText="1"/>
    </xf>
    <xf numFmtId="49" fontId="15" fillId="2" borderId="18" xfId="0" applyNumberFormat="1" applyFont="1" applyFill="1" applyBorder="1" applyAlignment="1">
      <alignment horizontal="center" vertical="top" wrapText="1"/>
    </xf>
    <xf numFmtId="4" fontId="15" fillId="2" borderId="18" xfId="0" applyNumberFormat="1" applyFont="1" applyFill="1" applyBorder="1" applyAlignment="1">
      <alignment vertical="top" wrapText="1"/>
    </xf>
    <xf numFmtId="49" fontId="18" fillId="2" borderId="19" xfId="0" applyNumberFormat="1" applyFont="1" applyFill="1" applyBorder="1" applyAlignment="1">
      <alignment horizontal="center" vertical="top" wrapText="1"/>
    </xf>
    <xf numFmtId="10" fontId="18" fillId="2" borderId="19" xfId="0" applyNumberFormat="1" applyFont="1" applyFill="1" applyBorder="1" applyAlignment="1">
      <alignment vertical="top" wrapText="1"/>
    </xf>
    <xf numFmtId="49" fontId="18" fillId="2" borderId="20" xfId="0" applyNumberFormat="1" applyFont="1" applyFill="1" applyBorder="1" applyAlignment="1">
      <alignment horizontal="center" vertical="top" wrapText="1"/>
    </xf>
    <xf numFmtId="166" fontId="18" fillId="2" borderId="20" xfId="0" applyNumberFormat="1" applyFont="1" applyFill="1" applyBorder="1" applyAlignment="1">
      <alignment vertical="top" wrapText="1"/>
    </xf>
    <xf numFmtId="0" fontId="8" fillId="2" borderId="30" xfId="0" applyFont="1" applyFill="1" applyBorder="1" applyAlignment="1">
      <alignment horizontal="center" vertical="center" wrapText="1"/>
    </xf>
    <xf numFmtId="0" fontId="8" fillId="2" borderId="30" xfId="0" applyFont="1" applyFill="1" applyBorder="1" applyAlignment="1">
      <alignment horizontal="center" vertical="center"/>
    </xf>
    <xf numFmtId="0" fontId="27" fillId="4" borderId="2" xfId="0" applyFont="1" applyFill="1" applyBorder="1" applyAlignment="1" applyProtection="1">
      <alignment vertical="center" wrapText="1"/>
      <protection locked="0"/>
    </xf>
    <xf numFmtId="0" fontId="27" fillId="4" borderId="37" xfId="0" applyFont="1" applyFill="1" applyBorder="1" applyAlignment="1" applyProtection="1">
      <alignment horizontal="center" vertical="center" wrapText="1"/>
      <protection locked="0"/>
    </xf>
    <xf numFmtId="0" fontId="27" fillId="4" borderId="38" xfId="0" applyFont="1" applyFill="1" applyBorder="1" applyAlignment="1" applyProtection="1">
      <alignment horizontal="center" vertical="center" wrapText="1"/>
      <protection locked="0"/>
    </xf>
    <xf numFmtId="0" fontId="27" fillId="4" borderId="38" xfId="0" applyFont="1" applyFill="1" applyBorder="1" applyAlignment="1" applyProtection="1">
      <alignment vertical="center" wrapText="1"/>
      <protection locked="0"/>
    </xf>
    <xf numFmtId="0" fontId="27" fillId="4" borderId="1" xfId="0" applyFont="1" applyFill="1" applyBorder="1" applyAlignment="1" applyProtection="1">
      <alignment horizontal="center" vertical="center" wrapText="1"/>
      <protection locked="0"/>
    </xf>
    <xf numFmtId="165" fontId="27" fillId="4" borderId="7" xfId="0" applyNumberFormat="1" applyFont="1" applyFill="1" applyBorder="1" applyAlignment="1" applyProtection="1">
      <alignment vertical="center" wrapText="1"/>
      <protection locked="0"/>
    </xf>
    <xf numFmtId="0" fontId="8" fillId="2" borderId="61" xfId="0" applyFont="1" applyFill="1" applyBorder="1" applyAlignment="1">
      <alignment horizontal="center" vertical="center"/>
    </xf>
    <xf numFmtId="0" fontId="27" fillId="4" borderId="35" xfId="0" applyFont="1" applyFill="1" applyBorder="1" applyAlignment="1" applyProtection="1">
      <alignment vertical="center" wrapText="1"/>
      <protection locked="0"/>
    </xf>
    <xf numFmtId="49" fontId="24" fillId="0" borderId="2" xfId="0" applyNumberFormat="1" applyFont="1" applyBorder="1" applyAlignment="1">
      <alignment horizontal="center" vertical="center" wrapText="1"/>
    </xf>
    <xf numFmtId="0" fontId="24" fillId="0" borderId="1" xfId="0" applyFont="1" applyBorder="1" applyAlignment="1">
      <alignment horizontal="center" vertical="center" wrapText="1"/>
    </xf>
    <xf numFmtId="165" fontId="29" fillId="0" borderId="8" xfId="0" applyNumberFormat="1" applyFont="1" applyBorder="1" applyAlignment="1">
      <alignment horizontal="center" vertical="center" wrapText="1"/>
    </xf>
    <xf numFmtId="0" fontId="0" fillId="2" borderId="23" xfId="0" applyFill="1" applyBorder="1"/>
    <xf numFmtId="2" fontId="24" fillId="0" borderId="2" xfId="2" applyNumberFormat="1" applyFont="1" applyFill="1" applyBorder="1" applyAlignment="1">
      <alignment horizontal="center" vertical="center" wrapText="1"/>
    </xf>
    <xf numFmtId="0" fontId="6" fillId="0" borderId="0" xfId="3"/>
    <xf numFmtId="0" fontId="8" fillId="4" borderId="4" xfId="3" applyFont="1" applyFill="1" applyBorder="1" applyAlignment="1">
      <alignment horizontal="center" vertical="center"/>
    </xf>
    <xf numFmtId="0" fontId="8" fillId="4" borderId="47" xfId="3" applyFont="1" applyFill="1" applyBorder="1" applyAlignment="1">
      <alignment horizontal="center" vertical="center"/>
    </xf>
    <xf numFmtId="0" fontId="8" fillId="4" borderId="48" xfId="3" applyFont="1" applyFill="1" applyBorder="1" applyAlignment="1">
      <alignment horizontal="center" vertical="center"/>
    </xf>
    <xf numFmtId="0" fontId="8" fillId="0" borderId="22" xfId="3" applyFont="1" applyBorder="1" applyAlignment="1">
      <alignment horizontal="center" vertical="center"/>
    </xf>
    <xf numFmtId="0" fontId="27" fillId="4" borderId="2" xfId="3" applyFont="1" applyFill="1" applyBorder="1" applyAlignment="1" applyProtection="1">
      <alignment vertical="center" wrapText="1"/>
      <protection locked="0"/>
    </xf>
    <xf numFmtId="2" fontId="24" fillId="0" borderId="2" xfId="4" applyNumberFormat="1" applyFont="1" applyFill="1" applyBorder="1" applyAlignment="1">
      <alignment horizontal="center" vertical="center" wrapText="1"/>
    </xf>
    <xf numFmtId="49" fontId="7" fillId="0" borderId="2" xfId="0" applyNumberFormat="1" applyFont="1" applyBorder="1" applyAlignment="1">
      <alignment horizontal="center" vertical="center" wrapText="1"/>
    </xf>
    <xf numFmtId="49" fontId="15" fillId="2" borderId="62" xfId="0" applyNumberFormat="1" applyFont="1" applyFill="1" applyBorder="1" applyAlignment="1">
      <alignment horizontal="center" vertical="top" wrapText="1"/>
    </xf>
    <xf numFmtId="0" fontId="8" fillId="5" borderId="23" xfId="0" applyFont="1" applyFill="1" applyBorder="1" applyAlignment="1">
      <alignment wrapText="1"/>
    </xf>
    <xf numFmtId="0" fontId="0" fillId="5" borderId="24" xfId="0" applyFill="1" applyBorder="1" applyAlignment="1">
      <alignment vertical="center"/>
    </xf>
    <xf numFmtId="0" fontId="8" fillId="5" borderId="23" xfId="0" applyFont="1" applyFill="1" applyBorder="1"/>
    <xf numFmtId="0" fontId="7" fillId="5" borderId="0" xfId="0" applyFont="1" applyFill="1" applyAlignment="1">
      <alignment horizontal="center" vertical="center"/>
    </xf>
    <xf numFmtId="0" fontId="9" fillId="5" borderId="23" xfId="0" applyFont="1" applyFill="1" applyBorder="1"/>
    <xf numFmtId="0" fontId="0" fillId="5" borderId="0" xfId="0" applyFill="1"/>
    <xf numFmtId="0" fontId="17" fillId="5" borderId="26" xfId="0" applyFont="1" applyFill="1" applyBorder="1"/>
    <xf numFmtId="0" fontId="0" fillId="5" borderId="27" xfId="0" applyFill="1" applyBorder="1"/>
    <xf numFmtId="0" fontId="17" fillId="5" borderId="27" xfId="0" applyFont="1" applyFill="1" applyBorder="1" applyAlignment="1">
      <alignment wrapText="1"/>
    </xf>
    <xf numFmtId="0" fontId="8" fillId="4" borderId="3" xfId="3" applyFont="1" applyFill="1" applyBorder="1" applyAlignment="1">
      <alignment horizontal="center" vertical="center"/>
    </xf>
    <xf numFmtId="165" fontId="8" fillId="4" borderId="6" xfId="3" applyNumberFormat="1" applyFont="1" applyFill="1" applyBorder="1" applyAlignment="1">
      <alignment horizontal="center" vertical="center" wrapText="1"/>
    </xf>
    <xf numFmtId="0" fontId="8" fillId="0" borderId="21" xfId="3" applyFont="1" applyBorder="1" applyAlignment="1">
      <alignment horizontal="center" vertical="center"/>
    </xf>
    <xf numFmtId="165" fontId="8" fillId="0" borderId="29" xfId="3" applyNumberFormat="1" applyFont="1" applyBorder="1" applyAlignment="1">
      <alignment horizontal="left" vertical="center" wrapText="1"/>
    </xf>
    <xf numFmtId="0" fontId="27" fillId="4" borderId="7" xfId="3" applyFont="1" applyFill="1" applyBorder="1" applyAlignment="1" applyProtection="1">
      <alignment horizontal="left" vertical="center" wrapText="1"/>
      <protection locked="0"/>
    </xf>
    <xf numFmtId="0" fontId="8" fillId="5" borderId="0" xfId="0" applyFont="1" applyFill="1" applyAlignment="1">
      <alignment horizontal="center" vertical="center"/>
    </xf>
    <xf numFmtId="0" fontId="6" fillId="5" borderId="0" xfId="0" applyFont="1" applyFill="1" applyAlignment="1">
      <alignment horizontal="center" vertical="center"/>
    </xf>
    <xf numFmtId="0" fontId="0" fillId="0" borderId="0" xfId="0" applyAlignment="1">
      <alignment horizontal="center" vertical="center"/>
    </xf>
    <xf numFmtId="0" fontId="0" fillId="2" borderId="14" xfId="0" applyFill="1" applyBorder="1" applyAlignment="1">
      <alignment vertical="center"/>
    </xf>
    <xf numFmtId="0" fontId="0" fillId="2" borderId="15" xfId="0" applyFill="1" applyBorder="1" applyAlignment="1">
      <alignment vertical="center"/>
    </xf>
    <xf numFmtId="0" fontId="8" fillId="2" borderId="68" xfId="0" applyFont="1" applyFill="1" applyBorder="1" applyAlignment="1">
      <alignment horizontal="left" vertical="center"/>
    </xf>
    <xf numFmtId="0" fontId="0" fillId="0" borderId="23" xfId="0" applyBorder="1" applyAlignment="1">
      <alignment vertical="center"/>
    </xf>
    <xf numFmtId="165" fontId="0" fillId="0" borderId="25" xfId="0" applyNumberFormat="1" applyBorder="1" applyAlignment="1">
      <alignment vertical="center"/>
    </xf>
    <xf numFmtId="0" fontId="7" fillId="0" borderId="23" xfId="0" applyFont="1" applyBorder="1" applyAlignment="1">
      <alignment vertical="center"/>
    </xf>
    <xf numFmtId="165" fontId="7" fillId="0" borderId="25" xfId="0" applyNumberFormat="1" applyFont="1" applyBorder="1" applyAlignment="1">
      <alignment vertical="center"/>
    </xf>
    <xf numFmtId="0" fontId="0" fillId="0" borderId="23" xfId="0" applyBorder="1"/>
    <xf numFmtId="165" fontId="0" fillId="0" borderId="25" xfId="0" applyNumberFormat="1" applyBorder="1"/>
    <xf numFmtId="0" fontId="0" fillId="0" borderId="26" xfId="0" applyBorder="1"/>
    <xf numFmtId="0" fontId="0" fillId="0" borderId="27" xfId="0" applyBorder="1"/>
    <xf numFmtId="165" fontId="0" fillId="0" borderId="27" xfId="0" applyNumberFormat="1" applyBorder="1"/>
    <xf numFmtId="165" fontId="0" fillId="0" borderId="28" xfId="0" applyNumberFormat="1" applyBorder="1"/>
    <xf numFmtId="0" fontId="27" fillId="6" borderId="1" xfId="0" applyFont="1" applyFill="1" applyBorder="1" applyAlignment="1" applyProtection="1">
      <alignment horizontal="center" vertical="center" wrapText="1"/>
      <protection locked="0"/>
    </xf>
    <xf numFmtId="0" fontId="27" fillId="6" borderId="2" xfId="0" applyFont="1" applyFill="1" applyBorder="1" applyAlignment="1" applyProtection="1">
      <alignment horizontal="center" vertical="center" wrapText="1"/>
      <protection locked="0"/>
    </xf>
    <xf numFmtId="0" fontId="27" fillId="6" borderId="2" xfId="0" applyFont="1" applyFill="1" applyBorder="1" applyAlignment="1" applyProtection="1">
      <alignment vertical="center" wrapText="1"/>
      <protection locked="0"/>
    </xf>
    <xf numFmtId="165" fontId="27" fillId="6" borderId="7" xfId="0" applyNumberFormat="1" applyFont="1" applyFill="1" applyBorder="1" applyAlignment="1" applyProtection="1">
      <alignment vertical="center" wrapText="1"/>
      <protection locked="0"/>
    </xf>
    <xf numFmtId="0" fontId="23" fillId="6" borderId="0" xfId="0" applyFont="1" applyFill="1"/>
    <xf numFmtId="0" fontId="27" fillId="6" borderId="1" xfId="3" applyFont="1" applyFill="1" applyBorder="1" applyAlignment="1" applyProtection="1">
      <alignment horizontal="center" vertical="center" wrapText="1"/>
      <protection locked="0"/>
    </xf>
    <xf numFmtId="0" fontId="27" fillId="6" borderId="2" xfId="3" applyFont="1" applyFill="1" applyBorder="1" applyAlignment="1" applyProtection="1">
      <alignment vertical="center" wrapText="1"/>
      <protection locked="0"/>
    </xf>
    <xf numFmtId="0" fontId="27" fillId="6" borderId="7" xfId="3" applyFont="1" applyFill="1" applyBorder="1" applyAlignment="1" applyProtection="1">
      <alignment horizontal="left" vertical="center" wrapText="1"/>
      <protection locked="0"/>
    </xf>
    <xf numFmtId="0" fontId="6" fillId="6" borderId="0" xfId="3" applyFill="1"/>
    <xf numFmtId="168" fontId="23" fillId="6" borderId="0" xfId="0" applyNumberFormat="1" applyFont="1" applyFill="1"/>
    <xf numFmtId="165" fontId="23" fillId="0" borderId="0" xfId="0" applyNumberFormat="1" applyFont="1"/>
    <xf numFmtId="0" fontId="35" fillId="3" borderId="18" xfId="0" applyFont="1" applyFill="1" applyBorder="1" applyAlignment="1" applyProtection="1">
      <alignment horizontal="center" vertical="center" wrapText="1"/>
      <protection locked="0"/>
    </xf>
    <xf numFmtId="167" fontId="20" fillId="5" borderId="0" xfId="0" applyNumberFormat="1" applyFont="1" applyFill="1" applyAlignment="1" applyProtection="1">
      <alignment vertical="center" wrapText="1"/>
      <protection locked="0"/>
    </xf>
    <xf numFmtId="165" fontId="20" fillId="5" borderId="0" xfId="0" applyNumberFormat="1" applyFont="1" applyFill="1" applyAlignment="1">
      <alignment vertical="center"/>
    </xf>
    <xf numFmtId="165" fontId="20" fillId="5" borderId="0" xfId="0" quotePrefix="1" applyNumberFormat="1" applyFont="1" applyFill="1" applyAlignment="1">
      <alignment vertical="center"/>
    </xf>
    <xf numFmtId="165" fontId="0" fillId="5" borderId="0" xfId="0" applyNumberFormat="1" applyFill="1"/>
    <xf numFmtId="0" fontId="19" fillId="0" borderId="40" xfId="3" applyFont="1" applyBorder="1" applyAlignment="1">
      <alignment vertical="center"/>
    </xf>
    <xf numFmtId="0" fontId="19" fillId="0" borderId="34" xfId="3" applyFont="1" applyBorder="1" applyAlignment="1">
      <alignment horizontal="left" vertical="center"/>
    </xf>
    <xf numFmtId="0" fontId="19" fillId="0" borderId="34" xfId="3" applyFont="1" applyBorder="1" applyAlignment="1">
      <alignment vertical="center" wrapText="1"/>
    </xf>
    <xf numFmtId="0" fontId="19" fillId="0" borderId="34" xfId="3" applyFont="1" applyBorder="1" applyAlignment="1">
      <alignment horizontal="center" vertical="center"/>
    </xf>
    <xf numFmtId="0" fontId="19" fillId="0" borderId="69" xfId="3" applyFont="1" applyBorder="1" applyAlignment="1">
      <alignment horizontal="right" vertical="center"/>
    </xf>
    <xf numFmtId="0" fontId="35" fillId="3" borderId="49" xfId="3" applyFont="1" applyFill="1" applyBorder="1" applyAlignment="1" applyProtection="1">
      <alignment horizontal="center" vertical="center" wrapText="1"/>
      <protection locked="0"/>
    </xf>
    <xf numFmtId="17" fontId="37" fillId="3" borderId="34" xfId="3" applyNumberFormat="1" applyFont="1" applyFill="1" applyBorder="1" applyAlignment="1" applyProtection="1">
      <alignment horizontal="center" vertical="center"/>
      <protection locked="0"/>
    </xf>
    <xf numFmtId="165" fontId="35" fillId="3" borderId="18" xfId="3" applyNumberFormat="1" applyFont="1" applyFill="1" applyBorder="1" applyAlignment="1" applyProtection="1">
      <alignment vertical="center" wrapText="1"/>
      <protection locked="0"/>
    </xf>
    <xf numFmtId="4" fontId="15" fillId="2" borderId="62" xfId="0" applyNumberFormat="1" applyFont="1" applyFill="1" applyBorder="1" applyAlignment="1">
      <alignment vertical="top" wrapText="1"/>
    </xf>
    <xf numFmtId="10" fontId="15" fillId="2" borderId="70" xfId="0" applyNumberFormat="1" applyFont="1" applyFill="1" applyBorder="1" applyAlignment="1">
      <alignment vertical="top" wrapText="1"/>
    </xf>
    <xf numFmtId="0" fontId="27" fillId="6" borderId="71" xfId="0" applyFont="1" applyFill="1" applyBorder="1" applyAlignment="1" applyProtection="1">
      <alignment horizontal="center" vertical="center" wrapText="1"/>
      <protection locked="0"/>
    </xf>
    <xf numFmtId="10" fontId="0" fillId="0" borderId="0" xfId="0" applyNumberFormat="1"/>
    <xf numFmtId="49" fontId="24" fillId="5" borderId="2" xfId="0" applyNumberFormat="1" applyFont="1" applyFill="1" applyBorder="1" applyAlignment="1">
      <alignment horizontal="center" vertical="center" wrapText="1"/>
    </xf>
    <xf numFmtId="0" fontId="20" fillId="0" borderId="34" xfId="0" applyFont="1" applyBorder="1" applyAlignment="1">
      <alignment horizontal="left" vertical="center" wrapText="1"/>
    </xf>
    <xf numFmtId="0" fontId="19" fillId="3" borderId="30" xfId="0" applyFont="1" applyFill="1" applyBorder="1" applyAlignment="1" applyProtection="1">
      <alignment horizontal="center" vertical="center"/>
      <protection locked="0"/>
    </xf>
    <xf numFmtId="17" fontId="19" fillId="3" borderId="34" xfId="0" applyNumberFormat="1" applyFont="1" applyFill="1" applyBorder="1" applyAlignment="1" applyProtection="1">
      <alignment horizontal="center" vertical="center" wrapText="1"/>
      <protection locked="0"/>
    </xf>
    <xf numFmtId="0" fontId="20" fillId="0" borderId="34" xfId="0" applyFont="1" applyBorder="1" applyAlignment="1">
      <alignment vertical="center"/>
    </xf>
    <xf numFmtId="0" fontId="20" fillId="0" borderId="34" xfId="0" applyFont="1" applyBorder="1" applyAlignment="1">
      <alignment horizontal="left" vertical="center"/>
    </xf>
    <xf numFmtId="0" fontId="20" fillId="0" borderId="34" xfId="0" applyFont="1" applyBorder="1" applyAlignment="1">
      <alignment horizontal="center" vertical="center"/>
    </xf>
    <xf numFmtId="0" fontId="35" fillId="3" borderId="18" xfId="0" applyFont="1" applyFill="1" applyBorder="1" applyAlignment="1" applyProtection="1">
      <alignment horizontal="left" vertical="center" wrapText="1"/>
      <protection locked="0"/>
    </xf>
    <xf numFmtId="0" fontId="35" fillId="3" borderId="18" xfId="0" applyFont="1" applyFill="1" applyBorder="1" applyAlignment="1" applyProtection="1">
      <alignment vertical="center" wrapText="1"/>
      <protection locked="0"/>
    </xf>
    <xf numFmtId="167" fontId="35" fillId="3" borderId="18" xfId="0" applyNumberFormat="1" applyFont="1" applyFill="1" applyBorder="1" applyAlignment="1" applyProtection="1">
      <alignment vertical="center" wrapText="1"/>
      <protection locked="0"/>
    </xf>
    <xf numFmtId="0" fontId="26" fillId="4" borderId="36" xfId="0" applyFont="1" applyFill="1" applyBorder="1" applyAlignment="1" applyProtection="1">
      <alignment horizontal="center" vertical="center" wrapText="1"/>
      <protection locked="0"/>
    </xf>
    <xf numFmtId="0" fontId="27" fillId="4" borderId="57" xfId="0" applyFont="1" applyFill="1" applyBorder="1" applyAlignment="1" applyProtection="1">
      <alignment vertical="center"/>
      <protection locked="0"/>
    </xf>
    <xf numFmtId="0" fontId="27" fillId="4" borderId="58" xfId="0" applyFont="1" applyFill="1" applyBorder="1" applyAlignment="1" applyProtection="1">
      <alignment vertical="center" wrapText="1"/>
      <protection locked="0"/>
    </xf>
    <xf numFmtId="0" fontId="26" fillId="4" borderId="35" xfId="0" applyFont="1" applyFill="1" applyBorder="1" applyAlignment="1" applyProtection="1">
      <alignment vertical="center" wrapText="1"/>
      <protection locked="0"/>
    </xf>
    <xf numFmtId="165" fontId="27" fillId="4" borderId="73" xfId="0" applyNumberFormat="1" applyFont="1" applyFill="1" applyBorder="1" applyAlignment="1" applyProtection="1">
      <alignment vertical="center" wrapText="1"/>
      <protection locked="0"/>
    </xf>
    <xf numFmtId="165" fontId="24" fillId="0" borderId="0" xfId="0" applyNumberFormat="1" applyFont="1" applyAlignment="1">
      <alignment horizontal="center" vertical="center" wrapText="1"/>
    </xf>
    <xf numFmtId="0" fontId="7" fillId="0" borderId="2" xfId="0" applyFont="1" applyBorder="1" applyAlignment="1">
      <alignment horizontal="center" vertical="center" wrapText="1"/>
    </xf>
    <xf numFmtId="2" fontId="24" fillId="5" borderId="2" xfId="9" applyNumberFormat="1" applyFont="1" applyFill="1" applyBorder="1" applyAlignment="1">
      <alignment horizontal="center" vertical="center" wrapText="1"/>
    </xf>
    <xf numFmtId="2" fontId="24" fillId="0" borderId="2" xfId="9" applyNumberFormat="1" applyFont="1" applyFill="1" applyBorder="1" applyAlignment="1">
      <alignment horizontal="center" vertical="center" wrapText="1"/>
    </xf>
    <xf numFmtId="0" fontId="27" fillId="4" borderId="31" xfId="0" applyFont="1" applyFill="1" applyBorder="1" applyAlignment="1" applyProtection="1">
      <alignment vertical="center"/>
      <protection locked="0"/>
    </xf>
    <xf numFmtId="0" fontId="27" fillId="4" borderId="32" xfId="0" applyFont="1" applyFill="1" applyBorder="1" applyAlignment="1" applyProtection="1">
      <alignment vertical="center"/>
      <protection locked="0"/>
    </xf>
    <xf numFmtId="0" fontId="27" fillId="4" borderId="74" xfId="0" applyFont="1" applyFill="1" applyBorder="1" applyAlignment="1" applyProtection="1">
      <alignment horizontal="center" vertical="center" wrapText="1"/>
      <protection locked="0"/>
    </xf>
    <xf numFmtId="0" fontId="27" fillId="4" borderId="75" xfId="0" applyFont="1" applyFill="1" applyBorder="1" applyAlignment="1" applyProtection="1">
      <alignment vertical="center"/>
      <protection locked="0"/>
    </xf>
    <xf numFmtId="0" fontId="27" fillId="4" borderId="32" xfId="0" applyFont="1" applyFill="1" applyBorder="1" applyAlignment="1" applyProtection="1">
      <alignment vertical="center" wrapText="1"/>
      <protection locked="0"/>
    </xf>
    <xf numFmtId="0" fontId="2" fillId="0" borderId="0" xfId="14"/>
    <xf numFmtId="0" fontId="2" fillId="5" borderId="23" xfId="14" applyFill="1" applyBorder="1" applyAlignment="1">
      <alignment horizontal="left"/>
    </xf>
    <xf numFmtId="0" fontId="2" fillId="5" borderId="26" xfId="14" applyFill="1" applyBorder="1" applyAlignment="1">
      <alignment horizontal="left"/>
    </xf>
    <xf numFmtId="0" fontId="2" fillId="5" borderId="27" xfId="14" applyFill="1" applyBorder="1" applyAlignment="1">
      <alignment horizontal="left"/>
    </xf>
    <xf numFmtId="0" fontId="6" fillId="5" borderId="22" xfId="14" applyFont="1" applyFill="1" applyBorder="1" applyAlignment="1" applyProtection="1">
      <alignment vertical="center"/>
      <protection locked="0"/>
    </xf>
    <xf numFmtId="0" fontId="2" fillId="5" borderId="22" xfId="14" applyFill="1" applyBorder="1"/>
    <xf numFmtId="0" fontId="8" fillId="0" borderId="61" xfId="14" applyFont="1" applyBorder="1" applyAlignment="1" applyProtection="1">
      <alignment horizontal="center" vertical="center"/>
      <protection locked="0"/>
    </xf>
    <xf numFmtId="0" fontId="8" fillId="0" borderId="16" xfId="14" applyFont="1" applyBorder="1" applyAlignment="1" applyProtection="1">
      <alignment horizontal="center" vertical="center"/>
      <protection locked="0"/>
    </xf>
    <xf numFmtId="0" fontId="8" fillId="0" borderId="16" xfId="14" applyFont="1" applyBorder="1" applyAlignment="1" applyProtection="1">
      <alignment horizontal="center" vertical="center" wrapText="1"/>
      <protection locked="0"/>
    </xf>
    <xf numFmtId="0" fontId="8" fillId="0" borderId="0" xfId="14" applyFont="1" applyAlignment="1" applyProtection="1">
      <alignment horizontal="center" vertical="center" wrapText="1"/>
      <protection locked="0"/>
    </xf>
    <xf numFmtId="43" fontId="6" fillId="0" borderId="34" xfId="15" applyFont="1" applyFill="1" applyBorder="1" applyAlignment="1" applyProtection="1">
      <alignment horizontal="right" vertical="center"/>
      <protection locked="0"/>
    </xf>
    <xf numFmtId="43" fontId="23" fillId="0" borderId="34" xfId="15" applyFont="1" applyFill="1" applyBorder="1" applyAlignment="1" applyProtection="1">
      <alignment horizontal="right" vertical="center"/>
      <protection locked="0"/>
    </xf>
    <xf numFmtId="43" fontId="41" fillId="0" borderId="0" xfId="14" applyNumberFormat="1" applyFont="1"/>
    <xf numFmtId="0" fontId="6" fillId="5" borderId="0" xfId="14" applyFont="1" applyFill="1" applyAlignment="1" applyProtection="1">
      <alignment horizontal="center" vertical="center"/>
      <protection locked="0"/>
    </xf>
    <xf numFmtId="43" fontId="23" fillId="5" borderId="0" xfId="15" applyFont="1" applyFill="1" applyBorder="1" applyAlignment="1" applyProtection="1">
      <alignment vertical="center"/>
      <protection locked="0"/>
    </xf>
    <xf numFmtId="2" fontId="41" fillId="0" borderId="0" xfId="14" applyNumberFormat="1" applyFont="1"/>
    <xf numFmtId="43" fontId="6" fillId="5" borderId="0" xfId="15" applyFont="1" applyFill="1" applyBorder="1" applyAlignment="1" applyProtection="1">
      <alignment vertical="center"/>
      <protection locked="0"/>
    </xf>
    <xf numFmtId="43" fontId="6" fillId="5" borderId="0" xfId="15" applyFont="1" applyFill="1" applyBorder="1" applyAlignment="1" applyProtection="1">
      <alignment horizontal="right" vertical="center"/>
      <protection locked="0"/>
    </xf>
    <xf numFmtId="0" fontId="2" fillId="5" borderId="0" xfId="14" applyFill="1"/>
    <xf numFmtId="0" fontId="6" fillId="5" borderId="0" xfId="14" applyFont="1" applyFill="1" applyAlignment="1" applyProtection="1">
      <alignment vertical="center"/>
      <protection locked="0"/>
    </xf>
    <xf numFmtId="43" fontId="23" fillId="0" borderId="0" xfId="15" applyFont="1" applyFill="1" applyBorder="1" applyAlignment="1" applyProtection="1">
      <alignment horizontal="right" vertical="center"/>
      <protection locked="0"/>
    </xf>
    <xf numFmtId="169" fontId="23" fillId="0" borderId="34" xfId="15" applyNumberFormat="1" applyFont="1" applyFill="1" applyBorder="1" applyAlignment="1" applyProtection="1">
      <alignment horizontal="right" vertical="center"/>
      <protection locked="0"/>
    </xf>
    <xf numFmtId="2" fontId="2" fillId="0" borderId="0" xfId="14" applyNumberFormat="1"/>
    <xf numFmtId="43" fontId="22" fillId="5" borderId="0" xfId="14" applyNumberFormat="1" applyFont="1" applyFill="1" applyAlignment="1">
      <alignment horizontal="center"/>
    </xf>
    <xf numFmtId="43" fontId="40" fillId="0" borderId="0" xfId="15" applyFont="1" applyFill="1" applyBorder="1" applyAlignment="1" applyProtection="1">
      <alignment horizontal="right" vertical="center"/>
      <protection locked="0"/>
    </xf>
    <xf numFmtId="43" fontId="2" fillId="5" borderId="0" xfId="14" applyNumberFormat="1" applyFill="1"/>
    <xf numFmtId="43" fontId="23" fillId="5" borderId="0" xfId="15" applyFont="1" applyFill="1" applyBorder="1" applyAlignment="1" applyProtection="1">
      <alignment horizontal="right" vertical="center"/>
      <protection locked="0"/>
    </xf>
    <xf numFmtId="169" fontId="23" fillId="5" borderId="0" xfId="15" applyNumberFormat="1" applyFont="1" applyFill="1" applyBorder="1" applyAlignment="1" applyProtection="1">
      <alignment horizontal="right" vertical="center"/>
      <protection locked="0"/>
    </xf>
    <xf numFmtId="0" fontId="6" fillId="5" borderId="26" xfId="14" applyFont="1" applyFill="1" applyBorder="1" applyAlignment="1" applyProtection="1">
      <alignment horizontal="center" vertical="center"/>
      <protection locked="0"/>
    </xf>
    <xf numFmtId="0" fontId="40" fillId="5" borderId="0" xfId="14" applyFont="1" applyFill="1" applyAlignment="1">
      <alignment vertical="center" wrapText="1"/>
    </xf>
    <xf numFmtId="0" fontId="38" fillId="0" borderId="0" xfId="14" applyFont="1"/>
    <xf numFmtId="43" fontId="6" fillId="0" borderId="0" xfId="15" applyFont="1" applyFill="1" applyBorder="1" applyAlignment="1" applyProtection="1">
      <alignment vertical="center"/>
      <protection locked="0"/>
    </xf>
    <xf numFmtId="2" fontId="2" fillId="0" borderId="0" xfId="14" applyNumberFormat="1" applyAlignment="1">
      <alignment horizontal="center"/>
    </xf>
    <xf numFmtId="0" fontId="22" fillId="0" borderId="0" xfId="14" applyFont="1"/>
    <xf numFmtId="2" fontId="22" fillId="0" borderId="0" xfId="14" applyNumberFormat="1" applyFont="1"/>
    <xf numFmtId="0" fontId="8" fillId="0" borderId="0" xfId="14" applyFont="1" applyAlignment="1">
      <alignment horizontal="center"/>
    </xf>
    <xf numFmtId="0" fontId="22" fillId="0" borderId="0" xfId="14" applyFont="1" applyAlignment="1">
      <alignment horizontal="center"/>
    </xf>
    <xf numFmtId="0" fontId="2" fillId="0" borderId="0" xfId="14" applyAlignment="1">
      <alignment horizontal="center"/>
    </xf>
    <xf numFmtId="0" fontId="2" fillId="0" borderId="0" xfId="14" applyAlignment="1">
      <alignment wrapText="1"/>
    </xf>
    <xf numFmtId="0" fontId="22" fillId="0" borderId="0" xfId="14" applyFont="1" applyAlignment="1">
      <alignment wrapText="1"/>
    </xf>
    <xf numFmtId="2" fontId="2" fillId="0" borderId="0" xfId="14" applyNumberFormat="1" applyAlignment="1">
      <alignment horizontal="center" vertical="center"/>
    </xf>
    <xf numFmtId="2" fontId="38" fillId="0" borderId="0" xfId="14" applyNumberFormat="1" applyFont="1" applyAlignment="1">
      <alignment horizontal="center"/>
    </xf>
    <xf numFmtId="0" fontId="41" fillId="0" borderId="0" xfId="14" applyFont="1"/>
    <xf numFmtId="0" fontId="8" fillId="0" borderId="0" xfId="14" applyFont="1" applyAlignment="1">
      <alignment horizontal="center" vertical="center"/>
    </xf>
    <xf numFmtId="0" fontId="8" fillId="0" borderId="0" xfId="14" applyFont="1" applyAlignment="1">
      <alignment horizontal="center" vertical="center" wrapText="1"/>
    </xf>
    <xf numFmtId="2" fontId="2" fillId="0" borderId="0" xfId="14" applyNumberFormat="1" applyAlignment="1">
      <alignment horizontal="right" vertical="center"/>
    </xf>
    <xf numFmtId="2" fontId="38" fillId="0" borderId="0" xfId="14" applyNumberFormat="1" applyFont="1" applyAlignment="1">
      <alignment horizontal="center" vertical="center"/>
    </xf>
    <xf numFmtId="0" fontId="2" fillId="0" borderId="0" xfId="14" applyAlignment="1">
      <alignment vertical="center" wrapText="1"/>
    </xf>
    <xf numFmtId="0" fontId="2" fillId="0" borderId="0" xfId="14" applyAlignment="1">
      <alignment vertical="center"/>
    </xf>
    <xf numFmtId="0" fontId="2" fillId="0" borderId="0" xfId="14" applyAlignment="1">
      <alignment horizontal="center" vertical="center"/>
    </xf>
    <xf numFmtId="2" fontId="22" fillId="0" borderId="0" xfId="14" applyNumberFormat="1" applyFont="1" applyAlignment="1">
      <alignment horizontal="right" vertical="center"/>
    </xf>
    <xf numFmtId="0" fontId="43" fillId="0" borderId="0" xfId="14" applyFont="1"/>
    <xf numFmtId="2" fontId="2" fillId="0" borderId="0" xfId="14" applyNumberFormat="1" applyAlignment="1">
      <alignment vertical="center"/>
    </xf>
    <xf numFmtId="0" fontId="44" fillId="0" borderId="0" xfId="14" applyFont="1"/>
    <xf numFmtId="0" fontId="44" fillId="0" borderId="0" xfId="14" applyFont="1" applyAlignment="1">
      <alignment horizontal="left" wrapText="1"/>
    </xf>
    <xf numFmtId="0" fontId="2" fillId="0" borderId="0" xfId="14" applyAlignment="1">
      <alignment horizontal="center" vertical="center" wrapText="1"/>
    </xf>
    <xf numFmtId="0" fontId="44" fillId="0" borderId="0" xfId="14" applyFont="1" applyAlignment="1">
      <alignment wrapText="1"/>
    </xf>
    <xf numFmtId="0" fontId="2" fillId="0" borderId="0" xfId="14" applyAlignment="1">
      <alignment horizontal="center" wrapText="1"/>
    </xf>
    <xf numFmtId="2" fontId="22" fillId="0" borderId="0" xfId="14" applyNumberFormat="1" applyFont="1" applyAlignment="1">
      <alignment horizontal="right" wrapText="1"/>
    </xf>
    <xf numFmtId="0" fontId="22" fillId="0" borderId="0" xfId="14" applyFont="1" applyAlignment="1">
      <alignment horizontal="left" wrapText="1"/>
    </xf>
    <xf numFmtId="0" fontId="22" fillId="9" borderId="0" xfId="14" applyFont="1" applyFill="1"/>
    <xf numFmtId="2" fontId="22" fillId="9" borderId="0" xfId="14" applyNumberFormat="1" applyFont="1" applyFill="1"/>
    <xf numFmtId="0" fontId="44" fillId="0" borderId="0" xfId="14" applyFont="1" applyAlignment="1">
      <alignment horizontal="left"/>
    </xf>
    <xf numFmtId="0" fontId="45" fillId="0" borderId="0" xfId="14" applyFont="1"/>
    <xf numFmtId="0" fontId="45" fillId="0" borderId="0" xfId="14" applyFont="1" applyAlignment="1">
      <alignment horizontal="left" wrapText="1"/>
    </xf>
    <xf numFmtId="0" fontId="19" fillId="7" borderId="9" xfId="0" applyFont="1" applyFill="1" applyBorder="1" applyAlignment="1">
      <alignment horizontal="center" vertical="center"/>
    </xf>
    <xf numFmtId="0" fontId="47" fillId="0" borderId="0" xfId="18" applyFont="1" applyAlignment="1">
      <alignment vertical="center"/>
    </xf>
    <xf numFmtId="0" fontId="42" fillId="5" borderId="0" xfId="5" applyFont="1" applyFill="1" applyAlignment="1" applyProtection="1">
      <alignment vertical="center"/>
      <protection locked="0"/>
    </xf>
    <xf numFmtId="0" fontId="38" fillId="5" borderId="0" xfId="5" applyFont="1" applyFill="1"/>
    <xf numFmtId="0" fontId="38" fillId="0" borderId="0" xfId="5" applyFont="1"/>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4" xfId="0" applyFont="1" applyBorder="1" applyAlignment="1" applyProtection="1">
      <alignment horizontal="center" vertical="center" wrapText="1"/>
      <protection locked="0"/>
    </xf>
    <xf numFmtId="43" fontId="8" fillId="8" borderId="8" xfId="2" applyFont="1" applyFill="1" applyBorder="1" applyAlignment="1" applyProtection="1">
      <alignment horizontal="right" vertical="center"/>
      <protection locked="0"/>
    </xf>
    <xf numFmtId="0" fontId="42" fillId="5" borderId="0" xfId="0" applyFont="1" applyFill="1" applyAlignment="1" applyProtection="1">
      <alignment vertical="center"/>
      <protection locked="0"/>
    </xf>
    <xf numFmtId="164" fontId="47" fillId="5" borderId="0" xfId="17" applyNumberFormat="1" applyFont="1" applyFill="1" applyBorder="1" applyAlignment="1" applyProtection="1">
      <alignment horizontal="center" vertical="center"/>
      <protection locked="0"/>
    </xf>
    <xf numFmtId="164" fontId="47" fillId="5" borderId="0" xfId="17" applyNumberFormat="1" applyFont="1" applyFill="1" applyBorder="1" applyAlignment="1" applyProtection="1">
      <alignment horizontal="left" vertical="center"/>
      <protection hidden="1"/>
    </xf>
    <xf numFmtId="0" fontId="47" fillId="5" borderId="78" xfId="18" applyFont="1" applyFill="1" applyBorder="1" applyAlignment="1">
      <alignment vertical="center"/>
    </xf>
    <xf numFmtId="49" fontId="47" fillId="5" borderId="65" xfId="16" applyNumberFormat="1" applyFont="1" applyFill="1" applyBorder="1" applyAlignment="1" applyProtection="1">
      <alignment horizontal="center" vertical="center" wrapText="1"/>
      <protection locked="0"/>
    </xf>
    <xf numFmtId="43" fontId="47" fillId="5" borderId="0" xfId="3" applyNumberFormat="1" applyFont="1" applyFill="1" applyAlignment="1" applyProtection="1">
      <alignment horizontal="center" vertical="center"/>
      <protection locked="0"/>
    </xf>
    <xf numFmtId="0" fontId="47" fillId="5" borderId="0" xfId="3" applyFont="1" applyFill="1" applyAlignment="1" applyProtection="1">
      <alignment horizontal="center" vertical="center"/>
      <protection locked="0"/>
    </xf>
    <xf numFmtId="43" fontId="6" fillId="5" borderId="80" xfId="2" applyFont="1" applyFill="1" applyBorder="1" applyAlignment="1" applyProtection="1">
      <alignment horizontal="right" vertical="center"/>
      <protection locked="0"/>
    </xf>
    <xf numFmtId="43" fontId="8" fillId="8" borderId="14" xfId="2" applyFont="1" applyFill="1" applyBorder="1" applyAlignment="1" applyProtection="1">
      <alignment horizontal="right" vertical="center"/>
      <protection locked="0"/>
    </xf>
    <xf numFmtId="0" fontId="8" fillId="0" borderId="82" xfId="14" applyFont="1" applyBorder="1" applyAlignment="1" applyProtection="1">
      <alignment horizontal="center" vertical="center" wrapText="1"/>
      <protection locked="0"/>
    </xf>
    <xf numFmtId="0" fontId="8" fillId="0" borderId="84" xfId="14" applyFont="1" applyBorder="1" applyAlignment="1" applyProtection="1">
      <alignment horizontal="center" vertical="center" wrapText="1"/>
      <protection locked="0"/>
    </xf>
    <xf numFmtId="0" fontId="8" fillId="0" borderId="83" xfId="14" applyFont="1" applyBorder="1" applyAlignment="1" applyProtection="1">
      <alignment horizontal="center" vertical="center" wrapText="1"/>
      <protection locked="0"/>
    </xf>
    <xf numFmtId="0" fontId="8" fillId="0" borderId="85" xfId="14" applyFont="1" applyBorder="1" applyAlignment="1" applyProtection="1">
      <alignment horizontal="center" vertical="center" wrapText="1"/>
      <protection locked="0"/>
    </xf>
    <xf numFmtId="0" fontId="8" fillId="2" borderId="11" xfId="0" applyFont="1" applyFill="1" applyBorder="1" applyAlignment="1">
      <alignment horizontal="left" vertical="center" wrapText="1"/>
    </xf>
    <xf numFmtId="43" fontId="6" fillId="0" borderId="89" xfId="2" applyFont="1" applyFill="1" applyBorder="1" applyAlignment="1" applyProtection="1">
      <alignment horizontal="center" vertical="center"/>
      <protection locked="0"/>
    </xf>
    <xf numFmtId="43" fontId="6" fillId="0" borderId="32" xfId="2" applyFont="1" applyFill="1" applyBorder="1" applyAlignment="1" applyProtection="1">
      <alignment horizontal="center" vertical="center"/>
      <protection locked="0"/>
    </xf>
    <xf numFmtId="43" fontId="6" fillId="0" borderId="90" xfId="2" applyFont="1" applyFill="1" applyBorder="1" applyAlignment="1" applyProtection="1">
      <alignment horizontal="center" vertical="center"/>
      <protection locked="0"/>
    </xf>
    <xf numFmtId="43" fontId="6" fillId="0" borderId="58" xfId="2" applyFont="1" applyFill="1" applyBorder="1" applyAlignment="1" applyProtection="1">
      <alignment horizontal="center" vertical="center"/>
      <protection locked="0"/>
    </xf>
    <xf numFmtId="0" fontId="19" fillId="0" borderId="40" xfId="0" applyFont="1" applyBorder="1" applyAlignment="1">
      <alignment vertical="center"/>
    </xf>
    <xf numFmtId="0" fontId="19" fillId="0" borderId="34" xfId="0" applyFont="1" applyBorder="1" applyAlignment="1">
      <alignment vertical="center" wrapText="1"/>
    </xf>
    <xf numFmtId="0" fontId="19" fillId="0" borderId="34" xfId="0" applyFont="1" applyBorder="1" applyAlignment="1">
      <alignment horizontal="center" vertical="center"/>
    </xf>
    <xf numFmtId="14" fontId="19" fillId="0" borderId="33" xfId="0" applyNumberFormat="1" applyFont="1" applyBorder="1" applyAlignment="1">
      <alignment horizontal="center" vertical="center"/>
    </xf>
    <xf numFmtId="0" fontId="19" fillId="0" borderId="10" xfId="0" applyFont="1" applyBorder="1" applyAlignment="1">
      <alignment horizontal="right" vertical="center"/>
    </xf>
    <xf numFmtId="0" fontId="19" fillId="0" borderId="40" xfId="0" applyFont="1" applyBorder="1" applyAlignment="1">
      <alignment horizontal="centerContinuous" vertical="center"/>
    </xf>
    <xf numFmtId="171" fontId="19" fillId="0" borderId="10" xfId="0" applyNumberFormat="1" applyFont="1" applyBorder="1" applyAlignment="1">
      <alignment vertical="center"/>
    </xf>
    <xf numFmtId="0" fontId="20" fillId="0" borderId="40" xfId="0" applyFont="1" applyBorder="1" applyAlignment="1">
      <alignment vertical="center"/>
    </xf>
    <xf numFmtId="14" fontId="20" fillId="0" borderId="34" xfId="0" applyNumberFormat="1" applyFont="1" applyBorder="1" applyAlignment="1">
      <alignment horizontal="center" vertical="center"/>
    </xf>
    <xf numFmtId="0" fontId="20" fillId="0" borderId="69" xfId="0" applyFont="1" applyBorder="1" applyAlignment="1">
      <alignment horizontal="center" vertical="center"/>
    </xf>
    <xf numFmtId="0" fontId="48" fillId="3" borderId="49" xfId="0" applyFont="1" applyFill="1" applyBorder="1" applyAlignment="1" applyProtection="1">
      <alignment horizontal="left" vertical="center" wrapText="1"/>
      <protection locked="0"/>
    </xf>
    <xf numFmtId="0" fontId="48" fillId="3" borderId="18" xfId="0" applyFont="1" applyFill="1" applyBorder="1" applyAlignment="1" applyProtection="1">
      <alignment vertical="center" wrapText="1"/>
      <protection locked="0"/>
    </xf>
    <xf numFmtId="0" fontId="48" fillId="3" borderId="18" xfId="0" applyFont="1" applyFill="1" applyBorder="1" applyAlignment="1" applyProtection="1">
      <alignment horizontal="center" vertical="center" wrapText="1"/>
      <protection locked="0"/>
    </xf>
    <xf numFmtId="167" fontId="48" fillId="3" borderId="18" xfId="0" applyNumberFormat="1" applyFont="1" applyFill="1" applyBorder="1" applyAlignment="1" applyProtection="1">
      <alignment vertical="center" wrapText="1"/>
      <protection locked="0"/>
    </xf>
    <xf numFmtId="0" fontId="48" fillId="3" borderId="19" xfId="0" applyFont="1" applyFill="1" applyBorder="1" applyAlignment="1" applyProtection="1">
      <alignment vertical="center" wrapText="1"/>
      <protection locked="0"/>
    </xf>
    <xf numFmtId="0" fontId="48" fillId="3" borderId="19" xfId="0" applyFont="1" applyFill="1" applyBorder="1" applyAlignment="1" applyProtection="1">
      <alignment horizontal="center" vertical="center" wrapText="1"/>
      <protection locked="0"/>
    </xf>
    <xf numFmtId="167" fontId="48" fillId="3" borderId="19" xfId="0" applyNumberFormat="1" applyFont="1" applyFill="1" applyBorder="1" applyAlignment="1" applyProtection="1">
      <alignment vertical="center" wrapText="1"/>
      <protection locked="0"/>
    </xf>
    <xf numFmtId="0" fontId="48" fillId="3" borderId="95" xfId="0" applyFont="1" applyFill="1" applyBorder="1" applyAlignment="1" applyProtection="1">
      <alignment vertical="center" wrapText="1"/>
      <protection locked="0"/>
    </xf>
    <xf numFmtId="0" fontId="48" fillId="3" borderId="95" xfId="0" applyFont="1" applyFill="1" applyBorder="1" applyAlignment="1" applyProtection="1">
      <alignment horizontal="center" vertical="center" wrapText="1"/>
      <protection locked="0"/>
    </xf>
    <xf numFmtId="167" fontId="48" fillId="3" borderId="95" xfId="0" applyNumberFormat="1" applyFont="1" applyFill="1" applyBorder="1" applyAlignment="1" applyProtection="1">
      <alignment vertical="center" wrapText="1"/>
      <protection locked="0"/>
    </xf>
    <xf numFmtId="0" fontId="48" fillId="3" borderId="96" xfId="0" applyFont="1" applyFill="1" applyBorder="1" applyAlignment="1" applyProtection="1">
      <alignment horizontal="left" vertical="center" wrapText="1"/>
      <protection locked="0"/>
    </xf>
    <xf numFmtId="0" fontId="48" fillId="3" borderId="98" xfId="0" applyFont="1" applyFill="1" applyBorder="1" applyAlignment="1" applyProtection="1">
      <alignment horizontal="left" vertical="center" wrapText="1"/>
      <protection locked="0"/>
    </xf>
    <xf numFmtId="0" fontId="0" fillId="5" borderId="25" xfId="0" applyFill="1" applyBorder="1"/>
    <xf numFmtId="4" fontId="35" fillId="3" borderId="18" xfId="0" applyNumberFormat="1" applyFont="1" applyFill="1" applyBorder="1" applyAlignment="1" applyProtection="1">
      <alignment vertical="center" wrapText="1"/>
      <protection locked="0"/>
    </xf>
    <xf numFmtId="0" fontId="20" fillId="3" borderId="18" xfId="0" applyFont="1" applyFill="1" applyBorder="1" applyAlignment="1" applyProtection="1">
      <alignment horizontal="left" vertical="center" wrapText="1"/>
      <protection locked="0"/>
    </xf>
    <xf numFmtId="0" fontId="20" fillId="3" borderId="18" xfId="0" applyFont="1" applyFill="1" applyBorder="1" applyAlignment="1" applyProtection="1">
      <alignment vertical="center" wrapText="1"/>
      <protection locked="0"/>
    </xf>
    <xf numFmtId="0" fontId="35" fillId="3" borderId="18" xfId="0" quotePrefix="1" applyFont="1" applyFill="1" applyBorder="1" applyAlignment="1" applyProtection="1">
      <alignment horizontal="left" vertical="center" wrapText="1"/>
      <protection locked="0"/>
    </xf>
    <xf numFmtId="17" fontId="37" fillId="3" borderId="34" xfId="3" applyNumberFormat="1" applyFont="1" applyFill="1" applyBorder="1" applyAlignment="1" applyProtection="1">
      <alignment horizontal="center" vertical="center" wrapText="1"/>
      <protection locked="0"/>
    </xf>
    <xf numFmtId="0" fontId="36" fillId="5" borderId="40" xfId="3" applyFont="1" applyFill="1" applyBorder="1" applyAlignment="1">
      <alignment horizontal="centerContinuous" vertical="center" wrapText="1"/>
    </xf>
    <xf numFmtId="0" fontId="20" fillId="0" borderId="34" xfId="3" applyFont="1" applyBorder="1" applyAlignment="1">
      <alignment horizontal="left" vertical="center" wrapText="1"/>
    </xf>
    <xf numFmtId="0" fontId="19" fillId="3" borderId="34" xfId="3" applyFont="1" applyFill="1" applyBorder="1" applyAlignment="1" applyProtection="1">
      <alignment horizontal="left" vertical="center" wrapText="1"/>
      <protection locked="0"/>
    </xf>
    <xf numFmtId="0" fontId="19" fillId="3" borderId="34" xfId="3" applyFont="1" applyFill="1" applyBorder="1" applyAlignment="1" applyProtection="1">
      <alignment horizontal="center" vertical="center"/>
      <protection locked="0"/>
    </xf>
    <xf numFmtId="17" fontId="19" fillId="3" borderId="34" xfId="3" applyNumberFormat="1" applyFont="1" applyFill="1" applyBorder="1" applyAlignment="1" applyProtection="1">
      <alignment horizontal="center" vertical="center" wrapText="1"/>
      <protection locked="0"/>
    </xf>
    <xf numFmtId="165" fontId="19" fillId="0" borderId="69" xfId="3" applyNumberFormat="1" applyFont="1" applyBorder="1" applyAlignment="1">
      <alignment vertical="center"/>
    </xf>
    <xf numFmtId="0" fontId="20" fillId="0" borderId="40" xfId="3" applyFont="1" applyBorder="1" applyAlignment="1">
      <alignment vertical="center"/>
    </xf>
    <xf numFmtId="0" fontId="20" fillId="0" borderId="34" xfId="3" applyFont="1" applyBorder="1" applyAlignment="1">
      <alignment horizontal="left" vertical="center"/>
    </xf>
    <xf numFmtId="0" fontId="20" fillId="0" borderId="34" xfId="3" applyFont="1" applyBorder="1" applyAlignment="1">
      <alignment vertical="center"/>
    </xf>
    <xf numFmtId="0" fontId="20" fillId="0" borderId="34" xfId="3" applyFont="1" applyBorder="1" applyAlignment="1">
      <alignment horizontal="center" vertical="center"/>
    </xf>
    <xf numFmtId="0" fontId="20" fillId="0" borderId="69" xfId="3" applyFont="1" applyBorder="1" applyAlignment="1">
      <alignment horizontal="center" vertical="center"/>
    </xf>
    <xf numFmtId="167" fontId="35" fillId="3" borderId="18" xfId="3" applyNumberFormat="1" applyFont="1" applyFill="1" applyBorder="1" applyAlignment="1" applyProtection="1">
      <alignment vertical="center" wrapText="1"/>
      <protection locked="0"/>
    </xf>
    <xf numFmtId="165" fontId="35" fillId="0" borderId="97" xfId="3" applyNumberFormat="1" applyFont="1" applyBorder="1" applyAlignment="1">
      <alignment vertical="center"/>
    </xf>
    <xf numFmtId="14" fontId="48" fillId="3" borderId="19" xfId="0" applyNumberFormat="1" applyFont="1" applyFill="1" applyBorder="1" applyAlignment="1" applyProtection="1">
      <alignment vertical="center" wrapText="1"/>
      <protection locked="0"/>
    </xf>
    <xf numFmtId="165" fontId="48" fillId="3" borderId="97" xfId="0" applyNumberFormat="1" applyFont="1" applyFill="1" applyBorder="1" applyAlignment="1" applyProtection="1">
      <alignment vertical="center"/>
      <protection locked="0"/>
    </xf>
    <xf numFmtId="17" fontId="50" fillId="3" borderId="34" xfId="0" applyNumberFormat="1" applyFont="1" applyFill="1" applyBorder="1" applyAlignment="1" applyProtection="1">
      <alignment horizontal="center" vertical="center"/>
      <protection locked="0"/>
    </xf>
    <xf numFmtId="165" fontId="48" fillId="3" borderId="94" xfId="0" applyNumberFormat="1" applyFont="1" applyFill="1" applyBorder="1" applyAlignment="1" applyProtection="1">
      <alignment vertical="center"/>
      <protection locked="0"/>
    </xf>
    <xf numFmtId="165" fontId="48" fillId="3" borderId="99" xfId="0" applyNumberFormat="1" applyFont="1" applyFill="1" applyBorder="1" applyAlignment="1" applyProtection="1">
      <alignment vertical="center"/>
      <protection locked="0"/>
    </xf>
    <xf numFmtId="43" fontId="51" fillId="8" borderId="71" xfId="15" applyFont="1" applyFill="1" applyBorder="1" applyAlignment="1" applyProtection="1">
      <alignment horizontal="center" vertical="center"/>
      <protection locked="0"/>
    </xf>
    <xf numFmtId="43" fontId="51" fillId="8" borderId="86" xfId="15" applyFont="1" applyFill="1" applyBorder="1" applyAlignment="1" applyProtection="1">
      <alignment horizontal="center" vertical="center"/>
      <protection locked="0"/>
    </xf>
    <xf numFmtId="43" fontId="51" fillId="8" borderId="87" xfId="15" applyFont="1" applyFill="1" applyBorder="1" applyAlignment="1" applyProtection="1">
      <alignment horizontal="center" vertical="center"/>
      <protection locked="0"/>
    </xf>
    <xf numFmtId="0" fontId="43" fillId="5" borderId="0" xfId="14" applyFont="1" applyFill="1" applyAlignment="1">
      <alignment horizontal="center"/>
    </xf>
    <xf numFmtId="0" fontId="43" fillId="0" borderId="0" xfId="14" applyFont="1" applyAlignment="1">
      <alignment horizontal="center"/>
    </xf>
    <xf numFmtId="2" fontId="41" fillId="0" borderId="0" xfId="14" applyNumberFormat="1" applyFont="1" applyAlignment="1">
      <alignment vertical="center"/>
    </xf>
    <xf numFmtId="0" fontId="8" fillId="0" borderId="47" xfId="5" applyFont="1" applyBorder="1" applyAlignment="1" applyProtection="1">
      <alignment horizontal="center" vertical="center" wrapText="1"/>
      <protection locked="0"/>
    </xf>
    <xf numFmtId="0" fontId="23" fillId="0" borderId="0" xfId="0" applyFont="1" applyAlignment="1">
      <alignment vertical="center"/>
    </xf>
    <xf numFmtId="0" fontId="8" fillId="0" borderId="0" xfId="0" applyFont="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43" fontId="6" fillId="0" borderId="101" xfId="2" applyFont="1" applyFill="1" applyBorder="1" applyAlignment="1" applyProtection="1">
      <alignment horizontal="center" vertical="center"/>
      <protection locked="0"/>
    </xf>
    <xf numFmtId="43" fontId="6" fillId="0" borderId="102" xfId="2" applyFont="1" applyFill="1" applyBorder="1" applyAlignment="1" applyProtection="1">
      <alignment horizontal="center" vertical="center"/>
      <protection locked="0"/>
    </xf>
    <xf numFmtId="43" fontId="8" fillId="0" borderId="0" xfId="2" applyFont="1" applyFill="1" applyBorder="1" applyAlignment="1" applyProtection="1">
      <alignment horizontal="right" vertical="center"/>
      <protection locked="0"/>
    </xf>
    <xf numFmtId="0" fontId="48" fillId="3" borderId="23" xfId="0" applyFont="1" applyFill="1" applyBorder="1" applyAlignment="1" applyProtection="1">
      <alignment horizontal="left" vertical="center" wrapText="1"/>
      <protection locked="0"/>
    </xf>
    <xf numFmtId="14" fontId="48" fillId="3" borderId="5" xfId="0" applyNumberFormat="1" applyFont="1" applyFill="1" applyBorder="1" applyAlignment="1" applyProtection="1">
      <alignment vertical="center" wrapText="1"/>
      <protection locked="0"/>
    </xf>
    <xf numFmtId="165" fontId="48" fillId="3" borderId="25" xfId="0" applyNumberFormat="1" applyFont="1" applyFill="1" applyBorder="1" applyAlignment="1" applyProtection="1">
      <alignment vertical="center"/>
      <protection locked="0"/>
    </xf>
    <xf numFmtId="4" fontId="19" fillId="3" borderId="33" xfId="0" applyNumberFormat="1" applyFont="1" applyFill="1" applyBorder="1" applyAlignment="1" applyProtection="1">
      <alignment horizontal="left" vertical="center" wrapText="1"/>
      <protection locked="0"/>
    </xf>
    <xf numFmtId="0" fontId="19" fillId="3" borderId="34" xfId="0" applyFont="1" applyFill="1" applyBorder="1" applyAlignment="1" applyProtection="1">
      <alignment horizontal="center" vertical="center"/>
      <protection locked="0"/>
    </xf>
    <xf numFmtId="49" fontId="20" fillId="3" borderId="18" xfId="0" applyNumberFormat="1" applyFont="1" applyFill="1" applyBorder="1" applyAlignment="1" applyProtection="1">
      <alignment horizontal="left" vertical="center" wrapText="1"/>
      <protection locked="0"/>
    </xf>
    <xf numFmtId="4" fontId="20" fillId="3" borderId="18" xfId="0" applyNumberFormat="1" applyFont="1" applyFill="1" applyBorder="1" applyAlignment="1" applyProtection="1">
      <alignment vertical="center" wrapText="1"/>
      <protection locked="0"/>
    </xf>
    <xf numFmtId="2" fontId="7" fillId="0" borderId="2" xfId="9" applyNumberFormat="1" applyFont="1" applyFill="1" applyBorder="1" applyAlignment="1">
      <alignment horizontal="center" vertical="center" wrapText="1"/>
    </xf>
    <xf numFmtId="4" fontId="7" fillId="0" borderId="2"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7" fillId="0" borderId="7" xfId="0" applyNumberFormat="1" applyFont="1" applyBorder="1" applyAlignment="1">
      <alignment horizontal="center" vertical="center" wrapText="1"/>
    </xf>
    <xf numFmtId="0" fontId="6" fillId="0" borderId="0" xfId="0" applyFont="1" applyAlignment="1">
      <alignment vertical="center"/>
    </xf>
    <xf numFmtId="165" fontId="7" fillId="0" borderId="0" xfId="0" applyNumberFormat="1" applyFont="1" applyAlignment="1">
      <alignment horizontal="center" vertical="center" wrapText="1"/>
    </xf>
    <xf numFmtId="165" fontId="6" fillId="0" borderId="0" xfId="0" applyNumberFormat="1" applyFont="1"/>
    <xf numFmtId="0" fontId="6" fillId="0" borderId="0" xfId="0" applyFont="1"/>
    <xf numFmtId="0" fontId="0" fillId="2" borderId="25" xfId="0" applyFill="1" applyBorder="1"/>
    <xf numFmtId="165" fontId="8" fillId="2" borderId="0" xfId="0" applyNumberFormat="1" applyFont="1" applyFill="1" applyAlignment="1">
      <alignment horizontal="left" vertical="center"/>
    </xf>
    <xf numFmtId="0" fontId="8" fillId="2" borderId="108" xfId="0" applyFont="1" applyFill="1" applyBorder="1" applyAlignment="1">
      <alignment horizontal="center" vertical="center"/>
    </xf>
    <xf numFmtId="10" fontId="15" fillId="2" borderId="109" xfId="0" applyNumberFormat="1" applyFont="1" applyFill="1" applyBorder="1" applyAlignment="1">
      <alignment vertical="top" wrapText="1"/>
    </xf>
    <xf numFmtId="4" fontId="15" fillId="2" borderId="110" xfId="0" applyNumberFormat="1" applyFont="1" applyFill="1" applyBorder="1" applyAlignment="1">
      <alignment vertical="top" wrapText="1"/>
    </xf>
    <xf numFmtId="4" fontId="15" fillId="2" borderId="94" xfId="0" applyNumberFormat="1" applyFont="1" applyFill="1" applyBorder="1" applyAlignment="1">
      <alignment vertical="top" wrapText="1"/>
    </xf>
    <xf numFmtId="10" fontId="18" fillId="2" borderId="97" xfId="0" applyNumberFormat="1" applyFont="1" applyFill="1" applyBorder="1" applyAlignment="1">
      <alignment vertical="top" wrapText="1"/>
    </xf>
    <xf numFmtId="166" fontId="18" fillId="2" borderId="111" xfId="0" applyNumberFormat="1" applyFont="1" applyFill="1" applyBorder="1" applyAlignment="1">
      <alignment vertical="top" wrapText="1"/>
    </xf>
    <xf numFmtId="0" fontId="0" fillId="2" borderId="76" xfId="0" applyFill="1" applyBorder="1" applyAlignment="1">
      <alignment vertical="center"/>
    </xf>
    <xf numFmtId="0" fontId="8" fillId="2" borderId="21" xfId="0" applyFont="1" applyFill="1" applyBorder="1" applyAlignment="1">
      <alignment wrapText="1"/>
    </xf>
    <xf numFmtId="0" fontId="8" fillId="2" borderId="22" xfId="0" applyFont="1" applyFill="1" applyBorder="1" applyAlignment="1">
      <alignment wrapText="1"/>
    </xf>
    <xf numFmtId="0" fontId="8" fillId="5" borderId="0" xfId="0" applyFont="1" applyFill="1" applyAlignment="1">
      <alignment wrapText="1"/>
    </xf>
    <xf numFmtId="0" fontId="8" fillId="5" borderId="0" xfId="0" applyFont="1" applyFill="1" applyAlignment="1">
      <alignment horizontal="center" wrapText="1"/>
    </xf>
    <xf numFmtId="0" fontId="0" fillId="5" borderId="0" xfId="0" applyFill="1" applyAlignment="1">
      <alignment wrapText="1"/>
    </xf>
    <xf numFmtId="0" fontId="9" fillId="5" borderId="0" xfId="0" applyFont="1" applyFill="1" applyAlignment="1">
      <alignment horizontal="center" vertical="center"/>
    </xf>
    <xf numFmtId="0" fontId="33" fillId="5" borderId="21" xfId="0" applyFont="1" applyFill="1" applyBorder="1"/>
    <xf numFmtId="0" fontId="33" fillId="5" borderId="22" xfId="0" applyFont="1" applyFill="1" applyBorder="1"/>
    <xf numFmtId="0" fontId="33" fillId="5" borderId="29" xfId="0" applyFont="1" applyFill="1" applyBorder="1"/>
    <xf numFmtId="0" fontId="33" fillId="5" borderId="23" xfId="0" applyFont="1" applyFill="1" applyBorder="1"/>
    <xf numFmtId="0" fontId="33" fillId="5" borderId="25" xfId="0" applyFont="1" applyFill="1" applyBorder="1"/>
    <xf numFmtId="0" fontId="0" fillId="0" borderId="50" xfId="0" applyBorder="1"/>
    <xf numFmtId="0" fontId="19" fillId="7" borderId="39" xfId="0" applyFont="1" applyFill="1" applyBorder="1" applyAlignment="1">
      <alignment horizontal="center" vertical="center"/>
    </xf>
    <xf numFmtId="0" fontId="19" fillId="7" borderId="10" xfId="0" applyFont="1" applyFill="1" applyBorder="1" applyAlignment="1">
      <alignment horizontal="center" vertical="center"/>
    </xf>
    <xf numFmtId="0" fontId="20" fillId="0" borderId="40" xfId="0" applyFont="1" applyBorder="1" applyAlignment="1">
      <alignment horizontal="centerContinuous" vertical="center" wrapText="1"/>
    </xf>
    <xf numFmtId="165" fontId="19" fillId="0" borderId="10" xfId="0" applyNumberFormat="1" applyFont="1" applyBorder="1" applyAlignment="1">
      <alignment vertical="center"/>
    </xf>
    <xf numFmtId="165" fontId="20" fillId="0" borderId="97" xfId="0" quotePrefix="1" applyNumberFormat="1" applyFont="1" applyBorder="1" applyAlignment="1">
      <alignment vertical="center"/>
    </xf>
    <xf numFmtId="0" fontId="35" fillId="3" borderId="112" xfId="3" applyFont="1" applyFill="1" applyBorder="1" applyAlignment="1" applyProtection="1">
      <alignment horizontal="center" vertical="center" wrapText="1"/>
      <protection locked="0"/>
    </xf>
    <xf numFmtId="0" fontId="20" fillId="3" borderId="20" xfId="0" applyFont="1" applyFill="1" applyBorder="1" applyAlignment="1" applyProtection="1">
      <alignment horizontal="left" vertical="center" wrapText="1"/>
      <protection locked="0"/>
    </xf>
    <xf numFmtId="0" fontId="20" fillId="3" borderId="20" xfId="0" applyFont="1" applyFill="1" applyBorder="1" applyAlignment="1" applyProtection="1">
      <alignment vertical="center" wrapText="1"/>
      <protection locked="0"/>
    </xf>
    <xf numFmtId="0" fontId="35" fillId="3" borderId="20" xfId="0" applyFont="1" applyFill="1" applyBorder="1" applyAlignment="1" applyProtection="1">
      <alignment horizontal="center" vertical="center" wrapText="1"/>
      <protection locked="0"/>
    </xf>
    <xf numFmtId="167" fontId="35" fillId="3" borderId="20" xfId="3" applyNumberFormat="1" applyFont="1" applyFill="1" applyBorder="1" applyAlignment="1" applyProtection="1">
      <alignment vertical="center" wrapText="1"/>
      <protection locked="0"/>
    </xf>
    <xf numFmtId="165" fontId="35" fillId="3" borderId="20" xfId="3" applyNumberFormat="1" applyFont="1" applyFill="1" applyBorder="1" applyAlignment="1" applyProtection="1">
      <alignment vertical="center" wrapText="1"/>
      <protection locked="0"/>
    </xf>
    <xf numFmtId="165" fontId="35" fillId="0" borderId="113" xfId="3" applyNumberFormat="1" applyFont="1" applyBorder="1" applyAlignment="1">
      <alignment vertical="center"/>
    </xf>
    <xf numFmtId="43" fontId="40" fillId="0" borderId="114" xfId="15" applyFont="1" applyFill="1" applyBorder="1" applyAlignment="1" applyProtection="1">
      <alignment horizontal="right" vertical="center"/>
      <protection locked="0"/>
    </xf>
    <xf numFmtId="0" fontId="8" fillId="0" borderId="108" xfId="14" applyFont="1" applyBorder="1" applyAlignment="1" applyProtection="1">
      <alignment horizontal="center" vertical="center" wrapText="1"/>
      <protection locked="0"/>
    </xf>
    <xf numFmtId="43" fontId="23" fillId="0" borderId="42" xfId="15" applyFont="1" applyFill="1" applyBorder="1" applyAlignment="1" applyProtection="1">
      <alignment horizontal="right" vertical="center"/>
      <protection locked="0"/>
    </xf>
    <xf numFmtId="169" fontId="23" fillId="0" borderId="42" xfId="15" applyNumberFormat="1" applyFont="1" applyFill="1" applyBorder="1" applyAlignment="1" applyProtection="1">
      <alignment horizontal="right" vertical="center"/>
      <protection locked="0"/>
    </xf>
    <xf numFmtId="0" fontId="6" fillId="0" borderId="40" xfId="14" applyFont="1" applyBorder="1" applyAlignment="1" applyProtection="1">
      <alignment horizontal="center" vertical="center" wrapText="1"/>
      <protection locked="0"/>
    </xf>
    <xf numFmtId="43" fontId="6" fillId="0" borderId="69" xfId="15" applyFont="1" applyBorder="1" applyAlignment="1" applyProtection="1">
      <alignment vertical="center"/>
      <protection locked="0"/>
    </xf>
    <xf numFmtId="0" fontId="6" fillId="0" borderId="41" xfId="14" applyFont="1" applyBorder="1" applyAlignment="1" applyProtection="1">
      <alignment horizontal="center" vertical="center" wrapText="1"/>
      <protection locked="0"/>
    </xf>
    <xf numFmtId="43" fontId="6" fillId="0" borderId="42" xfId="15" applyFont="1" applyFill="1" applyBorder="1" applyAlignment="1" applyProtection="1">
      <alignment horizontal="right" vertical="center"/>
      <protection locked="0"/>
    </xf>
    <xf numFmtId="43" fontId="6" fillId="0" borderId="113" xfId="15" applyFont="1" applyBorder="1" applyAlignment="1" applyProtection="1">
      <alignment vertical="center"/>
      <protection locked="0"/>
    </xf>
    <xf numFmtId="0" fontId="7" fillId="0" borderId="1" xfId="0" applyFont="1" applyBorder="1" applyAlignment="1">
      <alignment horizontal="center" vertical="center" wrapText="1"/>
    </xf>
    <xf numFmtId="2" fontId="7" fillId="5" borderId="2" xfId="9" applyNumberFormat="1" applyFont="1" applyFill="1" applyBorder="1" applyAlignment="1">
      <alignment horizontal="center" vertical="center" wrapText="1"/>
    </xf>
    <xf numFmtId="0" fontId="24" fillId="0" borderId="2" xfId="0" applyFont="1" applyBorder="1" applyAlignment="1">
      <alignment horizontal="center" vertical="center" wrapText="1"/>
    </xf>
    <xf numFmtId="0" fontId="23" fillId="0" borderId="0" xfId="3" applyFont="1"/>
    <xf numFmtId="0" fontId="35" fillId="3" borderId="98" xfId="0" applyFont="1" applyFill="1" applyBorder="1" applyAlignment="1" applyProtection="1">
      <alignment horizontal="left" vertical="center" wrapText="1"/>
      <protection locked="0"/>
    </xf>
    <xf numFmtId="0" fontId="35" fillId="3" borderId="95" xfId="0" applyFont="1" applyFill="1" applyBorder="1" applyAlignment="1" applyProtection="1">
      <alignment vertical="center" wrapText="1"/>
      <protection locked="0"/>
    </xf>
    <xf numFmtId="0" fontId="35" fillId="3" borderId="95" xfId="0" applyFont="1" applyFill="1" applyBorder="1" applyAlignment="1" applyProtection="1">
      <alignment horizontal="center" vertical="center" wrapText="1"/>
      <protection locked="0"/>
    </xf>
    <xf numFmtId="167" fontId="35" fillId="3" borderId="95" xfId="0" applyNumberFormat="1" applyFont="1" applyFill="1" applyBorder="1" applyAlignment="1" applyProtection="1">
      <alignment vertical="center" wrapText="1"/>
      <protection locked="0"/>
    </xf>
    <xf numFmtId="14" fontId="35" fillId="3" borderId="19" xfId="0" applyNumberFormat="1" applyFont="1" applyFill="1" applyBorder="1" applyAlignment="1" applyProtection="1">
      <alignment vertical="center" wrapText="1"/>
      <protection locked="0"/>
    </xf>
    <xf numFmtId="165" fontId="35" fillId="3" borderId="99" xfId="0" applyNumberFormat="1" applyFont="1" applyFill="1" applyBorder="1" applyAlignment="1" applyProtection="1">
      <alignment vertical="center"/>
      <protection locked="0"/>
    </xf>
    <xf numFmtId="43" fontId="6" fillId="0" borderId="69" xfId="2" applyFont="1" applyFill="1" applyBorder="1" applyAlignment="1" applyProtection="1">
      <alignment horizontal="center" vertical="center"/>
      <protection locked="0"/>
    </xf>
    <xf numFmtId="43" fontId="6" fillId="0" borderId="0" xfId="2" applyFont="1" applyFill="1" applyBorder="1" applyAlignment="1" applyProtection="1">
      <alignment horizontal="center" vertical="center"/>
      <protection locked="0"/>
    </xf>
    <xf numFmtId="43" fontId="6" fillId="0" borderId="34" xfId="2" applyFont="1" applyFill="1" applyBorder="1" applyAlignment="1" applyProtection="1">
      <alignment horizontal="center" vertical="center"/>
      <protection locked="0"/>
    </xf>
    <xf numFmtId="0" fontId="6" fillId="0" borderId="40" xfId="0" applyFont="1" applyBorder="1" applyAlignment="1" applyProtection="1">
      <alignment horizontal="center" vertical="center" wrapText="1"/>
      <protection locked="0"/>
    </xf>
    <xf numFmtId="43" fontId="6" fillId="0" borderId="79" xfId="2" applyFont="1" applyFill="1" applyBorder="1" applyAlignment="1" applyProtection="1">
      <alignment horizontal="center" vertical="center"/>
      <protection locked="0"/>
    </xf>
    <xf numFmtId="43" fontId="23" fillId="0" borderId="58" xfId="2" applyFont="1" applyFill="1" applyBorder="1" applyAlignment="1" applyProtection="1">
      <alignment horizontal="center" vertical="center"/>
      <protection locked="0"/>
    </xf>
    <xf numFmtId="0" fontId="1" fillId="5" borderId="0" xfId="14" applyFont="1" applyFill="1"/>
    <xf numFmtId="0" fontId="1" fillId="0" borderId="0" xfId="5" applyFont="1"/>
    <xf numFmtId="0" fontId="23" fillId="0" borderId="40" xfId="0" applyFont="1" applyBorder="1" applyAlignment="1" applyProtection="1">
      <alignment horizontal="center" vertical="center" wrapText="1"/>
      <protection locked="0"/>
    </xf>
    <xf numFmtId="43" fontId="23" fillId="0" borderId="115" xfId="2" applyFont="1" applyFill="1" applyBorder="1" applyAlignment="1" applyProtection="1">
      <alignment horizontal="center" vertical="center"/>
      <protection locked="0"/>
    </xf>
    <xf numFmtId="43" fontId="40" fillId="0" borderId="34" xfId="2" applyFont="1" applyFill="1" applyBorder="1" applyAlignment="1" applyProtection="1">
      <alignment horizontal="center" vertical="center"/>
      <protection locked="0"/>
    </xf>
    <xf numFmtId="0" fontId="52" fillId="0" borderId="0" xfId="5" applyFont="1"/>
    <xf numFmtId="43" fontId="23" fillId="0" borderId="118" xfId="2" applyFont="1" applyFill="1" applyBorder="1" applyAlignment="1" applyProtection="1">
      <alignment horizontal="center" vertical="center"/>
      <protection locked="0"/>
    </xf>
    <xf numFmtId="43" fontId="23" fillId="0" borderId="119" xfId="2" applyFont="1" applyFill="1" applyBorder="1" applyAlignment="1" applyProtection="1">
      <alignment horizontal="center" vertical="center"/>
      <protection locked="0"/>
    </xf>
    <xf numFmtId="43" fontId="23" fillId="0" borderId="120" xfId="2" applyFont="1" applyFill="1" applyBorder="1" applyAlignment="1" applyProtection="1">
      <alignment horizontal="center" vertical="center"/>
      <protection locked="0"/>
    </xf>
    <xf numFmtId="43" fontId="23" fillId="0" borderId="121" xfId="2" applyFont="1" applyFill="1" applyBorder="1" applyAlignment="1" applyProtection="1">
      <alignment horizontal="center" vertical="center"/>
      <protection locked="0"/>
    </xf>
    <xf numFmtId="43" fontId="6" fillId="0" borderId="122" xfId="2" applyFont="1" applyFill="1" applyBorder="1" applyAlignment="1" applyProtection="1">
      <alignment horizontal="center" vertical="center"/>
      <protection locked="0"/>
    </xf>
    <xf numFmtId="43" fontId="6" fillId="0" borderId="119" xfId="2" applyFont="1" applyFill="1" applyBorder="1" applyAlignment="1" applyProtection="1">
      <alignment horizontal="center" vertical="center"/>
      <protection locked="0"/>
    </xf>
    <xf numFmtId="43" fontId="6" fillId="0" borderId="120" xfId="2" applyFont="1" applyFill="1" applyBorder="1" applyAlignment="1" applyProtection="1">
      <alignment horizontal="center" vertical="center"/>
      <protection locked="0"/>
    </xf>
    <xf numFmtId="43" fontId="6" fillId="0" borderId="123" xfId="2" applyFont="1" applyFill="1" applyBorder="1" applyAlignment="1" applyProtection="1">
      <alignment horizontal="center" vertical="center"/>
      <protection locked="0"/>
    </xf>
    <xf numFmtId="43" fontId="6" fillId="0" borderId="118" xfId="2" applyFont="1" applyFill="1" applyBorder="1" applyAlignment="1" applyProtection="1">
      <alignment horizontal="center" vertical="center"/>
      <protection locked="0"/>
    </xf>
    <xf numFmtId="43" fontId="6" fillId="0" borderId="124" xfId="2" applyFont="1" applyFill="1" applyBorder="1" applyAlignment="1" applyProtection="1">
      <alignment horizontal="center" vertical="center"/>
      <protection locked="0"/>
    </xf>
    <xf numFmtId="43" fontId="23" fillId="0" borderId="116" xfId="2" applyFont="1" applyFill="1" applyBorder="1" applyAlignment="1" applyProtection="1">
      <alignment horizontal="center" vertical="center"/>
      <protection locked="0"/>
    </xf>
    <xf numFmtId="43" fontId="6" fillId="5" borderId="128" xfId="2" applyFont="1" applyFill="1" applyBorder="1" applyAlignment="1" applyProtection="1">
      <alignment horizontal="right" vertical="center"/>
      <protection locked="0"/>
    </xf>
    <xf numFmtId="43" fontId="6" fillId="5" borderId="129" xfId="2" applyFont="1" applyFill="1" applyBorder="1" applyAlignment="1" applyProtection="1">
      <alignment horizontal="right" vertical="center"/>
      <protection locked="0"/>
    </xf>
    <xf numFmtId="43" fontId="6" fillId="5" borderId="130" xfId="2" applyFont="1" applyFill="1" applyBorder="1" applyAlignment="1" applyProtection="1">
      <alignment horizontal="right" vertical="center"/>
      <protection locked="0"/>
    </xf>
    <xf numFmtId="43" fontId="6" fillId="5" borderId="43" xfId="2" applyFont="1" applyFill="1" applyBorder="1" applyAlignment="1" applyProtection="1">
      <alignment horizontal="right" vertical="center"/>
      <protection locked="0"/>
    </xf>
    <xf numFmtId="43" fontId="23" fillId="5" borderId="130" xfId="2" applyFont="1" applyFill="1" applyBorder="1" applyAlignment="1" applyProtection="1">
      <alignment horizontal="right" vertical="center"/>
      <protection locked="0"/>
    </xf>
    <xf numFmtId="43" fontId="6" fillId="5" borderId="131" xfId="2" applyFont="1" applyFill="1" applyBorder="1" applyAlignment="1" applyProtection="1">
      <alignment horizontal="right" vertical="center"/>
      <protection locked="0"/>
    </xf>
    <xf numFmtId="43" fontId="23" fillId="5" borderId="9" xfId="2" applyFont="1" applyFill="1" applyBorder="1" applyAlignment="1" applyProtection="1">
      <alignment horizontal="right" vertical="center"/>
      <protection locked="0"/>
    </xf>
    <xf numFmtId="43" fontId="6" fillId="5" borderId="0" xfId="2" applyFont="1" applyFill="1" applyBorder="1" applyAlignment="1" applyProtection="1">
      <alignment horizontal="right" vertical="center"/>
      <protection locked="0"/>
    </xf>
    <xf numFmtId="43" fontId="42" fillId="5" borderId="43" xfId="2" applyFont="1" applyFill="1" applyBorder="1" applyAlignment="1" applyProtection="1">
      <alignment horizontal="right" vertical="center"/>
      <protection locked="0"/>
    </xf>
    <xf numFmtId="43" fontId="42" fillId="5" borderId="130" xfId="2" applyFont="1" applyFill="1" applyBorder="1" applyAlignment="1" applyProtection="1">
      <alignment horizontal="right" vertical="center"/>
      <protection locked="0"/>
    </xf>
    <xf numFmtId="43" fontId="42" fillId="0" borderId="132" xfId="2" applyFont="1" applyFill="1" applyBorder="1" applyAlignment="1" applyProtection="1">
      <alignment horizontal="right" vertical="center"/>
      <protection locked="0"/>
    </xf>
    <xf numFmtId="43" fontId="6" fillId="5" borderId="133" xfId="2" applyFont="1" applyFill="1" applyBorder="1" applyAlignment="1" applyProtection="1">
      <alignment horizontal="right" vertical="center"/>
      <protection locked="0"/>
    </xf>
    <xf numFmtId="43" fontId="6" fillId="5" borderId="62" xfId="2" applyFont="1" applyFill="1" applyBorder="1" applyAlignment="1" applyProtection="1">
      <alignment horizontal="right" vertical="center"/>
      <protection locked="0"/>
    </xf>
    <xf numFmtId="43" fontId="6" fillId="5" borderId="18" xfId="2" applyFont="1" applyFill="1" applyBorder="1" applyAlignment="1" applyProtection="1">
      <alignment horizontal="right" vertical="center"/>
      <protection locked="0"/>
    </xf>
    <xf numFmtId="43" fontId="6" fillId="5" borderId="19" xfId="2" applyFont="1" applyFill="1" applyBorder="1" applyAlignment="1" applyProtection="1">
      <alignment horizontal="right" vertical="center"/>
      <protection locked="0"/>
    </xf>
    <xf numFmtId="43" fontId="23" fillId="5" borderId="62" xfId="2" applyFont="1" applyFill="1" applyBorder="1" applyAlignment="1" applyProtection="1">
      <alignment horizontal="right" vertical="center"/>
      <protection locked="0"/>
    </xf>
    <xf numFmtId="43" fontId="6" fillId="5" borderId="95" xfId="2" applyFont="1" applyFill="1" applyBorder="1" applyAlignment="1" applyProtection="1">
      <alignment horizontal="right" vertical="center"/>
      <protection locked="0"/>
    </xf>
    <xf numFmtId="43" fontId="23" fillId="5" borderId="34" xfId="2" applyFont="1" applyFill="1" applyBorder="1" applyAlignment="1" applyProtection="1">
      <alignment horizontal="right" vertical="center"/>
      <protection locked="0"/>
    </xf>
    <xf numFmtId="43" fontId="23" fillId="5" borderId="70" xfId="2" applyFont="1" applyFill="1" applyBorder="1" applyAlignment="1" applyProtection="1">
      <alignment horizontal="right" vertical="center"/>
      <protection locked="0"/>
    </xf>
    <xf numFmtId="43" fontId="42" fillId="5" borderId="19" xfId="2" applyFont="1" applyFill="1" applyBorder="1" applyAlignment="1" applyProtection="1">
      <alignment horizontal="right" vertical="center"/>
      <protection locked="0"/>
    </xf>
    <xf numFmtId="43" fontId="42" fillId="5" borderId="18" xfId="2" applyFont="1" applyFill="1" applyBorder="1" applyAlignment="1" applyProtection="1">
      <alignment horizontal="right" vertical="center"/>
      <protection locked="0"/>
    </xf>
    <xf numFmtId="43" fontId="42" fillId="0" borderId="20" xfId="2" applyFont="1" applyFill="1" applyBorder="1" applyAlignment="1" applyProtection="1">
      <alignment horizontal="right" vertical="center"/>
      <protection locked="0"/>
    </xf>
    <xf numFmtId="43" fontId="6" fillId="5" borderId="101" xfId="2" applyFont="1" applyFill="1" applyBorder="1" applyAlignment="1" applyProtection="1">
      <alignment horizontal="right" vertical="center"/>
      <protection locked="0"/>
    </xf>
    <xf numFmtId="43" fontId="6" fillId="5" borderId="134" xfId="2" applyFont="1" applyFill="1" applyBorder="1" applyAlignment="1" applyProtection="1">
      <alignment horizontal="right" vertical="center"/>
      <protection locked="0"/>
    </xf>
    <xf numFmtId="43" fontId="6" fillId="5" borderId="102" xfId="2" applyFont="1" applyFill="1" applyBorder="1" applyAlignment="1" applyProtection="1">
      <alignment horizontal="right" vertical="center"/>
      <protection locked="0"/>
    </xf>
    <xf numFmtId="43" fontId="6" fillId="5" borderId="135" xfId="2" applyFont="1" applyFill="1" applyBorder="1" applyAlignment="1" applyProtection="1">
      <alignment horizontal="right" vertical="center"/>
      <protection locked="0"/>
    </xf>
    <xf numFmtId="43" fontId="23" fillId="5" borderId="134" xfId="2" applyFont="1" applyFill="1" applyBorder="1" applyAlignment="1" applyProtection="1">
      <alignment horizontal="right" vertical="center"/>
      <protection locked="0"/>
    </xf>
    <xf numFmtId="43" fontId="6" fillId="5" borderId="136" xfId="2" applyFont="1" applyFill="1" applyBorder="1" applyAlignment="1" applyProtection="1">
      <alignment horizontal="right" vertical="center"/>
      <protection locked="0"/>
    </xf>
    <xf numFmtId="43" fontId="23" fillId="5" borderId="10" xfId="2" applyFont="1" applyFill="1" applyBorder="1" applyAlignment="1" applyProtection="1">
      <alignment horizontal="right" vertical="center"/>
      <protection locked="0"/>
    </xf>
    <xf numFmtId="43" fontId="6" fillId="5" borderId="25" xfId="2" applyFont="1" applyFill="1" applyBorder="1" applyAlignment="1" applyProtection="1">
      <alignment horizontal="right" vertical="center"/>
      <protection locked="0"/>
    </xf>
    <xf numFmtId="43" fontId="42" fillId="5" borderId="135" xfId="2" applyFont="1" applyFill="1" applyBorder="1" applyAlignment="1" applyProtection="1">
      <alignment horizontal="right" vertical="center"/>
      <protection locked="0"/>
    </xf>
    <xf numFmtId="43" fontId="42" fillId="5" borderId="102" xfId="2" applyFont="1" applyFill="1" applyBorder="1" applyAlignment="1" applyProtection="1">
      <alignment horizontal="right" vertical="center"/>
      <protection locked="0"/>
    </xf>
    <xf numFmtId="43" fontId="42" fillId="0" borderId="138" xfId="2" applyFont="1" applyFill="1" applyBorder="1" applyAlignment="1" applyProtection="1">
      <alignment horizontal="right" vertical="center"/>
      <protection locked="0"/>
    </xf>
    <xf numFmtId="43" fontId="6" fillId="5" borderId="70" xfId="2" applyFont="1" applyFill="1" applyBorder="1" applyAlignment="1" applyProtection="1">
      <alignment horizontal="right" vertical="center"/>
      <protection locked="0"/>
    </xf>
    <xf numFmtId="43" fontId="6" fillId="0" borderId="139" xfId="2" applyFont="1" applyFill="1" applyBorder="1" applyAlignment="1" applyProtection="1">
      <alignment horizontal="center" vertical="center"/>
      <protection locked="0"/>
    </xf>
    <xf numFmtId="43" fontId="6" fillId="0" borderId="140" xfId="2" applyFont="1" applyFill="1" applyBorder="1" applyAlignment="1" applyProtection="1">
      <alignment horizontal="center" vertical="center"/>
      <protection locked="0"/>
    </xf>
    <xf numFmtId="43" fontId="6" fillId="0" borderId="75" xfId="2" applyFont="1" applyFill="1" applyBorder="1" applyAlignment="1" applyProtection="1">
      <alignment horizontal="center" vertical="center"/>
      <protection locked="0"/>
    </xf>
    <xf numFmtId="43" fontId="6" fillId="0" borderId="129" xfId="2" applyFont="1" applyFill="1" applyBorder="1" applyAlignment="1" applyProtection="1">
      <alignment horizontal="center" vertical="center"/>
      <protection locked="0"/>
    </xf>
    <xf numFmtId="43" fontId="6" fillId="0" borderId="131" xfId="2" applyFont="1" applyFill="1" applyBorder="1" applyAlignment="1" applyProtection="1">
      <alignment horizontal="center" vertical="center"/>
      <protection locked="0"/>
    </xf>
    <xf numFmtId="43" fontId="6" fillId="0" borderId="9" xfId="2" applyFont="1" applyFill="1" applyBorder="1" applyAlignment="1" applyProtection="1">
      <alignment horizontal="center" vertical="center"/>
      <protection locked="0"/>
    </xf>
    <xf numFmtId="43" fontId="6" fillId="0" borderId="5" xfId="2" applyFont="1" applyFill="1" applyBorder="1" applyAlignment="1" applyProtection="1">
      <alignment horizontal="center" vertical="center"/>
      <protection locked="0"/>
    </xf>
    <xf numFmtId="43" fontId="23" fillId="0" borderId="140" xfId="2" applyFont="1" applyFill="1" applyBorder="1" applyAlignment="1" applyProtection="1">
      <alignment horizontal="center" vertical="center"/>
      <protection locked="0"/>
    </xf>
    <xf numFmtId="43" fontId="23" fillId="0" borderId="75" xfId="2" applyFont="1" applyFill="1" applyBorder="1" applyAlignment="1" applyProtection="1">
      <alignment horizontal="center" vertical="center"/>
      <protection locked="0"/>
    </xf>
    <xf numFmtId="43" fontId="23" fillId="0" borderId="129" xfId="2" applyFont="1" applyFill="1" applyBorder="1" applyAlignment="1" applyProtection="1">
      <alignment horizontal="center" vertical="center"/>
      <protection locked="0"/>
    </xf>
    <xf numFmtId="43" fontId="6" fillId="0" borderId="30" xfId="2" applyFont="1" applyFill="1" applyBorder="1" applyAlignment="1" applyProtection="1">
      <alignment vertical="center"/>
      <protection locked="0"/>
    </xf>
    <xf numFmtId="43" fontId="6" fillId="5" borderId="141" xfId="2" applyFont="1" applyFill="1" applyBorder="1" applyAlignment="1" applyProtection="1">
      <alignment horizontal="right" vertical="center"/>
      <protection locked="0"/>
    </xf>
    <xf numFmtId="43" fontId="6" fillId="5" borderId="13" xfId="2" applyFont="1" applyFill="1" applyBorder="1" applyAlignment="1" applyProtection="1">
      <alignment horizontal="right" vertical="center"/>
      <protection locked="0"/>
    </xf>
    <xf numFmtId="43" fontId="6" fillId="0" borderId="129" xfId="2" applyFont="1" applyFill="1" applyBorder="1" applyAlignment="1" applyProtection="1">
      <alignment horizontal="right" vertical="center"/>
      <protection locked="0"/>
    </xf>
    <xf numFmtId="43" fontId="6" fillId="0" borderId="130" xfId="2" applyFont="1" applyFill="1" applyBorder="1" applyAlignment="1" applyProtection="1">
      <alignment horizontal="right" vertical="center"/>
      <protection locked="0"/>
    </xf>
    <xf numFmtId="43" fontId="6" fillId="0" borderId="141" xfId="2" applyFont="1" applyFill="1" applyBorder="1" applyAlignment="1" applyProtection="1">
      <alignment horizontal="right" vertical="center"/>
      <protection locked="0"/>
    </xf>
    <xf numFmtId="43" fontId="6" fillId="0" borderId="78" xfId="2" applyFont="1" applyFill="1" applyBorder="1" applyAlignment="1" applyProtection="1">
      <alignment horizontal="right" vertical="center"/>
      <protection locked="0"/>
    </xf>
    <xf numFmtId="43" fontId="6" fillId="0" borderId="142" xfId="2" applyFont="1" applyFill="1" applyBorder="1" applyAlignment="1" applyProtection="1">
      <alignment horizontal="right" vertical="center"/>
      <protection locked="0"/>
    </xf>
    <xf numFmtId="43" fontId="6" fillId="5" borderId="34" xfId="2" applyFont="1" applyFill="1" applyBorder="1" applyAlignment="1" applyProtection="1">
      <alignment horizontal="right" vertical="center"/>
      <protection locked="0"/>
    </xf>
    <xf numFmtId="43" fontId="6" fillId="5" borderId="79" xfId="2" applyFont="1" applyFill="1" applyBorder="1" applyAlignment="1" applyProtection="1">
      <alignment horizontal="right" vertical="center"/>
      <protection locked="0"/>
    </xf>
    <xf numFmtId="43" fontId="6" fillId="0" borderId="62" xfId="2" applyFont="1" applyFill="1" applyBorder="1" applyAlignment="1" applyProtection="1">
      <alignment horizontal="right" vertical="center"/>
      <protection locked="0"/>
    </xf>
    <xf numFmtId="43" fontId="6" fillId="0" borderId="18" xfId="2" applyFont="1" applyFill="1" applyBorder="1" applyAlignment="1" applyProtection="1">
      <alignment horizontal="right" vertical="center"/>
      <protection locked="0"/>
    </xf>
    <xf numFmtId="43" fontId="6" fillId="0" borderId="95" xfId="2" applyFont="1" applyFill="1" applyBorder="1" applyAlignment="1" applyProtection="1">
      <alignment horizontal="right" vertical="center"/>
      <protection locked="0"/>
    </xf>
    <xf numFmtId="43" fontId="6" fillId="0" borderId="70" xfId="2" applyFont="1" applyFill="1" applyBorder="1" applyAlignment="1" applyProtection="1">
      <alignment horizontal="right" vertical="center"/>
      <protection locked="0"/>
    </xf>
    <xf numFmtId="43" fontId="6" fillId="0" borderId="19" xfId="2" applyFont="1" applyFill="1" applyBorder="1" applyAlignment="1" applyProtection="1">
      <alignment horizontal="right" vertical="center"/>
      <protection locked="0"/>
    </xf>
    <xf numFmtId="43" fontId="6" fillId="0" borderId="20" xfId="2" applyFont="1" applyFill="1" applyBorder="1" applyAlignment="1" applyProtection="1">
      <alignment horizontal="right" vertical="center"/>
      <protection locked="0"/>
    </xf>
    <xf numFmtId="43" fontId="23" fillId="0" borderId="143" xfId="2" applyFont="1" applyFill="1" applyBorder="1" applyAlignment="1" applyProtection="1">
      <alignment horizontal="center" vertical="center"/>
      <protection locked="0"/>
    </xf>
    <xf numFmtId="43" fontId="23" fillId="0" borderId="144" xfId="2" applyFont="1" applyFill="1" applyBorder="1" applyAlignment="1" applyProtection="1">
      <alignment horizontal="center" vertical="center"/>
      <protection locked="0"/>
    </xf>
    <xf numFmtId="43" fontId="23" fillId="0" borderId="145" xfId="2" applyFont="1" applyFill="1" applyBorder="1" applyAlignment="1" applyProtection="1">
      <alignment horizontal="center" vertical="center"/>
      <protection locked="0"/>
    </xf>
    <xf numFmtId="43" fontId="6" fillId="0" borderId="146" xfId="2" applyFont="1" applyFill="1" applyBorder="1" applyAlignment="1" applyProtection="1">
      <alignment horizontal="center" vertical="center"/>
      <protection locked="0"/>
    </xf>
    <xf numFmtId="43" fontId="6" fillId="0" borderId="74" xfId="2" applyFont="1" applyFill="1" applyBorder="1" applyAlignment="1" applyProtection="1">
      <alignment horizontal="center" vertical="center"/>
      <protection locked="0"/>
    </xf>
    <xf numFmtId="43" fontId="6" fillId="0" borderId="74" xfId="2" applyFont="1" applyFill="1" applyBorder="1" applyAlignment="1" applyProtection="1">
      <alignment horizontal="center" vertical="center" wrapText="1"/>
      <protection locked="0"/>
    </xf>
    <xf numFmtId="43" fontId="6" fillId="0" borderId="133" xfId="2" applyFont="1" applyFill="1" applyBorder="1" applyAlignment="1" applyProtection="1">
      <alignment horizontal="center" vertical="center"/>
      <protection locked="0"/>
    </xf>
    <xf numFmtId="43" fontId="6" fillId="0" borderId="18" xfId="2" applyFont="1" applyFill="1" applyBorder="1" applyAlignment="1" applyProtection="1">
      <alignment horizontal="center" vertical="center"/>
      <protection locked="0"/>
    </xf>
    <xf numFmtId="43" fontId="6" fillId="0" borderId="148" xfId="2" applyFont="1" applyFill="1" applyBorder="1" applyAlignment="1" applyProtection="1">
      <alignment horizontal="center" vertical="center"/>
      <protection locked="0"/>
    </xf>
    <xf numFmtId="43" fontId="23" fillId="0" borderId="18" xfId="2" applyFont="1" applyFill="1" applyBorder="1" applyAlignment="1" applyProtection="1">
      <alignment horizontal="center" vertical="center"/>
      <protection locked="0"/>
    </xf>
    <xf numFmtId="43" fontId="6" fillId="0" borderId="147" xfId="2" applyFont="1" applyFill="1" applyBorder="1" applyAlignment="1" applyProtection="1">
      <alignment horizontal="center" vertical="center" wrapText="1"/>
      <protection locked="0"/>
    </xf>
    <xf numFmtId="43" fontId="6" fillId="0" borderId="70" xfId="15" applyFont="1" applyFill="1" applyBorder="1" applyAlignment="1" applyProtection="1">
      <alignment vertical="center"/>
      <protection locked="0"/>
    </xf>
    <xf numFmtId="43" fontId="6" fillId="0" borderId="62" xfId="2" applyFont="1" applyFill="1" applyBorder="1" applyAlignment="1" applyProtection="1">
      <alignment horizontal="center" vertical="center"/>
      <protection locked="0"/>
    </xf>
    <xf numFmtId="43" fontId="6" fillId="0" borderId="129" xfId="15" applyFont="1" applyFill="1" applyBorder="1" applyAlignment="1" applyProtection="1">
      <alignment vertical="center"/>
      <protection locked="0"/>
    </xf>
    <xf numFmtId="43" fontId="6" fillId="0" borderId="25" xfId="15" applyFont="1" applyFill="1" applyBorder="1" applyAlignment="1" applyProtection="1">
      <alignment vertical="center"/>
      <protection locked="0"/>
    </xf>
    <xf numFmtId="43" fontId="23" fillId="0" borderId="34" xfId="14" applyNumberFormat="1" applyFont="1" applyBorder="1" applyAlignment="1">
      <alignment vertical="center"/>
    </xf>
    <xf numFmtId="43" fontId="23" fillId="0" borderId="42" xfId="14" applyNumberFormat="1" applyFont="1" applyBorder="1" applyAlignment="1">
      <alignment vertical="center"/>
    </xf>
    <xf numFmtId="0" fontId="8" fillId="0" borderId="40" xfId="14" applyFont="1" applyBorder="1" applyAlignment="1" applyProtection="1">
      <alignment horizontal="center" vertical="center"/>
      <protection locked="0"/>
    </xf>
    <xf numFmtId="43" fontId="8" fillId="0" borderId="34" xfId="15" applyFont="1" applyFill="1" applyBorder="1" applyAlignment="1" applyProtection="1">
      <alignment horizontal="right" vertical="center"/>
      <protection locked="0"/>
    </xf>
    <xf numFmtId="169" fontId="8" fillId="0" borderId="34" xfId="15" applyNumberFormat="1" applyFont="1" applyFill="1" applyBorder="1" applyAlignment="1" applyProtection="1">
      <alignment horizontal="right" vertical="center"/>
      <protection locked="0"/>
    </xf>
    <xf numFmtId="43" fontId="8" fillId="0" borderId="69" xfId="15" applyFont="1" applyBorder="1" applyAlignment="1" applyProtection="1">
      <alignment vertical="center"/>
      <protection locked="0"/>
    </xf>
    <xf numFmtId="2" fontId="53" fillId="0" borderId="0" xfId="14" applyNumberFormat="1" applyFont="1"/>
    <xf numFmtId="0" fontId="53" fillId="0" borderId="0" xfId="14" applyFont="1"/>
    <xf numFmtId="0" fontId="8" fillId="5" borderId="40" xfId="14" applyFont="1" applyFill="1" applyBorder="1" applyAlignment="1" applyProtection="1">
      <alignment horizontal="center" vertical="center"/>
      <protection locked="0"/>
    </xf>
    <xf numFmtId="43" fontId="8" fillId="5" borderId="34" xfId="15" applyFont="1" applyFill="1" applyBorder="1" applyAlignment="1" applyProtection="1">
      <alignment horizontal="right" vertical="center"/>
      <protection locked="0"/>
    </xf>
    <xf numFmtId="2" fontId="53" fillId="5" borderId="0" xfId="14" applyNumberFormat="1" applyFont="1" applyFill="1"/>
    <xf numFmtId="0" fontId="53" fillId="5" borderId="0" xfId="14" applyFont="1" applyFill="1"/>
    <xf numFmtId="0" fontId="6" fillId="5" borderId="40" xfId="14" applyFont="1" applyFill="1" applyBorder="1" applyAlignment="1" applyProtection="1">
      <alignment horizontal="center" vertical="center"/>
      <protection locked="0"/>
    </xf>
    <xf numFmtId="43" fontId="6" fillId="5" borderId="34" xfId="15" applyFont="1" applyFill="1" applyBorder="1" applyAlignment="1" applyProtection="1">
      <alignment horizontal="right" vertical="center"/>
      <protection locked="0"/>
    </xf>
    <xf numFmtId="169" fontId="6" fillId="0" borderId="34" xfId="15" applyNumberFormat="1" applyFont="1" applyFill="1" applyBorder="1" applyAlignment="1" applyProtection="1">
      <alignment horizontal="right" vertical="center"/>
      <protection locked="0"/>
    </xf>
    <xf numFmtId="2" fontId="52" fillId="5" borderId="0" xfId="14" applyNumberFormat="1" applyFont="1" applyFill="1"/>
    <xf numFmtId="0" fontId="52" fillId="5" borderId="0" xfId="14" applyFont="1" applyFill="1"/>
    <xf numFmtId="0" fontId="6" fillId="0" borderId="40" xfId="14" applyFont="1" applyBorder="1" applyAlignment="1" applyProtection="1">
      <alignment horizontal="center" vertical="center"/>
      <protection locked="0"/>
    </xf>
    <xf numFmtId="2" fontId="52" fillId="0" borderId="0" xfId="14" applyNumberFormat="1" applyFont="1"/>
    <xf numFmtId="0" fontId="52" fillId="0" borderId="0" xfId="14" applyFont="1"/>
    <xf numFmtId="0" fontId="6" fillId="0" borderId="41" xfId="14" applyFont="1" applyBorder="1" applyAlignment="1" applyProtection="1">
      <alignment horizontal="center" vertical="center"/>
      <protection locked="0"/>
    </xf>
    <xf numFmtId="169" fontId="6" fillId="0" borderId="42" xfId="15" applyNumberFormat="1" applyFont="1" applyFill="1" applyBorder="1" applyAlignment="1" applyProtection="1">
      <alignment horizontal="right" vertical="center"/>
      <protection locked="0"/>
    </xf>
    <xf numFmtId="43" fontId="40" fillId="4" borderId="8" xfId="15" applyFont="1" applyFill="1" applyBorder="1" applyAlignment="1" applyProtection="1">
      <alignment horizontal="right" vertical="center"/>
      <protection locked="0"/>
    </xf>
    <xf numFmtId="2" fontId="8" fillId="0" borderId="34" xfId="14" applyNumberFormat="1" applyFont="1" applyBorder="1" applyAlignment="1">
      <alignment vertical="center"/>
    </xf>
    <xf numFmtId="2" fontId="6" fillId="0" borderId="34" xfId="14" applyNumberFormat="1" applyFont="1" applyBorder="1" applyAlignment="1">
      <alignment vertical="center"/>
    </xf>
    <xf numFmtId="2" fontId="52" fillId="0" borderId="0" xfId="14" applyNumberFormat="1" applyFont="1" applyAlignment="1">
      <alignment vertical="center"/>
    </xf>
    <xf numFmtId="0" fontId="52" fillId="0" borderId="0" xfId="14" applyFont="1" applyAlignment="1">
      <alignment vertical="center"/>
    </xf>
    <xf numFmtId="2" fontId="52" fillId="0" borderId="42" xfId="14" applyNumberFormat="1" applyFont="1" applyBorder="1"/>
    <xf numFmtId="0" fontId="6" fillId="0" borderId="34" xfId="14" applyFont="1" applyBorder="1" applyAlignment="1" applyProtection="1">
      <alignment horizontal="center" vertical="center" wrapText="1"/>
      <protection locked="0"/>
    </xf>
    <xf numFmtId="43" fontId="6" fillId="0" borderId="34" xfId="15" applyFont="1" applyBorder="1" applyAlignment="1" applyProtection="1">
      <alignment vertical="center"/>
      <protection locked="0"/>
    </xf>
    <xf numFmtId="2" fontId="51" fillId="0" borderId="0" xfId="14" applyNumberFormat="1" applyFont="1"/>
    <xf numFmtId="43" fontId="51" fillId="0" borderId="0" xfId="14" applyNumberFormat="1" applyFont="1"/>
    <xf numFmtId="43" fontId="23" fillId="4" borderId="3" xfId="15" applyFont="1" applyFill="1" applyBorder="1" applyAlignment="1" applyProtection="1">
      <alignment horizontal="right" vertical="center"/>
      <protection locked="0"/>
    </xf>
    <xf numFmtId="43" fontId="40" fillId="4" borderId="3" xfId="15" applyFont="1" applyFill="1" applyBorder="1" applyAlignment="1" applyProtection="1">
      <alignment horizontal="right" vertical="center"/>
      <protection locked="0"/>
    </xf>
    <xf numFmtId="2" fontId="7" fillId="0" borderId="2" xfId="4" applyNumberFormat="1" applyFont="1" applyFill="1" applyBorder="1" applyAlignment="1">
      <alignment horizontal="center" vertical="center" wrapText="1"/>
    </xf>
    <xf numFmtId="43" fontId="6" fillId="0" borderId="33" xfId="15" applyFont="1" applyFill="1" applyBorder="1" applyAlignment="1" applyProtection="1">
      <alignment horizontal="right" vertical="center"/>
      <protection locked="0"/>
    </xf>
    <xf numFmtId="0" fontId="8" fillId="0" borderId="100" xfId="14" applyFont="1" applyBorder="1" applyAlignment="1" applyProtection="1">
      <alignment horizontal="center" vertical="center" wrapText="1"/>
      <protection locked="0"/>
    </xf>
    <xf numFmtId="2" fontId="8" fillId="4" borderId="8" xfId="14" applyNumberFormat="1" applyFont="1" applyFill="1" applyBorder="1" applyAlignment="1">
      <alignment vertical="center"/>
    </xf>
    <xf numFmtId="14" fontId="48" fillId="3" borderId="34" xfId="0" applyNumberFormat="1" applyFont="1" applyFill="1" applyBorder="1" applyAlignment="1" applyProtection="1">
      <alignment vertical="center" wrapText="1"/>
      <protection locked="0"/>
    </xf>
    <xf numFmtId="49" fontId="35" fillId="3" borderId="18" xfId="0" quotePrefix="1" applyNumberFormat="1" applyFont="1" applyFill="1" applyBorder="1" applyAlignment="1" applyProtection="1">
      <alignment horizontal="left" vertical="center" wrapText="1"/>
      <protection locked="0"/>
    </xf>
    <xf numFmtId="49" fontId="35" fillId="3" borderId="18" xfId="0" applyNumberFormat="1" applyFont="1" applyFill="1" applyBorder="1" applyAlignment="1" applyProtection="1">
      <alignment horizontal="left" vertical="center" wrapText="1"/>
      <protection locked="0"/>
    </xf>
    <xf numFmtId="0" fontId="42" fillId="0" borderId="0" xfId="0" applyFont="1"/>
    <xf numFmtId="0" fontId="35" fillId="3" borderId="96" xfId="0" applyFont="1" applyFill="1" applyBorder="1" applyAlignment="1" applyProtection="1">
      <alignment horizontal="left" vertical="center" wrapText="1"/>
      <protection locked="0"/>
    </xf>
    <xf numFmtId="0" fontId="35" fillId="3" borderId="19" xfId="0" applyFont="1" applyFill="1" applyBorder="1" applyAlignment="1" applyProtection="1">
      <alignment vertical="center" wrapText="1"/>
      <protection locked="0"/>
    </xf>
    <xf numFmtId="0" fontId="35" fillId="3" borderId="19" xfId="0" applyFont="1" applyFill="1" applyBorder="1" applyAlignment="1" applyProtection="1">
      <alignment horizontal="center" vertical="center" wrapText="1"/>
      <protection locked="0"/>
    </xf>
    <xf numFmtId="167" fontId="35" fillId="3" borderId="19" xfId="0" applyNumberFormat="1" applyFont="1" applyFill="1" applyBorder="1" applyAlignment="1" applyProtection="1">
      <alignment vertical="center" wrapText="1"/>
      <protection locked="0"/>
    </xf>
    <xf numFmtId="165" fontId="35" fillId="3" borderId="97" xfId="0" applyNumberFormat="1" applyFont="1" applyFill="1" applyBorder="1" applyAlignment="1" applyProtection="1">
      <alignment vertical="center"/>
      <protection locked="0"/>
    </xf>
    <xf numFmtId="0" fontId="37" fillId="0" borderId="40" xfId="0" applyFont="1" applyBorder="1" applyAlignment="1">
      <alignment horizontal="centerContinuous" vertical="center"/>
    </xf>
    <xf numFmtId="4" fontId="37" fillId="3" borderId="33" xfId="0" applyNumberFormat="1" applyFont="1" applyFill="1" applyBorder="1" applyAlignment="1" applyProtection="1">
      <alignment horizontal="left" vertical="center" wrapText="1"/>
      <protection locked="0"/>
    </xf>
    <xf numFmtId="0" fontId="37" fillId="3" borderId="34" xfId="0" applyFont="1" applyFill="1" applyBorder="1" applyAlignment="1" applyProtection="1">
      <alignment horizontal="center" vertical="center"/>
      <protection locked="0"/>
    </xf>
    <xf numFmtId="17" fontId="37" fillId="3" borderId="34" xfId="0" applyNumberFormat="1" applyFont="1" applyFill="1" applyBorder="1" applyAlignment="1" applyProtection="1">
      <alignment horizontal="center" vertical="center"/>
      <protection locked="0"/>
    </xf>
    <xf numFmtId="14" fontId="37" fillId="0" borderId="33" xfId="0" applyNumberFormat="1" applyFont="1" applyBorder="1" applyAlignment="1">
      <alignment horizontal="center" vertical="center"/>
    </xf>
    <xf numFmtId="171" fontId="37" fillId="0" borderId="10" xfId="0" applyNumberFormat="1" applyFont="1" applyBorder="1" applyAlignment="1">
      <alignment vertical="center"/>
    </xf>
    <xf numFmtId="0" fontId="35" fillId="0" borderId="40" xfId="0" applyFont="1" applyBorder="1" applyAlignment="1">
      <alignment vertical="center"/>
    </xf>
    <xf numFmtId="0" fontId="35" fillId="0" borderId="34" xfId="0" applyFont="1" applyBorder="1" applyAlignment="1">
      <alignment vertical="center"/>
    </xf>
    <xf numFmtId="0" fontId="35" fillId="0" borderId="34" xfId="0" applyFont="1" applyBorder="1" applyAlignment="1">
      <alignment horizontal="center" vertical="center"/>
    </xf>
    <xf numFmtId="14" fontId="35" fillId="0" borderId="34" xfId="0" applyNumberFormat="1" applyFont="1" applyBorder="1" applyAlignment="1">
      <alignment horizontal="center" vertical="center"/>
    </xf>
    <xf numFmtId="0" fontId="35" fillId="0" borderId="69" xfId="0" applyFont="1" applyBorder="1" applyAlignment="1">
      <alignment horizontal="center" vertical="center"/>
    </xf>
    <xf numFmtId="0" fontId="35" fillId="3" borderId="49" xfId="0" applyFont="1" applyFill="1" applyBorder="1" applyAlignment="1" applyProtection="1">
      <alignment horizontal="left" vertical="center" wrapText="1"/>
      <protection locked="0"/>
    </xf>
    <xf numFmtId="165" fontId="35" fillId="3" borderId="94" xfId="0" applyNumberFormat="1" applyFont="1" applyFill="1" applyBorder="1" applyAlignment="1" applyProtection="1">
      <alignment vertical="center"/>
      <protection locked="0"/>
    </xf>
    <xf numFmtId="0" fontId="35" fillId="0" borderId="40" xfId="0" applyFont="1" applyBorder="1" applyAlignment="1">
      <alignment horizontal="centerContinuous" vertical="center" wrapText="1"/>
    </xf>
    <xf numFmtId="0" fontId="35" fillId="0" borderId="34" xfId="0" applyFont="1" applyBorder="1" applyAlignment="1">
      <alignment horizontal="left" vertical="center"/>
    </xf>
    <xf numFmtId="0" fontId="37" fillId="3" borderId="30" xfId="0" applyFont="1" applyFill="1" applyBorder="1" applyAlignment="1" applyProtection="1">
      <alignment horizontal="center" vertical="center"/>
      <protection locked="0"/>
    </xf>
    <xf numFmtId="17" fontId="37" fillId="3" borderId="34" xfId="0" applyNumberFormat="1" applyFont="1" applyFill="1" applyBorder="1" applyAlignment="1" applyProtection="1">
      <alignment horizontal="center" vertical="center" wrapText="1"/>
      <protection locked="0"/>
    </xf>
    <xf numFmtId="165" fontId="37" fillId="0" borderId="10" xfId="0" applyNumberFormat="1" applyFont="1" applyBorder="1" applyAlignment="1">
      <alignment vertical="center"/>
    </xf>
    <xf numFmtId="0" fontId="36" fillId="0" borderId="40" xfId="0" applyFont="1" applyBorder="1" applyAlignment="1">
      <alignment vertical="center"/>
    </xf>
    <xf numFmtId="0" fontId="36" fillId="0" borderId="34" xfId="0" applyFont="1" applyBorder="1" applyAlignment="1">
      <alignment vertical="center"/>
    </xf>
    <xf numFmtId="0" fontId="36" fillId="0" borderId="34" xfId="0" applyFont="1" applyBorder="1" applyAlignment="1">
      <alignment horizontal="center" vertical="center"/>
    </xf>
    <xf numFmtId="14" fontId="36" fillId="0" borderId="34" xfId="0" applyNumberFormat="1" applyFont="1" applyBorder="1" applyAlignment="1">
      <alignment horizontal="center" vertical="center"/>
    </xf>
    <xf numFmtId="0" fontId="36" fillId="0" borderId="69" xfId="0" applyFont="1" applyBorder="1" applyAlignment="1">
      <alignment horizontal="center" vertical="center"/>
    </xf>
    <xf numFmtId="0" fontId="36" fillId="3" borderId="23" xfId="0" applyFont="1" applyFill="1" applyBorder="1" applyAlignment="1" applyProtection="1">
      <alignment horizontal="left" vertical="center" wrapText="1"/>
      <protection locked="0"/>
    </xf>
    <xf numFmtId="14" fontId="36" fillId="3" borderId="5" xfId="0" applyNumberFormat="1" applyFont="1" applyFill="1" applyBorder="1" applyAlignment="1" applyProtection="1">
      <alignment vertical="center" wrapText="1"/>
      <protection locked="0"/>
    </xf>
    <xf numFmtId="165" fontId="36" fillId="3" borderId="25" xfId="0" applyNumberFormat="1" applyFont="1" applyFill="1" applyBorder="1" applyAlignment="1" applyProtection="1">
      <alignment vertical="center"/>
      <protection locked="0"/>
    </xf>
    <xf numFmtId="0" fontId="48" fillId="3" borderId="49" xfId="3" applyFont="1" applyFill="1" applyBorder="1" applyAlignment="1" applyProtection="1">
      <alignment horizontal="center" vertical="center" wrapText="1"/>
      <protection locked="0"/>
    </xf>
    <xf numFmtId="49" fontId="48" fillId="3" borderId="18" xfId="0" quotePrefix="1" applyNumberFormat="1" applyFont="1" applyFill="1" applyBorder="1" applyAlignment="1" applyProtection="1">
      <alignment horizontal="left" vertical="center" wrapText="1"/>
      <protection locked="0"/>
    </xf>
    <xf numFmtId="4" fontId="48" fillId="3" borderId="18" xfId="0" applyNumberFormat="1" applyFont="1" applyFill="1" applyBorder="1" applyAlignment="1" applyProtection="1">
      <alignment vertical="center" wrapText="1"/>
      <protection locked="0"/>
    </xf>
    <xf numFmtId="165" fontId="48" fillId="3" borderId="18" xfId="3" applyNumberFormat="1" applyFont="1" applyFill="1" applyBorder="1" applyAlignment="1" applyProtection="1">
      <alignment vertical="center" wrapText="1"/>
      <protection locked="0"/>
    </xf>
    <xf numFmtId="165" fontId="48" fillId="0" borderId="97" xfId="0" quotePrefix="1" applyNumberFormat="1" applyFont="1" applyBorder="1" applyAlignment="1">
      <alignment vertical="center"/>
    </xf>
    <xf numFmtId="165" fontId="35" fillId="0" borderId="97" xfId="0" quotePrefix="1" applyNumberFormat="1" applyFont="1" applyBorder="1" applyAlignment="1">
      <alignment vertical="center"/>
    </xf>
    <xf numFmtId="4" fontId="24" fillId="0" borderId="7" xfId="0" applyNumberFormat="1" applyFont="1" applyBorder="1" applyAlignment="1">
      <alignment horizontal="left" vertical="center" wrapText="1"/>
    </xf>
    <xf numFmtId="4" fontId="7" fillId="0" borderId="7" xfId="0" applyNumberFormat="1" applyFont="1" applyBorder="1" applyAlignment="1">
      <alignment horizontal="left" vertical="center" wrapText="1"/>
    </xf>
    <xf numFmtId="0" fontId="24" fillId="0" borderId="149" xfId="0" applyFont="1" applyBorder="1" applyAlignment="1">
      <alignment horizontal="center" vertical="center" wrapText="1"/>
    </xf>
    <xf numFmtId="49" fontId="24" fillId="0" borderId="150" xfId="0" applyNumberFormat="1" applyFont="1" applyBorder="1" applyAlignment="1">
      <alignment horizontal="center" vertical="center" wrapText="1"/>
    </xf>
    <xf numFmtId="2" fontId="24" fillId="0" borderId="150" xfId="9" applyNumberFormat="1" applyFont="1" applyFill="1" applyBorder="1" applyAlignment="1">
      <alignment horizontal="center" vertical="center" wrapText="1"/>
    </xf>
    <xf numFmtId="4" fontId="24" fillId="0" borderId="150" xfId="0" applyNumberFormat="1" applyFont="1" applyBorder="1" applyAlignment="1">
      <alignment horizontal="center" vertical="center" wrapText="1"/>
    </xf>
    <xf numFmtId="4" fontId="24" fillId="0" borderId="153" xfId="0" applyNumberFormat="1" applyFont="1" applyBorder="1" applyAlignment="1">
      <alignment horizontal="left" vertical="center" wrapText="1"/>
    </xf>
    <xf numFmtId="0" fontId="2" fillId="5" borderId="25" xfId="14" applyFill="1" applyBorder="1" applyAlignment="1">
      <alignment horizontal="left"/>
    </xf>
    <xf numFmtId="0" fontId="2" fillId="5" borderId="29" xfId="14" applyFill="1" applyBorder="1"/>
    <xf numFmtId="43" fontId="6" fillId="0" borderId="154" xfId="2" applyFont="1" applyFill="1" applyBorder="1" applyAlignment="1" applyProtection="1">
      <alignment horizontal="center" vertical="center"/>
      <protection locked="0"/>
    </xf>
    <xf numFmtId="43" fontId="6" fillId="0" borderId="154" xfId="2" applyFont="1" applyFill="1" applyBorder="1" applyAlignment="1" applyProtection="1">
      <alignment horizontal="right" vertical="center"/>
      <protection locked="0"/>
    </xf>
    <xf numFmtId="43" fontId="6" fillId="5" borderId="100" xfId="2" applyFont="1" applyFill="1" applyBorder="1" applyAlignment="1" applyProtection="1">
      <alignment horizontal="right" vertical="center"/>
      <protection locked="0"/>
    </xf>
    <xf numFmtId="0" fontId="24" fillId="0" borderId="31" xfId="0" applyFont="1" applyBorder="1" applyAlignment="1">
      <alignment horizontal="left" vertical="center" wrapText="1"/>
    </xf>
    <xf numFmtId="0" fontId="24" fillId="0" borderId="32" xfId="0" applyFont="1" applyBorder="1" applyAlignment="1">
      <alignment horizontal="left"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8" fillId="4" borderId="47" xfId="0" applyFont="1" applyFill="1" applyBorder="1" applyAlignment="1">
      <alignment horizontal="center" vertical="center"/>
    </xf>
    <xf numFmtId="0" fontId="8" fillId="4" borderId="48" xfId="0" applyFont="1" applyFill="1" applyBorder="1" applyAlignment="1">
      <alignment horizontal="center" vertical="center"/>
    </xf>
    <xf numFmtId="0" fontId="27" fillId="6" borderId="31" xfId="0" applyFont="1" applyFill="1" applyBorder="1" applyAlignment="1" applyProtection="1">
      <alignment horizontal="left" vertical="center" wrapText="1"/>
      <protection locked="0"/>
    </xf>
    <xf numFmtId="0" fontId="27" fillId="6" borderId="32" xfId="0" applyFont="1" applyFill="1" applyBorder="1" applyAlignment="1" applyProtection="1">
      <alignment horizontal="left" vertical="center" wrapText="1"/>
      <protection locked="0"/>
    </xf>
    <xf numFmtId="0" fontId="27" fillId="4" borderId="59" xfId="0" applyFont="1" applyFill="1" applyBorder="1" applyAlignment="1" applyProtection="1">
      <alignment horizontal="left" vertical="center" wrapText="1"/>
      <protection locked="0"/>
    </xf>
    <xf numFmtId="0" fontId="27" fillId="4" borderId="60" xfId="0" applyFont="1" applyFill="1" applyBorder="1" applyAlignment="1" applyProtection="1">
      <alignment horizontal="left" vertical="center" wrapText="1"/>
      <protection locked="0"/>
    </xf>
    <xf numFmtId="0" fontId="28" fillId="0" borderId="21" xfId="0" applyFont="1" applyBorder="1" applyAlignment="1">
      <alignment horizontal="center" vertical="distributed"/>
    </xf>
    <xf numFmtId="0" fontId="28" fillId="0" borderId="22" xfId="0" applyFont="1" applyBorder="1" applyAlignment="1">
      <alignment horizontal="center" vertical="distributed"/>
    </xf>
    <xf numFmtId="0" fontId="28" fillId="0" borderId="29" xfId="0" applyFont="1" applyBorder="1" applyAlignment="1">
      <alignment horizontal="center" vertical="distributed"/>
    </xf>
    <xf numFmtId="0" fontId="26" fillId="0" borderId="33" xfId="0" applyFont="1" applyBorder="1" applyAlignment="1">
      <alignment horizontal="center" vertical="distributed"/>
    </xf>
    <xf numFmtId="0" fontId="26" fillId="0" borderId="10" xfId="0" applyFont="1" applyBorder="1" applyAlignment="1">
      <alignment horizontal="center" vertical="distributed"/>
    </xf>
    <xf numFmtId="0" fontId="27" fillId="5" borderId="39" xfId="0" applyFont="1" applyFill="1" applyBorder="1" applyAlignment="1">
      <alignment horizontal="left" vertical="distributed"/>
    </xf>
    <xf numFmtId="0" fontId="27" fillId="5" borderId="9" xfId="0" applyFont="1" applyFill="1" applyBorder="1" applyAlignment="1">
      <alignment horizontal="left" vertical="distributed"/>
    </xf>
    <xf numFmtId="0" fontId="27" fillId="5" borderId="13" xfId="0" applyFont="1" applyFill="1" applyBorder="1" applyAlignment="1">
      <alignment horizontal="left" vertical="distributed"/>
    </xf>
    <xf numFmtId="0" fontId="26" fillId="0" borderId="33" xfId="0" applyFont="1" applyBorder="1" applyAlignment="1">
      <alignment horizontal="left" vertical="distributed"/>
    </xf>
    <xf numFmtId="0" fontId="26" fillId="0" borderId="9" xfId="0" applyFont="1" applyBorder="1" applyAlignment="1">
      <alignment horizontal="left" vertical="distributed"/>
    </xf>
    <xf numFmtId="0" fontId="26" fillId="0" borderId="10" xfId="0" applyFont="1" applyBorder="1" applyAlignment="1">
      <alignment horizontal="left" vertical="distributed"/>
    </xf>
    <xf numFmtId="0" fontId="26" fillId="0" borderId="39" xfId="0" applyFont="1" applyBorder="1" applyAlignment="1">
      <alignment horizontal="left" vertical="distributed"/>
    </xf>
    <xf numFmtId="0" fontId="26" fillId="0" borderId="13" xfId="0" applyFont="1" applyBorder="1" applyAlignment="1">
      <alignment horizontal="left" vertical="distributed"/>
    </xf>
    <xf numFmtId="0" fontId="27" fillId="0" borderId="39" xfId="0" applyFont="1" applyBorder="1" applyAlignment="1">
      <alignment horizontal="left" vertical="distributed"/>
    </xf>
    <xf numFmtId="0" fontId="30" fillId="0" borderId="9" xfId="0" applyFont="1" applyBorder="1" applyAlignment="1">
      <alignment horizontal="left" vertical="distributed"/>
    </xf>
    <xf numFmtId="0" fontId="30" fillId="0" borderId="13" xfId="0" applyFont="1" applyBorder="1" applyAlignment="1">
      <alignment horizontal="left" vertical="distributed"/>
    </xf>
    <xf numFmtId="0" fontId="26" fillId="5" borderId="33" xfId="0" applyFont="1" applyFill="1" applyBorder="1" applyAlignment="1">
      <alignment horizontal="left" vertical="distributed"/>
    </xf>
    <xf numFmtId="0" fontId="26" fillId="5" borderId="13" xfId="0" applyFont="1" applyFill="1" applyBorder="1" applyAlignment="1">
      <alignment horizontal="left" vertical="distributed"/>
    </xf>
    <xf numFmtId="165" fontId="26" fillId="0" borderId="45" xfId="0" applyNumberFormat="1" applyFont="1" applyBorder="1" applyAlignment="1">
      <alignment horizontal="center" vertical="distributed"/>
    </xf>
    <xf numFmtId="165" fontId="26" fillId="0" borderId="46" xfId="0" applyNumberFormat="1" applyFont="1" applyBorder="1" applyAlignment="1">
      <alignment horizontal="center" vertical="distributed"/>
    </xf>
    <xf numFmtId="10" fontId="27" fillId="0" borderId="64" xfId="1" applyNumberFormat="1" applyFont="1" applyFill="1" applyBorder="1" applyAlignment="1">
      <alignment horizontal="center" vertical="distributed"/>
    </xf>
    <xf numFmtId="10" fontId="27" fillId="0" borderId="28" xfId="1" applyNumberFormat="1" applyFont="1" applyFill="1" applyBorder="1" applyAlignment="1">
      <alignment horizontal="center" vertical="distributed"/>
    </xf>
    <xf numFmtId="0" fontId="26" fillId="0" borderId="43" xfId="0" applyFont="1" applyBorder="1" applyAlignment="1">
      <alignment horizontal="center" vertical="distributed"/>
    </xf>
    <xf numFmtId="0" fontId="26" fillId="0" borderId="44" xfId="0" applyFont="1" applyBorder="1" applyAlignment="1">
      <alignment horizontal="center" vertical="distributed"/>
    </xf>
    <xf numFmtId="0" fontId="8" fillId="0" borderId="23" xfId="0" applyFont="1" applyBorder="1" applyAlignment="1">
      <alignment horizontal="center" vertical="center" wrapText="1"/>
    </xf>
    <xf numFmtId="0" fontId="8" fillId="0" borderId="0" xfId="0" applyFont="1" applyAlignment="1">
      <alignment horizontal="center" vertical="center" wrapText="1"/>
    </xf>
    <xf numFmtId="0" fontId="8" fillId="0" borderId="25" xfId="0" applyFont="1" applyBorder="1" applyAlignment="1">
      <alignment horizontal="center" vertical="center" wrapText="1"/>
    </xf>
    <xf numFmtId="0" fontId="26" fillId="0" borderId="41" xfId="0" applyFont="1" applyBorder="1" applyAlignment="1">
      <alignment horizontal="left" vertical="distributed"/>
    </xf>
    <xf numFmtId="0" fontId="26" fillId="0" borderId="42" xfId="0" applyFont="1" applyBorder="1" applyAlignment="1">
      <alignment horizontal="left" vertical="distributed"/>
    </xf>
    <xf numFmtId="0" fontId="26" fillId="0" borderId="40" xfId="0" applyFont="1" applyBorder="1" applyAlignment="1">
      <alignment horizontal="left" vertical="distributed"/>
    </xf>
    <xf numFmtId="0" fontId="26" fillId="0" borderId="34" xfId="0" applyFont="1" applyBorder="1" applyAlignment="1">
      <alignment horizontal="left" vertical="distributed"/>
    </xf>
    <xf numFmtId="0" fontId="26" fillId="0" borderId="45" xfId="0" applyFont="1" applyBorder="1" applyAlignment="1">
      <alignment horizontal="center" vertical="distributed"/>
    </xf>
    <xf numFmtId="0" fontId="26" fillId="0" borderId="46" xfId="0" applyFont="1" applyBorder="1" applyAlignment="1">
      <alignment horizontal="center" vertical="distributed"/>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7" fillId="0" borderId="0" xfId="0" applyFont="1" applyAlignment="1">
      <alignment horizontal="center" vertical="center"/>
    </xf>
    <xf numFmtId="0" fontId="0" fillId="0" borderId="0" xfId="0" applyAlignment="1">
      <alignment horizontal="center" vertical="center"/>
    </xf>
    <xf numFmtId="0" fontId="11" fillId="0" borderId="23" xfId="0" applyFont="1" applyBorder="1" applyAlignment="1">
      <alignment horizontal="center" vertical="center" wrapText="1"/>
    </xf>
    <xf numFmtId="0" fontId="11" fillId="0" borderId="0" xfId="0" applyFont="1" applyAlignment="1">
      <alignment horizontal="center" vertical="center" wrapText="1"/>
    </xf>
    <xf numFmtId="0" fontId="11" fillId="0" borderId="25" xfId="0" applyFont="1" applyBorder="1" applyAlignment="1">
      <alignment horizontal="center" vertical="center" wrapText="1"/>
    </xf>
    <xf numFmtId="0" fontId="0" fillId="0" borderId="24" xfId="0" applyBorder="1" applyAlignment="1">
      <alignment horizontal="center" vertical="center"/>
    </xf>
    <xf numFmtId="4" fontId="24" fillId="0" borderId="31" xfId="0" applyNumberFormat="1" applyFont="1" applyBorder="1" applyAlignment="1">
      <alignment horizontal="left" vertical="center" wrapText="1"/>
    </xf>
    <xf numFmtId="4" fontId="24" fillId="0" borderId="32" xfId="0" applyNumberFormat="1" applyFont="1" applyBorder="1" applyAlignment="1">
      <alignment horizontal="left" vertical="center" wrapText="1"/>
    </xf>
    <xf numFmtId="0" fontId="7" fillId="0" borderId="31" xfId="3" applyFont="1" applyBorder="1" applyAlignment="1">
      <alignment horizontal="left" vertical="center" wrapText="1"/>
    </xf>
    <xf numFmtId="0" fontId="7" fillId="0" borderId="32" xfId="3" applyFont="1" applyBorder="1" applyAlignment="1">
      <alignment horizontal="left" vertical="center" wrapText="1"/>
    </xf>
    <xf numFmtId="0" fontId="24" fillId="0" borderId="31" xfId="3" applyFont="1" applyBorder="1" applyAlignment="1">
      <alignment horizontal="left" vertical="center" wrapText="1"/>
    </xf>
    <xf numFmtId="0" fontId="24" fillId="0" borderId="32" xfId="3" applyFont="1" applyBorder="1" applyAlignment="1">
      <alignment horizontal="left" vertical="center" wrapText="1"/>
    </xf>
    <xf numFmtId="0" fontId="24" fillId="0" borderId="151" xfId="0" applyFont="1" applyBorder="1" applyAlignment="1">
      <alignment horizontal="left" vertical="center" wrapText="1"/>
    </xf>
    <xf numFmtId="0" fontId="24" fillId="0" borderId="152" xfId="0" applyFont="1" applyBorder="1" applyAlignment="1">
      <alignment horizontal="left" vertical="center" wrapText="1"/>
    </xf>
    <xf numFmtId="0" fontId="27" fillId="4" borderId="31" xfId="3" applyFont="1" applyFill="1" applyBorder="1" applyAlignment="1" applyProtection="1">
      <alignment horizontal="left" vertical="center" wrapText="1"/>
      <protection locked="0"/>
    </xf>
    <xf numFmtId="0" fontId="27" fillId="4" borderId="32" xfId="3" applyFont="1" applyFill="1" applyBorder="1" applyAlignment="1" applyProtection="1">
      <alignment horizontal="left" vertical="center" wrapText="1"/>
      <protection locked="0"/>
    </xf>
    <xf numFmtId="0" fontId="28" fillId="0" borderId="55" xfId="3" applyFont="1" applyBorder="1" applyAlignment="1">
      <alignment horizontal="center" vertical="center"/>
    </xf>
    <xf numFmtId="0" fontId="28" fillId="0" borderId="54" xfId="3" applyFont="1" applyBorder="1" applyAlignment="1">
      <alignment horizontal="center" vertical="center"/>
    </xf>
    <xf numFmtId="0" fontId="28" fillId="0" borderId="53" xfId="3" applyFont="1" applyBorder="1" applyAlignment="1">
      <alignment horizontal="center" vertical="center"/>
    </xf>
    <xf numFmtId="0" fontId="26" fillId="0" borderId="39" xfId="3" applyFont="1" applyBorder="1" applyAlignment="1">
      <alignment horizontal="left" vertical="center"/>
    </xf>
    <xf numFmtId="0" fontId="26" fillId="0" borderId="9" xfId="3" applyFont="1" applyBorder="1" applyAlignment="1">
      <alignment horizontal="left" vertical="center"/>
    </xf>
    <xf numFmtId="0" fontId="26" fillId="0" borderId="10" xfId="3" applyFont="1" applyBorder="1" applyAlignment="1">
      <alignment horizontal="left" vertical="center"/>
    </xf>
    <xf numFmtId="0" fontId="26" fillId="0" borderId="56" xfId="3" applyFont="1" applyBorder="1" applyAlignment="1">
      <alignment horizontal="left" vertical="center"/>
    </xf>
    <xf numFmtId="0" fontId="26" fillId="0" borderId="11" xfId="3" applyFont="1" applyBorder="1" applyAlignment="1">
      <alignment horizontal="left" vertical="center"/>
    </xf>
    <xf numFmtId="0" fontId="26" fillId="0" borderId="12" xfId="3" applyFont="1" applyBorder="1" applyAlignment="1">
      <alignment horizontal="left" vertical="center"/>
    </xf>
    <xf numFmtId="0" fontId="27" fillId="6" borderId="31" xfId="3" applyFont="1" applyFill="1" applyBorder="1" applyAlignment="1" applyProtection="1">
      <alignment horizontal="left" vertical="center" wrapText="1"/>
      <protection locked="0"/>
    </xf>
    <xf numFmtId="0" fontId="27" fillId="6" borderId="32" xfId="3" applyFont="1" applyFill="1" applyBorder="1" applyAlignment="1" applyProtection="1">
      <alignment horizontal="left" vertical="center" wrapText="1"/>
      <protection locked="0"/>
    </xf>
    <xf numFmtId="0" fontId="0" fillId="2" borderId="49" xfId="0" applyFill="1" applyBorder="1" applyAlignment="1">
      <alignment horizontal="center" vertical="center" wrapText="1"/>
    </xf>
    <xf numFmtId="0" fontId="0" fillId="2" borderId="63" xfId="0" applyFill="1" applyBorder="1" applyAlignment="1">
      <alignment horizontal="center" vertical="center" wrapText="1"/>
    </xf>
    <xf numFmtId="0" fontId="6" fillId="2" borderId="18" xfId="0" applyFont="1" applyFill="1" applyBorder="1" applyAlignment="1">
      <alignment vertical="center" wrapText="1"/>
    </xf>
    <xf numFmtId="0" fontId="0" fillId="2" borderId="18" xfId="0" applyFill="1" applyBorder="1" applyAlignment="1">
      <alignment vertical="center" wrapText="1"/>
    </xf>
    <xf numFmtId="0" fontId="27" fillId="6" borderId="72" xfId="0" applyFont="1" applyFill="1" applyBorder="1" applyAlignment="1" applyProtection="1">
      <alignment horizontal="center" vertical="center" wrapText="1"/>
      <protection locked="0"/>
    </xf>
    <xf numFmtId="0" fontId="27" fillId="6" borderId="15" xfId="0" applyFont="1" applyFill="1" applyBorder="1" applyAlignment="1" applyProtection="1">
      <alignment horizontal="center" vertical="center" wrapText="1"/>
      <protection locked="0"/>
    </xf>
    <xf numFmtId="0" fontId="27" fillId="6" borderId="76" xfId="0" applyFont="1" applyFill="1" applyBorder="1" applyAlignment="1" applyProtection="1">
      <alignment horizontal="center" vertical="center" wrapText="1"/>
      <protection locked="0"/>
    </xf>
    <xf numFmtId="0" fontId="8" fillId="2" borderId="65" xfId="0" applyFont="1" applyFill="1" applyBorder="1" applyAlignment="1">
      <alignment horizontal="center" vertical="center"/>
    </xf>
    <xf numFmtId="0" fontId="8" fillId="2" borderId="0" xfId="0" applyFont="1" applyFill="1" applyAlignment="1">
      <alignment horizontal="center" vertical="center"/>
    </xf>
    <xf numFmtId="0" fontId="8" fillId="2" borderId="25" xfId="0" applyFont="1" applyFill="1" applyBorder="1" applyAlignment="1">
      <alignment horizontal="center" vertical="center"/>
    </xf>
    <xf numFmtId="0" fontId="6" fillId="2" borderId="17" xfId="0" applyFont="1" applyFill="1" applyBorder="1" applyAlignment="1">
      <alignment vertical="center" wrapText="1"/>
    </xf>
    <xf numFmtId="0" fontId="14" fillId="2" borderId="14" xfId="0" applyFont="1" applyFill="1" applyBorder="1" applyAlignment="1">
      <alignment horizontal="center"/>
    </xf>
    <xf numFmtId="0" fontId="14" fillId="2" borderId="15" xfId="0" applyFont="1" applyFill="1" applyBorder="1" applyAlignment="1">
      <alignment horizontal="center"/>
    </xf>
    <xf numFmtId="0" fontId="14" fillId="2" borderId="76" xfId="0" applyFont="1" applyFill="1" applyBorder="1" applyAlignment="1">
      <alignment horizont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76" xfId="0" applyFont="1" applyFill="1" applyBorder="1" applyAlignment="1">
      <alignment horizontal="center" vertical="center"/>
    </xf>
    <xf numFmtId="165" fontId="8" fillId="2" borderId="24" xfId="0" applyNumberFormat="1" applyFont="1" applyFill="1" applyBorder="1" applyAlignment="1">
      <alignment horizontal="left" vertical="center"/>
    </xf>
    <xf numFmtId="165" fontId="8" fillId="2" borderId="67" xfId="0" applyNumberFormat="1" applyFont="1" applyFill="1" applyBorder="1" applyAlignment="1">
      <alignment horizontal="left" vertical="center"/>
    </xf>
    <xf numFmtId="0" fontId="8" fillId="2" borderId="66" xfId="0" applyFont="1" applyFill="1" applyBorder="1" applyAlignment="1">
      <alignment horizontal="left" vertical="center"/>
    </xf>
    <xf numFmtId="0" fontId="8" fillId="2" borderId="67" xfId="0" applyFont="1" applyFill="1" applyBorder="1" applyAlignment="1">
      <alignment horizontal="left" vertical="center"/>
    </xf>
    <xf numFmtId="0" fontId="8" fillId="2" borderId="5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52" xfId="0" applyFont="1" applyFill="1" applyBorder="1" applyAlignment="1">
      <alignment horizontal="left" vertical="center" wrapText="1"/>
    </xf>
    <xf numFmtId="0" fontId="8" fillId="2" borderId="56" xfId="0" applyFont="1" applyFill="1" applyBorder="1" applyAlignment="1">
      <alignment horizontal="left" vertical="center" wrapText="1"/>
    </xf>
    <xf numFmtId="0" fontId="0" fillId="2" borderId="62" xfId="0" applyFill="1" applyBorder="1" applyAlignment="1">
      <alignment vertical="center" wrapText="1"/>
    </xf>
    <xf numFmtId="0" fontId="6" fillId="0" borderId="5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25" xfId="0" applyFont="1" applyBorder="1" applyAlignment="1">
      <alignment horizontal="center" vertical="center"/>
    </xf>
    <xf numFmtId="0" fontId="7" fillId="0" borderId="28" xfId="0" applyFont="1" applyBorder="1" applyAlignment="1">
      <alignment horizontal="center" vertical="center"/>
    </xf>
    <xf numFmtId="0" fontId="9" fillId="5" borderId="5" xfId="0" applyFont="1" applyFill="1" applyBorder="1" applyAlignment="1">
      <alignment horizontal="center" vertical="center"/>
    </xf>
    <xf numFmtId="0" fontId="8" fillId="2" borderId="50"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0" xfId="0" applyFont="1" applyFill="1" applyAlignment="1">
      <alignment horizontal="center" vertical="center" wrapText="1"/>
    </xf>
    <xf numFmtId="0" fontId="8" fillId="5" borderId="24" xfId="0" applyFont="1" applyFill="1" applyBorder="1" applyAlignment="1">
      <alignment horizontal="center" wrapText="1"/>
    </xf>
    <xf numFmtId="0" fontId="8" fillId="2" borderId="29" xfId="0" applyFont="1" applyFill="1" applyBorder="1" applyAlignment="1">
      <alignment horizontal="center" wrapText="1"/>
    </xf>
    <xf numFmtId="0" fontId="8" fillId="2" borderId="25" xfId="0" applyFont="1" applyFill="1" applyBorder="1" applyAlignment="1">
      <alignment horizontal="center" wrapText="1"/>
    </xf>
    <xf numFmtId="0" fontId="33" fillId="5" borderId="23" xfId="0" applyFont="1" applyFill="1" applyBorder="1" applyAlignment="1">
      <alignment horizontal="left" wrapText="1"/>
    </xf>
    <xf numFmtId="0" fontId="33" fillId="5" borderId="25" xfId="0" applyFont="1" applyFill="1" applyBorder="1" applyAlignment="1">
      <alignment horizontal="left" wrapText="1"/>
    </xf>
    <xf numFmtId="0" fontId="22" fillId="0" borderId="33" xfId="0" applyFont="1" applyBorder="1" applyAlignment="1">
      <alignment horizontal="center"/>
    </xf>
    <xf numFmtId="0" fontId="22" fillId="0" borderId="9" xfId="0" applyFont="1" applyBorder="1" applyAlignment="1">
      <alignment horizontal="center"/>
    </xf>
    <xf numFmtId="0" fontId="22" fillId="0" borderId="10" xfId="0" applyFont="1" applyBorder="1" applyAlignment="1">
      <alignment horizontal="center"/>
    </xf>
    <xf numFmtId="0" fontId="36" fillId="3" borderId="39" xfId="0" applyFont="1" applyFill="1" applyBorder="1" applyAlignment="1" applyProtection="1">
      <alignment horizontal="center" vertical="center" wrapText="1"/>
      <protection locked="0"/>
    </xf>
    <xf numFmtId="0" fontId="36" fillId="3" borderId="9" xfId="0" applyFont="1" applyFill="1" applyBorder="1" applyAlignment="1" applyProtection="1">
      <alignment horizontal="center" vertical="center" wrapText="1"/>
      <protection locked="0"/>
    </xf>
    <xf numFmtId="0" fontId="36" fillId="3" borderId="10" xfId="0" applyFont="1" applyFill="1" applyBorder="1" applyAlignment="1" applyProtection="1">
      <alignment horizontal="center" vertical="center" wrapText="1"/>
      <protection locked="0"/>
    </xf>
    <xf numFmtId="0" fontId="14"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29" xfId="0" applyFont="1" applyFill="1" applyBorder="1" applyAlignment="1">
      <alignment horizontal="center" vertical="center"/>
    </xf>
    <xf numFmtId="0" fontId="40" fillId="0" borderId="21" xfId="0" applyFont="1" applyBorder="1" applyAlignment="1" applyProtection="1">
      <alignment horizontal="center" vertical="center"/>
      <protection locked="0"/>
    </xf>
    <xf numFmtId="0" fontId="40" fillId="0" borderId="22" xfId="0" applyFont="1" applyBorder="1" applyAlignment="1" applyProtection="1">
      <alignment horizontal="center" vertical="center"/>
      <protection locked="0"/>
    </xf>
    <xf numFmtId="0" fontId="40" fillId="0" borderId="29" xfId="0" applyFont="1" applyBorder="1" applyAlignment="1" applyProtection="1">
      <alignment horizontal="center" vertical="center"/>
      <protection locked="0"/>
    </xf>
    <xf numFmtId="0" fontId="40" fillId="0" borderId="14" xfId="0" applyFont="1" applyBorder="1" applyAlignment="1">
      <alignment horizontal="center" vertical="center" wrapText="1"/>
    </xf>
    <xf numFmtId="0" fontId="40" fillId="0" borderId="15" xfId="0" applyFont="1" applyBorder="1" applyAlignment="1">
      <alignment horizontal="center" vertical="center" wrapText="1"/>
    </xf>
    <xf numFmtId="0" fontId="23" fillId="0" borderId="50" xfId="0" applyFont="1" applyBorder="1" applyAlignment="1" applyProtection="1">
      <alignment horizontal="center" vertical="center" wrapText="1"/>
      <protection locked="0"/>
    </xf>
    <xf numFmtId="0" fontId="23" fillId="0" borderId="23" xfId="0" applyFont="1" applyBorder="1" applyAlignment="1" applyProtection="1">
      <alignment horizontal="center" vertical="center" wrapText="1"/>
      <protection locked="0"/>
    </xf>
    <xf numFmtId="0" fontId="23" fillId="0" borderId="26" xfId="0" applyFont="1" applyBorder="1" applyAlignment="1" applyProtection="1">
      <alignment horizontal="center" vertical="center" wrapText="1"/>
      <protection locked="0"/>
    </xf>
    <xf numFmtId="43" fontId="23" fillId="0" borderId="81" xfId="2" applyFont="1" applyFill="1" applyBorder="1" applyAlignment="1" applyProtection="1">
      <alignment horizontal="center" vertical="center"/>
      <protection locked="0"/>
    </xf>
    <xf numFmtId="43" fontId="23" fillId="0" borderId="88" xfId="2" applyFont="1" applyFill="1" applyBorder="1" applyAlignment="1" applyProtection="1">
      <alignment horizontal="center" vertical="center"/>
      <protection locked="0"/>
    </xf>
    <xf numFmtId="43" fontId="23" fillId="0" borderId="127" xfId="2" applyFont="1" applyFill="1" applyBorder="1" applyAlignment="1" applyProtection="1">
      <alignment horizontal="center" vertical="center"/>
      <protection locked="0"/>
    </xf>
    <xf numFmtId="43" fontId="40" fillId="0" borderId="79" xfId="2" applyFont="1" applyFill="1" applyBorder="1" applyAlignment="1" applyProtection="1">
      <alignment horizontal="center" vertical="center"/>
      <protection locked="0"/>
    </xf>
    <xf numFmtId="43" fontId="40" fillId="0" borderId="70" xfId="2" applyFont="1" applyFill="1" applyBorder="1" applyAlignment="1" applyProtection="1">
      <alignment horizontal="center" vertical="center"/>
      <protection locked="0"/>
    </xf>
    <xf numFmtId="43" fontId="40" fillId="0" borderId="93" xfId="2" applyFont="1" applyFill="1" applyBorder="1" applyAlignment="1" applyProtection="1">
      <alignment horizontal="center" vertical="center"/>
      <protection locked="0"/>
    </xf>
    <xf numFmtId="43" fontId="6" fillId="0" borderId="81" xfId="2" applyFont="1" applyFill="1" applyBorder="1" applyAlignment="1" applyProtection="1">
      <alignment horizontal="center" vertical="center"/>
      <protection locked="0"/>
    </xf>
    <xf numFmtId="43" fontId="6" fillId="0" borderId="88" xfId="2" applyFont="1" applyFill="1" applyBorder="1" applyAlignment="1" applyProtection="1">
      <alignment horizontal="center" vertical="center"/>
      <protection locked="0"/>
    </xf>
    <xf numFmtId="43" fontId="8" fillId="0" borderId="79" xfId="2" applyFont="1" applyFill="1" applyBorder="1" applyAlignment="1" applyProtection="1">
      <alignment horizontal="center" vertical="center"/>
      <protection locked="0"/>
    </xf>
    <xf numFmtId="43" fontId="8" fillId="0" borderId="70" xfId="2" applyFont="1" applyFill="1" applyBorder="1" applyAlignment="1" applyProtection="1">
      <alignment horizontal="center" vertical="center"/>
      <protection locked="0"/>
    </xf>
    <xf numFmtId="43" fontId="6" fillId="0" borderId="5" xfId="2" applyFont="1" applyFill="1" applyBorder="1" applyAlignment="1" applyProtection="1">
      <alignment horizontal="center" vertical="center"/>
      <protection locked="0"/>
    </xf>
    <xf numFmtId="43" fontId="6" fillId="0" borderId="0" xfId="2" applyFont="1" applyFill="1" applyBorder="1" applyAlignment="1" applyProtection="1">
      <alignment horizontal="center" vertical="center"/>
      <protection locked="0"/>
    </xf>
    <xf numFmtId="0" fontId="40" fillId="0" borderId="26" xfId="0" applyFont="1" applyBorder="1" applyAlignment="1">
      <alignment horizontal="center" vertical="center" wrapText="1"/>
    </xf>
    <xf numFmtId="0" fontId="40" fillId="0" borderId="76" xfId="0" applyFont="1" applyBorder="1" applyAlignment="1">
      <alignment horizontal="center" vertical="center" wrapText="1"/>
    </xf>
    <xf numFmtId="0" fontId="6" fillId="0" borderId="103" xfId="0" applyFont="1" applyBorder="1" applyAlignment="1" applyProtection="1">
      <alignment horizontal="center" vertical="center" wrapText="1"/>
      <protection locked="0"/>
    </xf>
    <xf numFmtId="0" fontId="6" fillId="0" borderId="91" xfId="0" applyFont="1" applyBorder="1" applyAlignment="1" applyProtection="1">
      <alignment horizontal="center" vertical="center" wrapText="1"/>
      <protection locked="0"/>
    </xf>
    <xf numFmtId="0" fontId="6" fillId="0" borderId="107" xfId="0" applyFont="1" applyBorder="1" applyAlignment="1" applyProtection="1">
      <alignment horizontal="center" vertical="center" wrapText="1"/>
      <protection locked="0"/>
    </xf>
    <xf numFmtId="43" fontId="6" fillId="0" borderId="24" xfId="2" applyFont="1" applyFill="1" applyBorder="1" applyAlignment="1" applyProtection="1">
      <alignment horizontal="center" vertical="center"/>
      <protection locked="0"/>
    </xf>
    <xf numFmtId="43" fontId="6" fillId="0" borderId="63" xfId="2" applyFont="1" applyFill="1" applyBorder="1" applyAlignment="1" applyProtection="1">
      <alignment horizontal="center" vertical="center" wrapText="1"/>
      <protection locked="0"/>
    </xf>
    <xf numFmtId="43" fontId="6" fillId="0" borderId="91" xfId="2" applyFont="1" applyFill="1" applyBorder="1" applyAlignment="1" applyProtection="1">
      <alignment horizontal="center" vertical="center" wrapText="1"/>
      <protection locked="0"/>
    </xf>
    <xf numFmtId="43" fontId="6" fillId="0" borderId="117" xfId="2" applyFont="1" applyFill="1" applyBorder="1" applyAlignment="1" applyProtection="1">
      <alignment horizontal="center" vertical="center" wrapText="1"/>
      <protection locked="0"/>
    </xf>
    <xf numFmtId="0" fontId="6" fillId="0" borderId="40" xfId="0" applyFont="1" applyBorder="1" applyAlignment="1" applyProtection="1">
      <alignment horizontal="center" vertical="center"/>
      <protection locked="0"/>
    </xf>
    <xf numFmtId="0" fontId="23" fillId="0" borderId="103" xfId="0" applyFont="1" applyBorder="1" applyAlignment="1" applyProtection="1">
      <alignment horizontal="center" vertical="center" wrapText="1"/>
      <protection locked="0"/>
    </xf>
    <xf numFmtId="0" fontId="23" fillId="0" borderId="91" xfId="0" applyFont="1" applyBorder="1" applyAlignment="1" applyProtection="1">
      <alignment horizontal="center" vertical="center" wrapText="1"/>
      <protection locked="0"/>
    </xf>
    <xf numFmtId="0" fontId="23" fillId="0" borderId="92" xfId="0" applyFont="1" applyBorder="1" applyAlignment="1" applyProtection="1">
      <alignment horizontal="center" vertical="center" wrapText="1"/>
      <protection locked="0"/>
    </xf>
    <xf numFmtId="0" fontId="6" fillId="0" borderId="40" xfId="0" applyFont="1" applyBorder="1" applyAlignment="1" applyProtection="1">
      <alignment horizontal="center" vertical="center" wrapText="1"/>
      <protection locked="0"/>
    </xf>
    <xf numFmtId="43" fontId="6" fillId="0" borderId="79" xfId="2" applyFont="1" applyFill="1" applyBorder="1" applyAlignment="1" applyProtection="1">
      <alignment horizontal="center" vertical="center"/>
      <protection locked="0"/>
    </xf>
    <xf numFmtId="43" fontId="6" fillId="0" borderId="70" xfId="2" applyFont="1" applyFill="1" applyBorder="1" applyAlignment="1" applyProtection="1">
      <alignment horizontal="center" vertical="center"/>
      <protection locked="0"/>
    </xf>
    <xf numFmtId="43" fontId="6" fillId="0" borderId="30" xfId="2" applyFont="1" applyFill="1" applyBorder="1" applyAlignment="1" applyProtection="1">
      <alignment horizontal="center" vertical="center"/>
      <protection locked="0"/>
    </xf>
    <xf numFmtId="0" fontId="6" fillId="0" borderId="103" xfId="0" applyFont="1" applyBorder="1" applyAlignment="1" applyProtection="1">
      <alignment horizontal="center" vertical="center"/>
      <protection locked="0"/>
    </xf>
    <xf numFmtId="0" fontId="39" fillId="0" borderId="14" xfId="14" applyFont="1" applyBorder="1" applyAlignment="1">
      <alignment horizontal="center"/>
    </xf>
    <xf numFmtId="0" fontId="39" fillId="0" borderId="15" xfId="14" applyFont="1" applyBorder="1" applyAlignment="1">
      <alignment horizontal="center"/>
    </xf>
    <xf numFmtId="0" fontId="39" fillId="0" borderId="76" xfId="14" applyFont="1" applyBorder="1" applyAlignment="1">
      <alignment horizontal="center"/>
    </xf>
    <xf numFmtId="0" fontId="2" fillId="5" borderId="21" xfId="14" applyFill="1" applyBorder="1" applyAlignment="1">
      <alignment horizontal="left"/>
    </xf>
    <xf numFmtId="0" fontId="2" fillId="5" borderId="22" xfId="14" applyFill="1" applyBorder="1" applyAlignment="1">
      <alignment horizontal="left"/>
    </xf>
    <xf numFmtId="0" fontId="2" fillId="5" borderId="29" xfId="14" applyFill="1" applyBorder="1" applyAlignment="1">
      <alignment horizontal="left"/>
    </xf>
    <xf numFmtId="0" fontId="2" fillId="5" borderId="23" xfId="14" applyFill="1" applyBorder="1" applyAlignment="1">
      <alignment horizontal="left"/>
    </xf>
    <xf numFmtId="0" fontId="2" fillId="5" borderId="25" xfId="14" applyFill="1" applyBorder="1" applyAlignment="1">
      <alignment horizontal="left"/>
    </xf>
    <xf numFmtId="0" fontId="2" fillId="5" borderId="26" xfId="14" applyFill="1" applyBorder="1" applyAlignment="1">
      <alignment horizontal="left"/>
    </xf>
    <xf numFmtId="0" fontId="2" fillId="5" borderId="27" xfId="14" applyFill="1" applyBorder="1" applyAlignment="1">
      <alignment horizontal="left"/>
    </xf>
    <xf numFmtId="0" fontId="2" fillId="5" borderId="28" xfId="14" applyFill="1" applyBorder="1" applyAlignment="1">
      <alignment horizontal="left"/>
    </xf>
    <xf numFmtId="0" fontId="39" fillId="8" borderId="14" xfId="14" applyFont="1" applyFill="1" applyBorder="1" applyAlignment="1">
      <alignment horizontal="center"/>
    </xf>
    <xf numFmtId="0" fontId="39" fillId="8" borderId="15" xfId="14" applyFont="1" applyFill="1" applyBorder="1" applyAlignment="1">
      <alignment horizontal="center"/>
    </xf>
    <xf numFmtId="0" fontId="39" fillId="8" borderId="76" xfId="14" applyFont="1" applyFill="1" applyBorder="1" applyAlignment="1">
      <alignment horizontal="center"/>
    </xf>
    <xf numFmtId="0" fontId="29" fillId="8" borderId="14" xfId="14" applyFont="1" applyFill="1" applyBorder="1" applyAlignment="1">
      <alignment horizontal="center" vertical="center" wrapText="1"/>
    </xf>
    <xf numFmtId="0" fontId="29" fillId="8" borderId="15" xfId="14" applyFont="1" applyFill="1" applyBorder="1" applyAlignment="1">
      <alignment horizontal="center" vertical="center" wrapText="1"/>
    </xf>
    <xf numFmtId="0" fontId="29" fillId="8" borderId="76" xfId="14" applyFont="1" applyFill="1" applyBorder="1" applyAlignment="1">
      <alignment horizontal="center" vertical="center" wrapText="1"/>
    </xf>
    <xf numFmtId="0" fontId="8" fillId="4" borderId="14" xfId="14" applyFont="1" applyFill="1" applyBorder="1" applyAlignment="1" applyProtection="1">
      <alignment horizontal="center" vertical="center"/>
      <protection locked="0"/>
    </xf>
    <xf numFmtId="0" fontId="8" fillId="4" borderId="15" xfId="14" applyFont="1" applyFill="1" applyBorder="1" applyAlignment="1" applyProtection="1">
      <alignment horizontal="center" vertical="center"/>
      <protection locked="0"/>
    </xf>
    <xf numFmtId="0" fontId="8" fillId="4" borderId="76" xfId="14" applyFont="1" applyFill="1" applyBorder="1" applyAlignment="1" applyProtection="1">
      <alignment horizontal="center" vertical="center"/>
      <protection locked="0"/>
    </xf>
    <xf numFmtId="43" fontId="22" fillId="4" borderId="14" xfId="14" applyNumberFormat="1" applyFont="1" applyFill="1" applyBorder="1" applyAlignment="1">
      <alignment horizontal="center" vertical="center"/>
    </xf>
    <xf numFmtId="43" fontId="22" fillId="4" borderId="15" xfId="14" applyNumberFormat="1" applyFont="1" applyFill="1" applyBorder="1" applyAlignment="1">
      <alignment horizontal="center" vertical="center"/>
    </xf>
    <xf numFmtId="43" fontId="22" fillId="4" borderId="76" xfId="14" applyNumberFormat="1" applyFont="1" applyFill="1" applyBorder="1" applyAlignment="1">
      <alignment horizontal="center" vertical="center"/>
    </xf>
    <xf numFmtId="43" fontId="22" fillId="5" borderId="26" xfId="14" applyNumberFormat="1" applyFont="1" applyFill="1" applyBorder="1" applyAlignment="1">
      <alignment horizontal="center"/>
    </xf>
    <xf numFmtId="43" fontId="22" fillId="5" borderId="27" xfId="14" applyNumberFormat="1" applyFont="1" applyFill="1" applyBorder="1" applyAlignment="1">
      <alignment horizontal="center"/>
    </xf>
    <xf numFmtId="43" fontId="22" fillId="5" borderId="28" xfId="14" applyNumberFormat="1" applyFont="1" applyFill="1" applyBorder="1" applyAlignment="1">
      <alignment horizontal="center"/>
    </xf>
    <xf numFmtId="43" fontId="6" fillId="0" borderId="104" xfId="2" applyFont="1" applyFill="1" applyBorder="1" applyAlignment="1" applyProtection="1">
      <alignment horizontal="center" vertical="center"/>
      <protection locked="0"/>
    </xf>
    <xf numFmtId="43" fontId="6" fillId="0" borderId="105" xfId="2" applyFont="1" applyFill="1" applyBorder="1" applyAlignment="1" applyProtection="1">
      <alignment horizontal="center" vertical="center"/>
      <protection locked="0"/>
    </xf>
    <xf numFmtId="43" fontId="6" fillId="0" borderId="106" xfId="2" applyFont="1" applyFill="1" applyBorder="1" applyAlignment="1" applyProtection="1">
      <alignment horizontal="center" vertical="center"/>
      <protection locked="0"/>
    </xf>
    <xf numFmtId="43" fontId="6" fillId="0" borderId="69" xfId="2" applyFont="1" applyFill="1" applyBorder="1" applyAlignment="1" applyProtection="1">
      <alignment horizontal="center" vertical="center"/>
      <protection locked="0"/>
    </xf>
    <xf numFmtId="43" fontId="6" fillId="0" borderId="34" xfId="2" applyFont="1" applyFill="1" applyBorder="1" applyAlignment="1" applyProtection="1">
      <alignment horizontal="center" vertical="center"/>
      <protection locked="0"/>
    </xf>
    <xf numFmtId="43" fontId="6" fillId="0" borderId="97" xfId="2" applyFont="1" applyFill="1" applyBorder="1" applyAlignment="1" applyProtection="1">
      <alignment horizontal="center" vertical="center"/>
      <protection locked="0"/>
    </xf>
    <xf numFmtId="43" fontId="6" fillId="0" borderId="93" xfId="2" applyFont="1" applyFill="1" applyBorder="1" applyAlignment="1" applyProtection="1">
      <alignment horizontal="center" vertical="center"/>
      <protection locked="0"/>
    </xf>
    <xf numFmtId="43" fontId="6" fillId="0" borderId="126" xfId="2" applyFont="1" applyFill="1" applyBorder="1" applyAlignment="1" applyProtection="1">
      <alignment horizontal="center" vertical="center"/>
      <protection locked="0"/>
    </xf>
    <xf numFmtId="43" fontId="8" fillId="0" borderId="30" xfId="2" applyFont="1" applyFill="1" applyBorder="1" applyAlignment="1" applyProtection="1">
      <alignment horizontal="center" vertical="center"/>
      <protection locked="0"/>
    </xf>
    <xf numFmtId="43" fontId="6" fillId="0" borderId="17" xfId="2" applyFont="1" applyFill="1" applyBorder="1" applyAlignment="1" applyProtection="1">
      <alignment horizontal="center" vertical="center"/>
      <protection locked="0"/>
    </xf>
    <xf numFmtId="43" fontId="6" fillId="0" borderId="19" xfId="2" applyFont="1" applyFill="1" applyBorder="1" applyAlignment="1" applyProtection="1">
      <alignment horizontal="center" vertical="center"/>
      <protection locked="0"/>
    </xf>
    <xf numFmtId="43" fontId="6" fillId="0" borderId="155" xfId="2" applyFont="1" applyFill="1" applyBorder="1" applyAlignment="1" applyProtection="1">
      <alignment horizontal="center" vertical="center"/>
      <protection locked="0"/>
    </xf>
    <xf numFmtId="43" fontId="6" fillId="0" borderId="27" xfId="2" applyFont="1" applyFill="1" applyBorder="1" applyAlignment="1" applyProtection="1">
      <alignment horizontal="center" vertical="center"/>
      <protection locked="0"/>
    </xf>
    <xf numFmtId="43" fontId="6" fillId="0" borderId="16" xfId="2" applyFont="1" applyFill="1" applyBorder="1" applyAlignment="1" applyProtection="1">
      <alignment horizontal="center" vertical="center"/>
      <protection locked="0"/>
    </xf>
    <xf numFmtId="43" fontId="6" fillId="0" borderId="108" xfId="2" applyFont="1" applyFill="1" applyBorder="1" applyAlignment="1" applyProtection="1">
      <alignment horizontal="center" vertical="center"/>
      <protection locked="0"/>
    </xf>
    <xf numFmtId="0" fontId="23" fillId="0" borderId="156" xfId="0" applyFont="1" applyBorder="1" applyAlignment="1" applyProtection="1">
      <alignment horizontal="center" vertical="center" wrapText="1"/>
      <protection locked="0"/>
    </xf>
    <xf numFmtId="43" fontId="6" fillId="0" borderId="100" xfId="2" applyFont="1" applyFill="1" applyBorder="1" applyAlignment="1" applyProtection="1">
      <alignment horizontal="center" vertical="center"/>
      <protection locked="0"/>
    </xf>
    <xf numFmtId="43" fontId="6" fillId="0" borderId="22" xfId="2" applyFont="1" applyFill="1" applyBorder="1" applyAlignment="1" applyProtection="1">
      <alignment horizontal="center" vertical="center"/>
      <protection locked="0"/>
    </xf>
    <xf numFmtId="0" fontId="40" fillId="0" borderId="14" xfId="5" applyFont="1" applyBorder="1" applyAlignment="1" applyProtection="1">
      <alignment horizontal="center" vertical="center"/>
      <protection locked="0"/>
    </xf>
    <xf numFmtId="0" fontId="40" fillId="0" borderId="15" xfId="5" applyFont="1" applyBorder="1" applyAlignment="1" applyProtection="1">
      <alignment horizontal="center" vertical="center"/>
      <protection locked="0"/>
    </xf>
    <xf numFmtId="0" fontId="40" fillId="0" borderId="76" xfId="5" applyFont="1" applyBorder="1" applyAlignment="1" applyProtection="1">
      <alignment horizontal="center" vertical="center"/>
      <protection locked="0"/>
    </xf>
    <xf numFmtId="0" fontId="33" fillId="0" borderId="21" xfId="5" applyFont="1" applyBorder="1" applyAlignment="1" applyProtection="1">
      <alignment horizontal="center" vertical="center" wrapText="1"/>
      <protection locked="0"/>
    </xf>
    <xf numFmtId="0" fontId="33" fillId="0" borderId="26" xfId="5" applyFont="1" applyBorder="1" applyAlignment="1" applyProtection="1">
      <alignment horizontal="center" vertical="center" wrapText="1"/>
      <protection locked="0"/>
    </xf>
    <xf numFmtId="0" fontId="33" fillId="0" borderId="29" xfId="5" applyFont="1" applyBorder="1" applyAlignment="1" applyProtection="1">
      <alignment horizontal="center" vertical="center" wrapText="1"/>
      <protection locked="0"/>
    </xf>
    <xf numFmtId="0" fontId="33" fillId="0" borderId="28" xfId="5" applyFont="1" applyBorder="1" applyAlignment="1" applyProtection="1">
      <alignment horizontal="center" vertical="center" wrapText="1"/>
      <protection locked="0"/>
    </xf>
    <xf numFmtId="0" fontId="6" fillId="0" borderId="50"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92" xfId="0" applyFont="1" applyBorder="1" applyAlignment="1" applyProtection="1">
      <alignment horizontal="center" vertical="center" wrapText="1"/>
      <protection locked="0"/>
    </xf>
    <xf numFmtId="0" fontId="8" fillId="0" borderId="47" xfId="0" applyFont="1" applyBorder="1" applyAlignment="1" applyProtection="1">
      <alignment horizontal="center" vertical="center" wrapText="1"/>
      <protection locked="0"/>
    </xf>
    <xf numFmtId="0" fontId="8" fillId="0" borderId="48"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43" fontId="6" fillId="5" borderId="125" xfId="2" applyFont="1" applyFill="1" applyBorder="1" applyAlignment="1" applyProtection="1">
      <alignment horizontal="center" vertical="center"/>
      <protection locked="0"/>
    </xf>
    <xf numFmtId="43" fontId="6" fillId="5" borderId="88" xfId="2" applyFont="1" applyFill="1" applyBorder="1" applyAlignment="1" applyProtection="1">
      <alignment horizontal="center" vertical="center"/>
      <protection locked="0"/>
    </xf>
    <xf numFmtId="43" fontId="6" fillId="5" borderId="57" xfId="2" applyFont="1" applyFill="1" applyBorder="1" applyAlignment="1" applyProtection="1">
      <alignment horizontal="center" vertical="center"/>
      <protection locked="0"/>
    </xf>
    <xf numFmtId="43" fontId="8" fillId="0" borderId="100" xfId="2" applyFont="1" applyFill="1" applyBorder="1" applyAlignment="1" applyProtection="1">
      <alignment horizontal="center" vertical="center"/>
      <protection locked="0"/>
    </xf>
    <xf numFmtId="43" fontId="23" fillId="0" borderId="126" xfId="2" applyFont="1" applyFill="1" applyBorder="1" applyAlignment="1" applyProtection="1">
      <alignment horizontal="center" vertical="center"/>
      <protection locked="0"/>
    </xf>
    <xf numFmtId="43" fontId="23" fillId="5" borderId="79" xfId="2" applyFont="1" applyFill="1" applyBorder="1" applyAlignment="1" applyProtection="1">
      <alignment horizontal="center" vertical="center"/>
      <protection locked="0"/>
    </xf>
    <xf numFmtId="43" fontId="23" fillId="5" borderId="30" xfId="2" applyFont="1" applyFill="1" applyBorder="1" applyAlignment="1" applyProtection="1">
      <alignment horizontal="center" vertical="center"/>
      <protection locked="0"/>
    </xf>
    <xf numFmtId="43" fontId="23" fillId="5" borderId="64" xfId="2" applyFont="1" applyFill="1" applyBorder="1" applyAlignment="1" applyProtection="1">
      <alignment horizontal="center" vertical="center"/>
      <protection locked="0"/>
    </xf>
    <xf numFmtId="43" fontId="23" fillId="5" borderId="137" xfId="2" applyFont="1" applyFill="1" applyBorder="1" applyAlignment="1" applyProtection="1">
      <alignment horizontal="center" vertical="center"/>
      <protection locked="0"/>
    </xf>
    <xf numFmtId="0" fontId="19" fillId="7" borderId="50" xfId="0" applyFont="1" applyFill="1" applyBorder="1" applyAlignment="1">
      <alignment horizontal="center" vertical="center"/>
    </xf>
    <xf numFmtId="0" fontId="19" fillId="7" borderId="5" xfId="0" applyFont="1" applyFill="1" applyBorder="1" applyAlignment="1">
      <alignment horizontal="center" vertical="center"/>
    </xf>
    <xf numFmtId="0" fontId="19" fillId="7" borderId="64" xfId="0" applyFont="1" applyFill="1" applyBorder="1" applyAlignment="1">
      <alignment horizontal="center" vertical="center"/>
    </xf>
    <xf numFmtId="0" fontId="19" fillId="0" borderId="61" xfId="3" applyFont="1" applyBorder="1" applyAlignment="1">
      <alignment vertical="center"/>
    </xf>
    <xf numFmtId="0" fontId="19" fillId="0" borderId="16" xfId="3" applyFont="1" applyBorder="1" applyAlignment="1">
      <alignment horizontal="left" vertical="center"/>
    </xf>
    <xf numFmtId="0" fontId="19" fillId="0" borderId="16" xfId="3" applyFont="1" applyBorder="1" applyAlignment="1">
      <alignment vertical="center" wrapText="1"/>
    </xf>
    <xf numFmtId="0" fontId="19" fillId="0" borderId="16" xfId="3" applyFont="1" applyBorder="1" applyAlignment="1">
      <alignment horizontal="center" vertical="center"/>
    </xf>
    <xf numFmtId="0" fontId="19" fillId="0" borderId="108" xfId="3" applyFont="1" applyBorder="1" applyAlignment="1">
      <alignment horizontal="right" vertical="center"/>
    </xf>
    <xf numFmtId="0" fontId="33" fillId="5" borderId="0" xfId="0" applyFont="1" applyFill="1" applyBorder="1"/>
    <xf numFmtId="0" fontId="33" fillId="5" borderId="0" xfId="0" applyFont="1" applyFill="1" applyBorder="1" applyAlignment="1">
      <alignment horizontal="left" wrapText="1"/>
    </xf>
    <xf numFmtId="4" fontId="50" fillId="3" borderId="0" xfId="0" applyNumberFormat="1" applyFont="1" applyFill="1" applyBorder="1" applyAlignment="1" applyProtection="1">
      <alignment horizontal="left" vertical="center" wrapText="1"/>
      <protection locked="0"/>
    </xf>
    <xf numFmtId="4" fontId="37" fillId="3" borderId="0" xfId="0" applyNumberFormat="1" applyFont="1" applyFill="1" applyBorder="1" applyAlignment="1" applyProtection="1">
      <alignment horizontal="left" vertical="center" wrapText="1"/>
      <protection locked="0"/>
    </xf>
    <xf numFmtId="0" fontId="19" fillId="3" borderId="0" xfId="0" applyFont="1" applyFill="1" applyBorder="1" applyAlignment="1" applyProtection="1">
      <alignment horizontal="left" vertical="center" wrapText="1"/>
      <protection locked="0"/>
    </xf>
    <xf numFmtId="0" fontId="19" fillId="7" borderId="56" xfId="0" applyFont="1" applyFill="1" applyBorder="1" applyAlignment="1">
      <alignment horizontal="center" vertical="center"/>
    </xf>
    <xf numFmtId="0" fontId="19" fillId="7" borderId="11" xfId="0" applyFont="1" applyFill="1" applyBorder="1" applyAlignment="1">
      <alignment horizontal="center" vertical="center"/>
    </xf>
    <xf numFmtId="0" fontId="19" fillId="7" borderId="12" xfId="0" applyFont="1" applyFill="1" applyBorder="1" applyAlignment="1">
      <alignment horizontal="center" vertical="center"/>
    </xf>
    <xf numFmtId="0" fontId="0" fillId="5" borderId="0" xfId="0" applyFill="1" applyBorder="1"/>
    <xf numFmtId="4" fontId="19" fillId="3" borderId="0" xfId="0" applyNumberFormat="1" applyFont="1" applyFill="1" applyBorder="1" applyAlignment="1" applyProtection="1">
      <alignment horizontal="left" vertical="center" wrapText="1"/>
      <protection locked="0"/>
    </xf>
    <xf numFmtId="0" fontId="48" fillId="3" borderId="0" xfId="0" applyFont="1" applyFill="1" applyBorder="1" applyAlignment="1" applyProtection="1">
      <alignment vertical="center" wrapText="1"/>
      <protection locked="0"/>
    </xf>
    <xf numFmtId="0" fontId="48" fillId="3" borderId="0" xfId="0" applyFont="1" applyFill="1" applyBorder="1" applyAlignment="1" applyProtection="1">
      <alignment horizontal="center" vertical="center" wrapText="1"/>
      <protection locked="0"/>
    </xf>
    <xf numFmtId="167" fontId="48" fillId="3" borderId="0" xfId="0" applyNumberFormat="1" applyFont="1" applyFill="1" applyBorder="1" applyAlignment="1" applyProtection="1">
      <alignment vertical="center" wrapText="1"/>
      <protection locked="0"/>
    </xf>
    <xf numFmtId="0" fontId="36" fillId="3" borderId="0" xfId="0" applyFont="1" applyFill="1" applyBorder="1" applyAlignment="1" applyProtection="1">
      <alignment vertical="center" wrapText="1"/>
      <protection locked="0"/>
    </xf>
    <xf numFmtId="0" fontId="36" fillId="3" borderId="0" xfId="0" applyFont="1" applyFill="1" applyBorder="1" applyAlignment="1" applyProtection="1">
      <alignment horizontal="center" vertical="center" wrapText="1"/>
      <protection locked="0"/>
    </xf>
    <xf numFmtId="167" fontId="36" fillId="3" borderId="0" xfId="0" applyNumberFormat="1" applyFont="1" applyFill="1" applyBorder="1" applyAlignment="1" applyProtection="1">
      <alignment vertical="center" wrapText="1"/>
      <protection locked="0"/>
    </xf>
    <xf numFmtId="0" fontId="48" fillId="3" borderId="26" xfId="0" applyFont="1" applyFill="1" applyBorder="1" applyAlignment="1" applyProtection="1">
      <alignment horizontal="left" vertical="center" wrapText="1"/>
      <protection locked="0"/>
    </xf>
    <xf numFmtId="0" fontId="48" fillId="3" borderId="27" xfId="0" applyFont="1" applyFill="1" applyBorder="1" applyAlignment="1" applyProtection="1">
      <alignment vertical="center" wrapText="1"/>
      <protection locked="0"/>
    </xf>
    <xf numFmtId="0" fontId="48" fillId="3" borderId="27" xfId="0" applyFont="1" applyFill="1" applyBorder="1" applyAlignment="1" applyProtection="1">
      <alignment horizontal="center" vertical="center" wrapText="1"/>
      <protection locked="0"/>
    </xf>
    <xf numFmtId="167" fontId="48" fillId="3" borderId="27" xfId="0" applyNumberFormat="1" applyFont="1" applyFill="1" applyBorder="1" applyAlignment="1" applyProtection="1">
      <alignment vertical="center" wrapText="1"/>
      <protection locked="0"/>
    </xf>
    <xf numFmtId="14" fontId="48" fillId="3" borderId="11" xfId="0" applyNumberFormat="1" applyFont="1" applyFill="1" applyBorder="1" applyAlignment="1" applyProtection="1">
      <alignment vertical="center" wrapText="1"/>
      <protection locked="0"/>
    </xf>
    <xf numFmtId="165" fontId="48" fillId="3" borderId="28" xfId="0" applyNumberFormat="1" applyFont="1" applyFill="1" applyBorder="1" applyAlignment="1" applyProtection="1">
      <alignment vertical="center"/>
      <protection locked="0"/>
    </xf>
    <xf numFmtId="0" fontId="19" fillId="0" borderId="61" xfId="0" applyFont="1" applyBorder="1" applyAlignment="1">
      <alignment horizontal="centerContinuous" vertical="center"/>
    </xf>
    <xf numFmtId="4" fontId="19" fillId="3" borderId="77" xfId="0" applyNumberFormat="1" applyFont="1" applyFill="1" applyBorder="1" applyAlignment="1" applyProtection="1">
      <alignment horizontal="left" vertical="center" wrapText="1"/>
      <protection locked="0"/>
    </xf>
    <xf numFmtId="0" fontId="19" fillId="3" borderId="16" xfId="0" applyFont="1" applyFill="1" applyBorder="1" applyAlignment="1" applyProtection="1">
      <alignment horizontal="center" vertical="center"/>
      <protection locked="0"/>
    </xf>
    <xf numFmtId="17" fontId="50" fillId="3" borderId="16" xfId="0" applyNumberFormat="1" applyFont="1" applyFill="1" applyBorder="1" applyAlignment="1" applyProtection="1">
      <alignment horizontal="center" vertical="center"/>
      <protection locked="0"/>
    </xf>
    <xf numFmtId="14" fontId="19" fillId="0" borderId="77" xfId="0" applyNumberFormat="1" applyFont="1" applyBorder="1" applyAlignment="1">
      <alignment horizontal="center" vertical="center"/>
    </xf>
    <xf numFmtId="171" fontId="19" fillId="0" borderId="53" xfId="0" applyNumberFormat="1" applyFont="1" applyBorder="1" applyAlignment="1">
      <alignment vertical="center"/>
    </xf>
    <xf numFmtId="0" fontId="48" fillId="3" borderId="112" xfId="0" applyFont="1" applyFill="1" applyBorder="1" applyAlignment="1" applyProtection="1">
      <alignment horizontal="left" vertical="center" wrapText="1"/>
      <protection locked="0"/>
    </xf>
    <xf numFmtId="0" fontId="48" fillId="3" borderId="20" xfId="0" applyFont="1" applyFill="1" applyBorder="1" applyAlignment="1" applyProtection="1">
      <alignment vertical="center" wrapText="1"/>
      <protection locked="0"/>
    </xf>
    <xf numFmtId="0" fontId="48" fillId="3" borderId="20" xfId="0" applyFont="1" applyFill="1" applyBorder="1" applyAlignment="1" applyProtection="1">
      <alignment horizontal="center" vertical="center" wrapText="1"/>
      <protection locked="0"/>
    </xf>
    <xf numFmtId="167" fontId="48" fillId="3" borderId="20" xfId="0" applyNumberFormat="1" applyFont="1" applyFill="1" applyBorder="1" applyAlignment="1" applyProtection="1">
      <alignment vertical="center" wrapText="1"/>
      <protection locked="0"/>
    </xf>
    <xf numFmtId="14" fontId="48" fillId="3" borderId="42" xfId="0" applyNumberFormat="1" applyFont="1" applyFill="1" applyBorder="1" applyAlignment="1" applyProtection="1">
      <alignment vertical="center" wrapText="1"/>
      <protection locked="0"/>
    </xf>
    <xf numFmtId="165" fontId="48" fillId="3" borderId="111" xfId="0" applyNumberFormat="1" applyFont="1" applyFill="1" applyBorder="1" applyAlignment="1" applyProtection="1">
      <alignment vertical="center"/>
      <protection locked="0"/>
    </xf>
    <xf numFmtId="0" fontId="2" fillId="5" borderId="0" xfId="14" applyFill="1" applyBorder="1" applyAlignment="1">
      <alignment horizontal="left"/>
    </xf>
    <xf numFmtId="0" fontId="2" fillId="5" borderId="0" xfId="14" applyFill="1" applyBorder="1" applyAlignment="1">
      <alignment horizontal="left"/>
    </xf>
    <xf numFmtId="43" fontId="22" fillId="5" borderId="14" xfId="14" applyNumberFormat="1" applyFont="1" applyFill="1" applyBorder="1" applyAlignment="1">
      <alignment horizontal="center"/>
    </xf>
    <xf numFmtId="43" fontId="22" fillId="5" borderId="15" xfId="14" applyNumberFormat="1" applyFont="1" applyFill="1" applyBorder="1" applyAlignment="1">
      <alignment horizontal="center"/>
    </xf>
    <xf numFmtId="43" fontId="22" fillId="5" borderId="76" xfId="14" applyNumberFormat="1" applyFont="1" applyFill="1" applyBorder="1" applyAlignment="1">
      <alignment horizontal="center"/>
    </xf>
    <xf numFmtId="43" fontId="40" fillId="0" borderId="8" xfId="15" applyFont="1" applyFill="1" applyBorder="1" applyAlignment="1" applyProtection="1">
      <alignment horizontal="right" vertical="center"/>
      <protection locked="0"/>
    </xf>
    <xf numFmtId="43" fontId="22" fillId="4" borderId="26" xfId="14" applyNumberFormat="1" applyFont="1" applyFill="1" applyBorder="1" applyAlignment="1">
      <alignment horizontal="center"/>
    </xf>
    <xf numFmtId="43" fontId="22" fillId="4" borderId="27" xfId="14" applyNumberFormat="1" applyFont="1" applyFill="1" applyBorder="1" applyAlignment="1">
      <alignment horizontal="center"/>
    </xf>
    <xf numFmtId="43" fontId="22" fillId="4" borderId="28" xfId="14" applyNumberFormat="1" applyFont="1" applyFill="1" applyBorder="1" applyAlignment="1">
      <alignment horizontal="center"/>
    </xf>
    <xf numFmtId="43" fontId="40" fillId="4" borderId="114" xfId="15" applyFont="1" applyFill="1" applyBorder="1" applyAlignment="1" applyProtection="1">
      <alignment horizontal="right" vertical="center"/>
      <protection locked="0"/>
    </xf>
    <xf numFmtId="0" fontId="8" fillId="0" borderId="41" xfId="14" applyFont="1" applyBorder="1" applyAlignment="1" applyProtection="1">
      <alignment horizontal="center" vertical="center"/>
      <protection locked="0"/>
    </xf>
    <xf numFmtId="43" fontId="8" fillId="0" borderId="42" xfId="15" applyFont="1" applyFill="1" applyBorder="1" applyAlignment="1" applyProtection="1">
      <alignment horizontal="right" vertical="center"/>
      <protection locked="0"/>
    </xf>
    <xf numFmtId="169" fontId="8" fillId="0" borderId="42" xfId="15" applyNumberFormat="1" applyFont="1" applyFill="1" applyBorder="1" applyAlignment="1" applyProtection="1">
      <alignment horizontal="right" vertical="center"/>
      <protection locked="0"/>
    </xf>
    <xf numFmtId="2" fontId="8" fillId="0" borderId="42" xfId="14" applyNumberFormat="1" applyFont="1" applyBorder="1" applyAlignment="1">
      <alignment vertical="center"/>
    </xf>
    <xf numFmtId="43" fontId="8" fillId="0" borderId="113" xfId="15" applyFont="1" applyBorder="1" applyAlignment="1" applyProtection="1">
      <alignment vertical="center"/>
      <protection locked="0"/>
    </xf>
    <xf numFmtId="43" fontId="22" fillId="4" borderId="26" xfId="14" applyNumberFormat="1" applyFont="1" applyFill="1" applyBorder="1" applyAlignment="1">
      <alignment horizontal="center" vertical="center"/>
    </xf>
    <xf numFmtId="43" fontId="22" fillId="4" borderId="27" xfId="14" applyNumberFormat="1" applyFont="1" applyFill="1" applyBorder="1" applyAlignment="1">
      <alignment horizontal="center" vertical="center"/>
    </xf>
    <xf numFmtId="43" fontId="22" fillId="4" borderId="28" xfId="14" applyNumberFormat="1" applyFont="1" applyFill="1" applyBorder="1" applyAlignment="1">
      <alignment horizontal="center" vertical="center"/>
    </xf>
    <xf numFmtId="2" fontId="6" fillId="0" borderId="42" xfId="14" applyNumberFormat="1" applyFont="1" applyBorder="1" applyAlignment="1">
      <alignment vertical="center"/>
    </xf>
    <xf numFmtId="43" fontId="6" fillId="0" borderId="69" xfId="14" applyNumberFormat="1" applyFont="1" applyBorder="1" applyAlignment="1">
      <alignment vertical="center"/>
    </xf>
  </cellXfs>
  <cellStyles count="20">
    <cellStyle name="Normal" xfId="0" builtinId="0"/>
    <cellStyle name="Normal 2" xfId="3" xr:uid="{00000000-0005-0000-0000-000001000000}"/>
    <cellStyle name="Normal 3" xfId="5" xr:uid="{00000000-0005-0000-0000-000002000000}"/>
    <cellStyle name="Normal 3 2" xfId="12" xr:uid="{00000000-0005-0000-0000-000003000000}"/>
    <cellStyle name="Normal 3 3" xfId="14" xr:uid="{00000000-0005-0000-0000-000004000000}"/>
    <cellStyle name="Normal 4" xfId="10" xr:uid="{00000000-0005-0000-0000-000005000000}"/>
    <cellStyle name="Normal_orç águaFAlameidaII " xfId="18" xr:uid="{00000000-0005-0000-0000-000006000000}"/>
    <cellStyle name="Porcentagem" xfId="1" builtinId="5"/>
    <cellStyle name="Porcentagem 2 2" xfId="11" xr:uid="{00000000-0005-0000-0000-000008000000}"/>
    <cellStyle name="Separador de milhares 2" xfId="17" xr:uid="{00000000-0005-0000-0000-000009000000}"/>
    <cellStyle name="Separador de milhares_Modelo Orçamento" xfId="16" xr:uid="{00000000-0005-0000-0000-00000A000000}"/>
    <cellStyle name="Vírgula 2" xfId="7" xr:uid="{00000000-0005-0000-0000-00000B000000}"/>
    <cellStyle name="Vírgula 3" xfId="2" xr:uid="{00000000-0005-0000-0000-00000C000000}"/>
    <cellStyle name="Vírgula 3 2" xfId="4" xr:uid="{00000000-0005-0000-0000-00000D000000}"/>
    <cellStyle name="Vírgula 3 3" xfId="6" xr:uid="{00000000-0005-0000-0000-00000E000000}"/>
    <cellStyle name="Vírgula 3 4" xfId="13" xr:uid="{00000000-0005-0000-0000-00000F000000}"/>
    <cellStyle name="Vírgula 3 5" xfId="15" xr:uid="{00000000-0005-0000-0000-000010000000}"/>
    <cellStyle name="Vírgula 4" xfId="8" xr:uid="{00000000-0005-0000-0000-000011000000}"/>
    <cellStyle name="Vírgula 4 2" xfId="9" xr:uid="{00000000-0005-0000-0000-000012000000}"/>
    <cellStyle name="Vírgula 4 2 2"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104775</xdr:colOff>
      <xdr:row>213</xdr:row>
      <xdr:rowOff>57149</xdr:rowOff>
    </xdr:from>
    <xdr:to>
      <xdr:col>8</xdr:col>
      <xdr:colOff>944868</xdr:colOff>
      <xdr:row>215</xdr:row>
      <xdr:rowOff>171449</xdr:rowOff>
    </xdr:to>
    <xdr:sp macro="" textlink="">
      <xdr:nvSpPr>
        <xdr:cNvPr id="5122" name="Text Box 7">
          <a:extLst>
            <a:ext uri="{FF2B5EF4-FFF2-40B4-BE49-F238E27FC236}">
              <a16:creationId xmlns:a16="http://schemas.microsoft.com/office/drawing/2014/main" id="{00000000-0008-0000-0100-000002140000}"/>
            </a:ext>
          </a:extLst>
        </xdr:cNvPr>
        <xdr:cNvSpPr txBox="1">
          <a:spLocks noChangeArrowheads="1"/>
        </xdr:cNvSpPr>
      </xdr:nvSpPr>
      <xdr:spPr bwMode="auto">
        <a:xfrm>
          <a:off x="104775" y="10001249"/>
          <a:ext cx="12203418" cy="409575"/>
        </a:xfrm>
        <a:prstGeom prst="rect">
          <a:avLst/>
        </a:prstGeom>
        <a:noFill/>
        <a:ln w="9525">
          <a:noFill/>
          <a:miter lim="800000"/>
          <a:headEnd/>
          <a:tailEnd/>
        </a:ln>
      </xdr:spPr>
      <xdr:txBody>
        <a:bodyPr vertOverflow="clip" wrap="square" lIns="27432" tIns="22860" rIns="27432" bIns="0" anchor="t" upright="1"/>
        <a:lstStyle/>
        <a:p>
          <a:pPr algn="ctr"/>
          <a:endParaRPr lang="pt-BR" sz="1100" b="1" i="1">
            <a:effectLst/>
            <a:latin typeface="+mn-lt"/>
            <a:ea typeface="+mn-ea"/>
            <a:cs typeface="+mn-cs"/>
          </a:endParaRPr>
        </a:p>
        <a:p>
          <a:pPr algn="ctr"/>
          <a:r>
            <a:rPr lang="pt-BR" sz="1100" b="1" i="1">
              <a:effectLst/>
              <a:latin typeface="+mn-lt"/>
              <a:ea typeface="+mn-ea"/>
              <a:cs typeface="+mn-cs"/>
            </a:rPr>
            <a:t> Prefeitura Municipal de Bom</a:t>
          </a:r>
          <a:r>
            <a:rPr lang="pt-BR" sz="1100" b="1" i="1" baseline="0">
              <a:effectLst/>
              <a:latin typeface="+mn-lt"/>
              <a:ea typeface="+mn-ea"/>
              <a:cs typeface="+mn-cs"/>
            </a:rPr>
            <a:t> Jardim de Minas </a:t>
          </a:r>
          <a:r>
            <a:rPr lang="pt-BR" sz="1100" b="1" i="1">
              <a:effectLst/>
              <a:latin typeface="+mn-lt"/>
              <a:ea typeface="+mn-ea"/>
              <a:cs typeface="+mn-cs"/>
            </a:rPr>
            <a:t>– MG</a:t>
          </a:r>
          <a:endParaRPr lang="pt-BR">
            <a:effectLst/>
          </a:endParaRPr>
        </a:p>
        <a:p>
          <a:pPr algn="ctr"/>
          <a:r>
            <a:rPr lang="pt-BR" sz="1100" i="1">
              <a:effectLst/>
              <a:latin typeface="+mn-lt"/>
              <a:ea typeface="+mn-ea"/>
              <a:cs typeface="+mn-cs"/>
            </a:rPr>
            <a:t> </a:t>
          </a:r>
          <a:endParaRPr lang="pt-BR">
            <a:effectLst/>
          </a:endParaRPr>
        </a:p>
      </xdr:txBody>
    </xdr:sp>
    <xdr:clientData/>
  </xdr:twoCellAnchor>
  <xdr:twoCellAnchor>
    <xdr:from>
      <xdr:col>1</xdr:col>
      <xdr:colOff>1009650</xdr:colOff>
      <xdr:row>0</xdr:row>
      <xdr:rowOff>0</xdr:rowOff>
    </xdr:from>
    <xdr:to>
      <xdr:col>5</xdr:col>
      <xdr:colOff>685801</xdr:colOff>
      <xdr:row>0</xdr:row>
      <xdr:rowOff>47624</xdr:rowOff>
    </xdr:to>
    <xdr:sp macro="" textlink="">
      <xdr:nvSpPr>
        <xdr:cNvPr id="8" name="Text Box 6">
          <a:extLst>
            <a:ext uri="{FF2B5EF4-FFF2-40B4-BE49-F238E27FC236}">
              <a16:creationId xmlns:a16="http://schemas.microsoft.com/office/drawing/2014/main" id="{00000000-0008-0000-0100-000008000000}"/>
            </a:ext>
          </a:extLst>
        </xdr:cNvPr>
        <xdr:cNvSpPr txBox="1">
          <a:spLocks noChangeArrowheads="1"/>
        </xdr:cNvSpPr>
      </xdr:nvSpPr>
      <xdr:spPr bwMode="auto">
        <a:xfrm>
          <a:off x="1371600" y="57149"/>
          <a:ext cx="7781926" cy="1009650"/>
        </a:xfrm>
        <a:prstGeom prst="rect">
          <a:avLst/>
        </a:prstGeom>
        <a:noFill/>
        <a:ln w="9525">
          <a:noFill/>
          <a:miter lim="800000"/>
          <a:headEnd/>
          <a:tailEnd/>
        </a:ln>
      </xdr:spPr>
      <xdr:txBody>
        <a:bodyPr vertOverflow="clip" wrap="square" lIns="27432" tIns="22860" rIns="0" bIns="0" anchor="ctr" upright="1"/>
        <a:lstStyle/>
        <a:p>
          <a:pPr algn="ctr" rtl="0">
            <a:defRPr sz="1000"/>
          </a:pPr>
          <a:endParaRPr lang="pt-BR" sz="1050" b="1" i="0" u="none" strike="noStrike" baseline="0">
            <a:solidFill>
              <a:srgbClr val="FF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1040130</xdr:colOff>
      <xdr:row>0</xdr:row>
      <xdr:rowOff>0</xdr:rowOff>
    </xdr:from>
    <xdr:to>
      <xdr:col>5</xdr:col>
      <xdr:colOff>701042</xdr:colOff>
      <xdr:row>0</xdr:row>
      <xdr:rowOff>47624</xdr:rowOff>
    </xdr:to>
    <xdr:sp macro="" textlink="">
      <xdr:nvSpPr>
        <xdr:cNvPr id="2" name="Text Box 6">
          <a:extLst>
            <a:ext uri="{FF2B5EF4-FFF2-40B4-BE49-F238E27FC236}">
              <a16:creationId xmlns:a16="http://schemas.microsoft.com/office/drawing/2014/main" id="{00000000-0008-0000-0200-000002000000}"/>
            </a:ext>
          </a:extLst>
        </xdr:cNvPr>
        <xdr:cNvSpPr txBox="1">
          <a:spLocks noChangeArrowheads="1"/>
        </xdr:cNvSpPr>
      </xdr:nvSpPr>
      <xdr:spPr bwMode="auto">
        <a:xfrm>
          <a:off x="1413510" y="0"/>
          <a:ext cx="10336532" cy="47624"/>
        </a:xfrm>
        <a:prstGeom prst="rect">
          <a:avLst/>
        </a:prstGeom>
        <a:noFill/>
        <a:ln w="9525">
          <a:noFill/>
          <a:miter lim="800000"/>
          <a:headEnd/>
          <a:tailEnd/>
        </a:ln>
      </xdr:spPr>
      <xdr:txBody>
        <a:bodyPr vertOverflow="clip" wrap="square" lIns="27432" tIns="22860" rIns="0" bIns="0" anchor="ctr" upright="1"/>
        <a:lstStyle/>
        <a:p>
          <a:pPr algn="ctr"/>
          <a:endParaRPr lang="pt-BR" sz="1100">
            <a:effectLst/>
            <a:latin typeface="+mn-lt"/>
            <a:ea typeface="+mn-ea"/>
            <a:cs typeface="+mn-cs"/>
          </a:endParaRPr>
        </a:p>
        <a:p>
          <a:pPr algn="ctr" rtl="0">
            <a:defRPr sz="1000"/>
          </a:pPr>
          <a:endParaRPr lang="pt-BR" sz="1050" b="1" i="0" u="none" strike="noStrike" baseline="0">
            <a:solidFill>
              <a:srgbClr val="FF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48</xdr:row>
      <xdr:rowOff>0</xdr:rowOff>
    </xdr:from>
    <xdr:to>
      <xdr:col>9</xdr:col>
      <xdr:colOff>0</xdr:colOff>
      <xdr:row>51</xdr:row>
      <xdr:rowOff>83589</xdr:rowOff>
    </xdr:to>
    <xdr:sp macro="" textlink="">
      <xdr:nvSpPr>
        <xdr:cNvPr id="6" name="Text Box 7">
          <a:extLst>
            <a:ext uri="{FF2B5EF4-FFF2-40B4-BE49-F238E27FC236}">
              <a16:creationId xmlns:a16="http://schemas.microsoft.com/office/drawing/2014/main" id="{00000000-0008-0000-0600-000006000000}"/>
            </a:ext>
          </a:extLst>
        </xdr:cNvPr>
        <xdr:cNvSpPr txBox="1">
          <a:spLocks noChangeArrowheads="1"/>
        </xdr:cNvSpPr>
      </xdr:nvSpPr>
      <xdr:spPr bwMode="auto">
        <a:xfrm>
          <a:off x="47625" y="6096000"/>
          <a:ext cx="11678271" cy="597939"/>
        </a:xfrm>
        <a:prstGeom prst="rect">
          <a:avLst/>
        </a:prstGeom>
        <a:noFill/>
        <a:ln w="9525">
          <a:noFill/>
          <a:miter lim="800000"/>
          <a:headEnd/>
          <a:tailEnd/>
        </a:ln>
      </xdr:spPr>
      <xdr:txBody>
        <a:bodyPr vertOverflow="clip" wrap="square" lIns="27432" tIns="22860" rIns="27432" bIns="0" anchor="t" upright="1"/>
        <a:lstStyle/>
        <a:p>
          <a:pPr algn="ctr" rtl="0">
            <a:defRPr sz="1000"/>
          </a:pPr>
          <a:endParaRPr lang="pt-B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4</xdr:col>
      <xdr:colOff>742950</xdr:colOff>
      <xdr:row>77</xdr:row>
      <xdr:rowOff>0</xdr:rowOff>
    </xdr:from>
    <xdr:ext cx="65" cy="172227"/>
    <xdr:sp macro="" textlink="">
      <xdr:nvSpPr>
        <xdr:cNvPr id="2" name="CaixaDeTexto 1">
          <a:extLst>
            <a:ext uri="{FF2B5EF4-FFF2-40B4-BE49-F238E27FC236}">
              <a16:creationId xmlns:a16="http://schemas.microsoft.com/office/drawing/2014/main" id="{00000000-0008-0000-0400-000002000000}"/>
            </a:ext>
          </a:extLst>
        </xdr:cNvPr>
        <xdr:cNvSpPr txBox="1"/>
      </xdr:nvSpPr>
      <xdr:spPr>
        <a:xfrm>
          <a:off x="5863590" y="194462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13</xdr:row>
      <xdr:rowOff>118110</xdr:rowOff>
    </xdr:from>
    <xdr:ext cx="65" cy="180056"/>
    <xdr:sp macro="" textlink="">
      <xdr:nvSpPr>
        <xdr:cNvPr id="3" name="CaixaDeTexto 2">
          <a:extLst>
            <a:ext uri="{FF2B5EF4-FFF2-40B4-BE49-F238E27FC236}">
              <a16:creationId xmlns:a16="http://schemas.microsoft.com/office/drawing/2014/main" id="{00000000-0008-0000-0400-000003000000}"/>
            </a:ext>
          </a:extLst>
        </xdr:cNvPr>
        <xdr:cNvSpPr txBox="1"/>
      </xdr:nvSpPr>
      <xdr:spPr>
        <a:xfrm>
          <a:off x="5863590" y="428625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64</xdr:row>
      <xdr:rowOff>0</xdr:rowOff>
    </xdr:from>
    <xdr:ext cx="65" cy="172227"/>
    <xdr:sp macro="" textlink="">
      <xdr:nvSpPr>
        <xdr:cNvPr id="4" name="CaixaDeTexto 3">
          <a:extLst>
            <a:ext uri="{FF2B5EF4-FFF2-40B4-BE49-F238E27FC236}">
              <a16:creationId xmlns:a16="http://schemas.microsoft.com/office/drawing/2014/main" id="{00000000-0008-0000-0400-000004000000}"/>
            </a:ext>
          </a:extLst>
        </xdr:cNvPr>
        <xdr:cNvSpPr txBox="1"/>
      </xdr:nvSpPr>
      <xdr:spPr>
        <a:xfrm>
          <a:off x="5863590" y="16984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64</xdr:row>
      <xdr:rowOff>110490</xdr:rowOff>
    </xdr:from>
    <xdr:ext cx="65" cy="180056"/>
    <xdr:sp macro="" textlink="">
      <xdr:nvSpPr>
        <xdr:cNvPr id="5" name="CaixaDeTexto 4">
          <a:extLst>
            <a:ext uri="{FF2B5EF4-FFF2-40B4-BE49-F238E27FC236}">
              <a16:creationId xmlns:a16="http://schemas.microsoft.com/office/drawing/2014/main" id="{00000000-0008-0000-0400-000005000000}"/>
            </a:ext>
          </a:extLst>
        </xdr:cNvPr>
        <xdr:cNvSpPr txBox="1"/>
      </xdr:nvSpPr>
      <xdr:spPr>
        <a:xfrm>
          <a:off x="5863590" y="1709547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41</xdr:row>
      <xdr:rowOff>0</xdr:rowOff>
    </xdr:from>
    <xdr:ext cx="65" cy="180056"/>
    <xdr:sp macro="" textlink="">
      <xdr:nvSpPr>
        <xdr:cNvPr id="6" name="CaixaDeTexto 5">
          <a:extLst>
            <a:ext uri="{FF2B5EF4-FFF2-40B4-BE49-F238E27FC236}">
              <a16:creationId xmlns:a16="http://schemas.microsoft.com/office/drawing/2014/main" id="{00000000-0008-0000-0400-000006000000}"/>
            </a:ext>
          </a:extLst>
        </xdr:cNvPr>
        <xdr:cNvSpPr txBox="1"/>
      </xdr:nvSpPr>
      <xdr:spPr>
        <a:xfrm>
          <a:off x="5863590" y="651891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41</xdr:row>
      <xdr:rowOff>0</xdr:rowOff>
    </xdr:from>
    <xdr:ext cx="65" cy="180056"/>
    <xdr:sp macro="" textlink="">
      <xdr:nvSpPr>
        <xdr:cNvPr id="7" name="CaixaDeTexto 6">
          <a:extLst>
            <a:ext uri="{FF2B5EF4-FFF2-40B4-BE49-F238E27FC236}">
              <a16:creationId xmlns:a16="http://schemas.microsoft.com/office/drawing/2014/main" id="{00000000-0008-0000-0400-000007000000}"/>
            </a:ext>
          </a:extLst>
        </xdr:cNvPr>
        <xdr:cNvSpPr txBox="1"/>
      </xdr:nvSpPr>
      <xdr:spPr>
        <a:xfrm>
          <a:off x="5863590" y="863727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41</xdr:row>
      <xdr:rowOff>0</xdr:rowOff>
    </xdr:from>
    <xdr:ext cx="65" cy="180056"/>
    <xdr:sp macro="" textlink="">
      <xdr:nvSpPr>
        <xdr:cNvPr id="8" name="CaixaDeTexto 7">
          <a:extLst>
            <a:ext uri="{FF2B5EF4-FFF2-40B4-BE49-F238E27FC236}">
              <a16:creationId xmlns:a16="http://schemas.microsoft.com/office/drawing/2014/main" id="{00000000-0008-0000-0400-000008000000}"/>
            </a:ext>
          </a:extLst>
        </xdr:cNvPr>
        <xdr:cNvSpPr txBox="1"/>
      </xdr:nvSpPr>
      <xdr:spPr>
        <a:xfrm>
          <a:off x="5863590" y="983361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41</xdr:row>
      <xdr:rowOff>118110</xdr:rowOff>
    </xdr:from>
    <xdr:ext cx="65" cy="180056"/>
    <xdr:sp macro="" textlink="">
      <xdr:nvSpPr>
        <xdr:cNvPr id="9" name="CaixaDeTexto 8">
          <a:extLst>
            <a:ext uri="{FF2B5EF4-FFF2-40B4-BE49-F238E27FC236}">
              <a16:creationId xmlns:a16="http://schemas.microsoft.com/office/drawing/2014/main" id="{00000000-0008-0000-0400-000009000000}"/>
            </a:ext>
          </a:extLst>
        </xdr:cNvPr>
        <xdr:cNvSpPr txBox="1"/>
      </xdr:nvSpPr>
      <xdr:spPr>
        <a:xfrm>
          <a:off x="5863590" y="1111377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58</xdr:row>
      <xdr:rowOff>0</xdr:rowOff>
    </xdr:from>
    <xdr:ext cx="65" cy="180056"/>
    <xdr:sp macro="" textlink="">
      <xdr:nvSpPr>
        <xdr:cNvPr id="10" name="CaixaDeTexto 9">
          <a:extLst>
            <a:ext uri="{FF2B5EF4-FFF2-40B4-BE49-F238E27FC236}">
              <a16:creationId xmlns:a16="http://schemas.microsoft.com/office/drawing/2014/main" id="{00000000-0008-0000-0400-00000A000000}"/>
            </a:ext>
          </a:extLst>
        </xdr:cNvPr>
        <xdr:cNvSpPr txBox="1"/>
      </xdr:nvSpPr>
      <xdr:spPr>
        <a:xfrm>
          <a:off x="5863590" y="1479423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58</xdr:row>
      <xdr:rowOff>0</xdr:rowOff>
    </xdr:from>
    <xdr:ext cx="65" cy="180056"/>
    <xdr:sp macro="" textlink="">
      <xdr:nvSpPr>
        <xdr:cNvPr id="11" name="CaixaDeTexto 10">
          <a:extLst>
            <a:ext uri="{FF2B5EF4-FFF2-40B4-BE49-F238E27FC236}">
              <a16:creationId xmlns:a16="http://schemas.microsoft.com/office/drawing/2014/main" id="{00000000-0008-0000-0400-00000B000000}"/>
            </a:ext>
          </a:extLst>
        </xdr:cNvPr>
        <xdr:cNvSpPr txBox="1"/>
      </xdr:nvSpPr>
      <xdr:spPr>
        <a:xfrm>
          <a:off x="5863590" y="1352931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59</xdr:row>
      <xdr:rowOff>0</xdr:rowOff>
    </xdr:from>
    <xdr:ext cx="65" cy="180056"/>
    <xdr:sp macro="" textlink="">
      <xdr:nvSpPr>
        <xdr:cNvPr id="12" name="CaixaDeTexto 11">
          <a:extLst>
            <a:ext uri="{FF2B5EF4-FFF2-40B4-BE49-F238E27FC236}">
              <a16:creationId xmlns:a16="http://schemas.microsoft.com/office/drawing/2014/main" id="{00000000-0008-0000-0400-00000C000000}"/>
            </a:ext>
          </a:extLst>
        </xdr:cNvPr>
        <xdr:cNvSpPr txBox="1"/>
      </xdr:nvSpPr>
      <xdr:spPr>
        <a:xfrm>
          <a:off x="5863590" y="1663446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59</xdr:row>
      <xdr:rowOff>0</xdr:rowOff>
    </xdr:from>
    <xdr:ext cx="65" cy="180056"/>
    <xdr:sp macro="" textlink="">
      <xdr:nvSpPr>
        <xdr:cNvPr id="13" name="CaixaDeTexto 12">
          <a:extLst>
            <a:ext uri="{FF2B5EF4-FFF2-40B4-BE49-F238E27FC236}">
              <a16:creationId xmlns:a16="http://schemas.microsoft.com/office/drawing/2014/main" id="{00000000-0008-0000-0400-00000D000000}"/>
            </a:ext>
          </a:extLst>
        </xdr:cNvPr>
        <xdr:cNvSpPr txBox="1"/>
      </xdr:nvSpPr>
      <xdr:spPr>
        <a:xfrm>
          <a:off x="5863590" y="15480030"/>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59</xdr:row>
      <xdr:rowOff>0</xdr:rowOff>
    </xdr:from>
    <xdr:ext cx="65" cy="180056"/>
    <xdr:sp macro="" textlink="">
      <xdr:nvSpPr>
        <xdr:cNvPr id="14" name="CaixaDeTexto 13">
          <a:extLst>
            <a:ext uri="{FF2B5EF4-FFF2-40B4-BE49-F238E27FC236}">
              <a16:creationId xmlns:a16="http://schemas.microsoft.com/office/drawing/2014/main" id="{00000000-0008-0000-0400-00000E000000}"/>
            </a:ext>
          </a:extLst>
        </xdr:cNvPr>
        <xdr:cNvSpPr txBox="1"/>
      </xdr:nvSpPr>
      <xdr:spPr>
        <a:xfrm>
          <a:off x="5881007" y="7326086"/>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59</xdr:row>
      <xdr:rowOff>0</xdr:rowOff>
    </xdr:from>
    <xdr:ext cx="65" cy="180056"/>
    <xdr:sp macro="" textlink="">
      <xdr:nvSpPr>
        <xdr:cNvPr id="15" name="CaixaDeTexto 14">
          <a:extLst>
            <a:ext uri="{FF2B5EF4-FFF2-40B4-BE49-F238E27FC236}">
              <a16:creationId xmlns:a16="http://schemas.microsoft.com/office/drawing/2014/main" id="{00000000-0008-0000-0400-00000F000000}"/>
            </a:ext>
          </a:extLst>
        </xdr:cNvPr>
        <xdr:cNvSpPr txBox="1"/>
      </xdr:nvSpPr>
      <xdr:spPr>
        <a:xfrm>
          <a:off x="5881007" y="7326086"/>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59</xdr:row>
      <xdr:rowOff>0</xdr:rowOff>
    </xdr:from>
    <xdr:ext cx="65" cy="180056"/>
    <xdr:sp macro="" textlink="">
      <xdr:nvSpPr>
        <xdr:cNvPr id="16" name="CaixaDeTexto 15">
          <a:extLst>
            <a:ext uri="{FF2B5EF4-FFF2-40B4-BE49-F238E27FC236}">
              <a16:creationId xmlns:a16="http://schemas.microsoft.com/office/drawing/2014/main" id="{00000000-0008-0000-0400-000010000000}"/>
            </a:ext>
          </a:extLst>
        </xdr:cNvPr>
        <xdr:cNvSpPr txBox="1"/>
      </xdr:nvSpPr>
      <xdr:spPr>
        <a:xfrm>
          <a:off x="5881007" y="7326086"/>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oneCellAnchor>
    <xdr:from>
      <xdr:col>4</xdr:col>
      <xdr:colOff>742950</xdr:colOff>
      <xdr:row>59</xdr:row>
      <xdr:rowOff>118110</xdr:rowOff>
    </xdr:from>
    <xdr:ext cx="65" cy="180056"/>
    <xdr:sp macro="" textlink="">
      <xdr:nvSpPr>
        <xdr:cNvPr id="17" name="CaixaDeTexto 16">
          <a:extLst>
            <a:ext uri="{FF2B5EF4-FFF2-40B4-BE49-F238E27FC236}">
              <a16:creationId xmlns:a16="http://schemas.microsoft.com/office/drawing/2014/main" id="{00000000-0008-0000-0400-000011000000}"/>
            </a:ext>
          </a:extLst>
        </xdr:cNvPr>
        <xdr:cNvSpPr txBox="1"/>
      </xdr:nvSpPr>
      <xdr:spPr>
        <a:xfrm>
          <a:off x="5881007" y="7444196"/>
          <a:ext cx="65" cy="1800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t-B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2017/PMBF/CAL&#199;AMENTO%20SANTA%20TEREZINHA/PLANILHA%20M&#218;LTIPLA%202.3_BIAS%20FORTES_REV%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017\PMBF\CAL&#199;AMENTO%20SANTA%20TEREZINHA\PLANILHA%20M&#218;LTIPLA%202.3_BIAS%20FORTES_REV%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al"/>
      <sheetName val="Novo!"/>
      <sheetName val="Dados"/>
      <sheetName val="BDI"/>
      <sheetName val="Orçamento"/>
      <sheetName val="Memória"/>
      <sheetName val="Comp"/>
      <sheetName val="Cot"/>
      <sheetName val="CronoFF"/>
      <sheetName val="QCI"/>
      <sheetName val="Memorial Descritivo"/>
      <sheetName val="Licitação"/>
      <sheetName val="CronoFF-L"/>
      <sheetName val="QCI-L"/>
      <sheetName val="BM"/>
      <sheetName val="RRE"/>
      <sheetName val="OFÍCIO"/>
      <sheetName val="CC"/>
    </sheetNames>
    <sheetDataSet>
      <sheetData sheetId="0"/>
      <sheetData sheetId="1"/>
      <sheetData sheetId="2">
        <row r="29">
          <cell r="G29">
            <v>42826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al"/>
      <sheetName val="Novo!"/>
      <sheetName val="Dados"/>
      <sheetName val="BDI"/>
      <sheetName val="Orçamento"/>
      <sheetName val="Memória"/>
      <sheetName val="Comp"/>
      <sheetName val="Cot"/>
      <sheetName val="CronoFF"/>
      <sheetName val="QCI"/>
      <sheetName val="Memorial Descritivo"/>
      <sheetName val="Licitação"/>
      <sheetName val="CronoFF-L"/>
      <sheetName val="QCI-L"/>
      <sheetName val="BM"/>
      <sheetName val="RRE"/>
      <sheetName val="OFÍCIO"/>
      <sheetName val="CC"/>
    </sheetNames>
    <sheetDataSet>
      <sheetData sheetId="0"/>
      <sheetData sheetId="1"/>
      <sheetData sheetId="2">
        <row r="29">
          <cell r="G29">
            <v>42826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6"/>
  <sheetViews>
    <sheetView showGridLines="0" showZeros="0" tabSelected="1" view="pageBreakPreview" topLeftCell="A186" zoomScale="115" zoomScaleSheetLayoutView="115" workbookViewId="0">
      <selection activeCell="C197" sqref="C197:D197"/>
    </sheetView>
  </sheetViews>
  <sheetFormatPr defaultRowHeight="13.2" x14ac:dyDescent="0.25"/>
  <cols>
    <col min="1" max="1" width="5.44140625" bestFit="1" customWidth="1"/>
    <col min="2" max="2" width="13.88671875" customWidth="1"/>
    <col min="3" max="3" width="24.109375" customWidth="1"/>
    <col min="4" max="4" width="82.21875" customWidth="1"/>
    <col min="5" max="5" width="8.33203125" customWidth="1"/>
    <col min="6" max="6" width="11" customWidth="1"/>
    <col min="7" max="7" width="12.109375" style="13" customWidth="1"/>
    <col min="8" max="8" width="13.77734375" style="13" customWidth="1"/>
    <col min="9" max="9" width="17.5546875" style="13" customWidth="1"/>
    <col min="10" max="10" width="13.21875" bestFit="1" customWidth="1"/>
  </cols>
  <sheetData>
    <row r="1" spans="1:14" s="16" customFormat="1" ht="22.5" customHeight="1" x14ac:dyDescent="0.25">
      <c r="A1" s="557" t="s">
        <v>31</v>
      </c>
      <c r="B1" s="558"/>
      <c r="C1" s="558"/>
      <c r="D1" s="558"/>
      <c r="E1" s="558"/>
      <c r="F1" s="558"/>
      <c r="G1" s="558"/>
      <c r="H1" s="558"/>
      <c r="I1" s="559"/>
      <c r="J1" s="17"/>
    </row>
    <row r="2" spans="1:14" s="6" customFormat="1" ht="15" customHeight="1" x14ac:dyDescent="0.25">
      <c r="A2" s="568" t="s">
        <v>219</v>
      </c>
      <c r="B2" s="566"/>
      <c r="C2" s="566"/>
      <c r="D2" s="566"/>
      <c r="E2" s="569"/>
      <c r="F2" s="565" t="s">
        <v>14</v>
      </c>
      <c r="G2" s="566"/>
      <c r="H2" s="566"/>
      <c r="I2" s="567"/>
    </row>
    <row r="3" spans="1:14" s="6" customFormat="1" ht="15" customHeight="1" x14ac:dyDescent="0.25">
      <c r="A3" s="570" t="s">
        <v>878</v>
      </c>
      <c r="B3" s="571"/>
      <c r="C3" s="571"/>
      <c r="D3" s="571"/>
      <c r="E3" s="572"/>
      <c r="F3" s="573" t="s">
        <v>995</v>
      </c>
      <c r="G3" s="574"/>
      <c r="H3" s="560" t="s">
        <v>7</v>
      </c>
      <c r="I3" s="561"/>
    </row>
    <row r="4" spans="1:14" s="6" customFormat="1" ht="15" customHeight="1" x14ac:dyDescent="0.25">
      <c r="A4" s="562" t="s">
        <v>997</v>
      </c>
      <c r="B4" s="563"/>
      <c r="C4" s="563"/>
      <c r="D4" s="563"/>
      <c r="E4" s="564"/>
      <c r="F4" s="18" t="s">
        <v>15</v>
      </c>
      <c r="G4" s="21">
        <v>0.05</v>
      </c>
      <c r="H4" s="19" t="s">
        <v>18</v>
      </c>
      <c r="I4" s="20" t="s">
        <v>19</v>
      </c>
    </row>
    <row r="5" spans="1:14" s="6" customFormat="1" ht="27.75" customHeight="1" x14ac:dyDescent="0.25">
      <c r="A5" s="586" t="s">
        <v>797</v>
      </c>
      <c r="B5" s="587"/>
      <c r="C5" s="587"/>
      <c r="D5" s="587"/>
      <c r="E5" s="587"/>
      <c r="F5" s="588" t="s">
        <v>16</v>
      </c>
      <c r="G5" s="579" t="s">
        <v>17</v>
      </c>
      <c r="H5" s="575" t="s">
        <v>20</v>
      </c>
      <c r="I5" s="577">
        <v>0.30630000000000002</v>
      </c>
    </row>
    <row r="6" spans="1:14" ht="15" customHeight="1" thickBot="1" x14ac:dyDescent="0.3">
      <c r="A6" s="584" t="s">
        <v>268</v>
      </c>
      <c r="B6" s="585"/>
      <c r="C6" s="585"/>
      <c r="D6" s="585"/>
      <c r="E6" s="585"/>
      <c r="F6" s="589"/>
      <c r="G6" s="580"/>
      <c r="H6" s="576"/>
      <c r="I6" s="578"/>
    </row>
    <row r="7" spans="1:14" ht="7.5" customHeight="1" thickBot="1" x14ac:dyDescent="0.3">
      <c r="A7" s="581"/>
      <c r="B7" s="582"/>
      <c r="C7" s="582"/>
      <c r="D7" s="582"/>
      <c r="E7" s="582"/>
      <c r="F7" s="582"/>
      <c r="G7" s="582"/>
      <c r="H7" s="582"/>
      <c r="I7" s="583"/>
    </row>
    <row r="8" spans="1:14" ht="27" customHeight="1" thickBot="1" x14ac:dyDescent="0.3">
      <c r="A8" s="3" t="s">
        <v>0</v>
      </c>
      <c r="B8" s="4" t="s">
        <v>4</v>
      </c>
      <c r="C8" s="551" t="s">
        <v>1</v>
      </c>
      <c r="D8" s="552"/>
      <c r="E8" s="4" t="s">
        <v>13</v>
      </c>
      <c r="F8" s="4" t="s">
        <v>52</v>
      </c>
      <c r="G8" s="9" t="s">
        <v>53</v>
      </c>
      <c r="H8" s="9" t="s">
        <v>48</v>
      </c>
      <c r="I8" s="14" t="s">
        <v>5</v>
      </c>
    </row>
    <row r="9" spans="1:14" s="6" customFormat="1" ht="18" customHeight="1" x14ac:dyDescent="0.25">
      <c r="A9" s="37">
        <v>1</v>
      </c>
      <c r="B9" s="38"/>
      <c r="C9" s="555" t="s">
        <v>39</v>
      </c>
      <c r="D9" s="556"/>
      <c r="E9" s="39"/>
      <c r="F9" s="39"/>
      <c r="G9" s="39"/>
      <c r="H9" s="39"/>
      <c r="I9" s="41">
        <f>SUM(I10:I13)</f>
        <v>19762.262883800002</v>
      </c>
    </row>
    <row r="10" spans="1:14" s="6" customFormat="1" ht="39.6" customHeight="1" x14ac:dyDescent="0.25">
      <c r="A10" s="45" t="s">
        <v>10</v>
      </c>
      <c r="B10" s="116" t="s">
        <v>84</v>
      </c>
      <c r="C10" s="547" t="s">
        <v>85</v>
      </c>
      <c r="D10" s="548"/>
      <c r="E10" s="48" t="s">
        <v>13</v>
      </c>
      <c r="F10" s="7">
        <f>'MC II'!F8</f>
        <v>1</v>
      </c>
      <c r="G10" s="10">
        <v>1330.56</v>
      </c>
      <c r="H10" s="10">
        <f>G10*$I$5+G10</f>
        <v>1738.1105279999999</v>
      </c>
      <c r="I10" s="15">
        <f>F10*H10</f>
        <v>1738.1105279999999</v>
      </c>
      <c r="J10" s="285" t="s">
        <v>636</v>
      </c>
    </row>
    <row r="11" spans="1:14" s="6" customFormat="1" ht="19.8" customHeight="1" x14ac:dyDescent="0.25">
      <c r="A11" s="45" t="s">
        <v>406</v>
      </c>
      <c r="B11" s="44" t="s">
        <v>407</v>
      </c>
      <c r="C11" s="547" t="s">
        <v>408</v>
      </c>
      <c r="D11" s="548"/>
      <c r="E11" s="134" t="s">
        <v>9</v>
      </c>
      <c r="F11" s="7">
        <f>'MC II'!F9</f>
        <v>12</v>
      </c>
      <c r="G11" s="10">
        <v>567.99</v>
      </c>
      <c r="H11" s="10">
        <f>G11*$I$5+G11</f>
        <v>741.96533700000009</v>
      </c>
      <c r="I11" s="15">
        <f>F11*H11</f>
        <v>8903.5840440000011</v>
      </c>
      <c r="J11" s="285" t="s">
        <v>636</v>
      </c>
      <c r="K11" s="131"/>
      <c r="L11" s="98"/>
      <c r="N11" s="98"/>
    </row>
    <row r="12" spans="1:14" s="6" customFormat="1" ht="30" customHeight="1" x14ac:dyDescent="0.25">
      <c r="A12" s="45" t="s">
        <v>411</v>
      </c>
      <c r="B12" s="132" t="s">
        <v>409</v>
      </c>
      <c r="C12" s="547" t="s">
        <v>410</v>
      </c>
      <c r="D12" s="548"/>
      <c r="E12" s="133" t="s">
        <v>9</v>
      </c>
      <c r="F12" s="7">
        <f>'MC II'!F10</f>
        <v>127.60000000000001</v>
      </c>
      <c r="G12" s="10">
        <v>52</v>
      </c>
      <c r="H12" s="10">
        <f>G12*$I$5+G12</f>
        <v>67.927599999999998</v>
      </c>
      <c r="I12" s="15">
        <f>F12*H12</f>
        <v>8667.5617600000005</v>
      </c>
      <c r="J12" s="285" t="s">
        <v>636</v>
      </c>
      <c r="K12" s="131"/>
      <c r="L12" s="98"/>
      <c r="N12" s="98"/>
    </row>
    <row r="13" spans="1:14" s="6" customFormat="1" ht="30" customHeight="1" x14ac:dyDescent="0.25">
      <c r="A13" s="45" t="s">
        <v>881</v>
      </c>
      <c r="B13" s="132" t="s">
        <v>879</v>
      </c>
      <c r="C13" s="547" t="s">
        <v>880</v>
      </c>
      <c r="D13" s="548"/>
      <c r="E13" s="133" t="s">
        <v>9</v>
      </c>
      <c r="F13" s="7">
        <f>'MC II'!F11</f>
        <v>2.4200000000000004</v>
      </c>
      <c r="G13" s="10">
        <v>143.30000000000001</v>
      </c>
      <c r="H13" s="10">
        <f>G13*$I$5+G13</f>
        <v>187.19279</v>
      </c>
      <c r="I13" s="15">
        <f>F13*H13</f>
        <v>453.00655180000007</v>
      </c>
      <c r="J13" s="285" t="s">
        <v>636</v>
      </c>
      <c r="K13" s="131"/>
      <c r="L13" s="98"/>
      <c r="N13" s="98"/>
    </row>
    <row r="14" spans="1:14" s="92" customFormat="1" ht="18" customHeight="1" x14ac:dyDescent="0.25">
      <c r="A14" s="88"/>
      <c r="B14" s="89"/>
      <c r="C14" s="553" t="s">
        <v>338</v>
      </c>
      <c r="D14" s="554"/>
      <c r="E14" s="90"/>
      <c r="F14" s="90"/>
      <c r="G14" s="90"/>
      <c r="H14" s="90"/>
      <c r="I14" s="91">
        <f>I18+I23+I30+I35+I66+I105+I111+I121+I131+I151+I160+I204+I15+I166+I187</f>
        <v>549488.16258082259</v>
      </c>
      <c r="J14" s="97"/>
    </row>
    <row r="15" spans="1:14" s="6" customFormat="1" ht="18" customHeight="1" x14ac:dyDescent="0.25">
      <c r="A15" s="126">
        <v>2</v>
      </c>
      <c r="B15" s="43"/>
      <c r="C15" s="127" t="s">
        <v>414</v>
      </c>
      <c r="D15" s="128"/>
      <c r="E15" s="43"/>
      <c r="F15" s="129"/>
      <c r="G15" s="43"/>
      <c r="H15" s="43"/>
      <c r="I15" s="130">
        <f>SUM(I16:I17)</f>
        <v>1081.3969416</v>
      </c>
      <c r="K15" s="131"/>
      <c r="L15" s="98"/>
      <c r="N15" s="98"/>
    </row>
    <row r="16" spans="1:14" s="6" customFormat="1" ht="30" customHeight="1" x14ac:dyDescent="0.25">
      <c r="A16" s="45" t="s">
        <v>38</v>
      </c>
      <c r="B16" s="132" t="s">
        <v>415</v>
      </c>
      <c r="C16" s="547" t="s">
        <v>416</v>
      </c>
      <c r="D16" s="548"/>
      <c r="E16" s="133" t="s">
        <v>33</v>
      </c>
      <c r="F16" s="7">
        <f>'MC II'!F14</f>
        <v>6.6</v>
      </c>
      <c r="G16" s="10">
        <v>96.52</v>
      </c>
      <c r="H16" s="10">
        <f>G16*$I$5+G16</f>
        <v>126.084076</v>
      </c>
      <c r="I16" s="15">
        <f>F16*H16</f>
        <v>832.1549015999999</v>
      </c>
      <c r="J16" s="285" t="s">
        <v>636</v>
      </c>
      <c r="K16" s="131"/>
      <c r="L16" s="98"/>
      <c r="N16" s="98"/>
    </row>
    <row r="17" spans="1:14" s="6" customFormat="1" ht="19.8" customHeight="1" x14ac:dyDescent="0.25">
      <c r="A17" s="45" t="s">
        <v>41</v>
      </c>
      <c r="B17" s="44" t="s">
        <v>93</v>
      </c>
      <c r="C17" s="547" t="s">
        <v>94</v>
      </c>
      <c r="D17" s="548"/>
      <c r="E17" s="134" t="s">
        <v>9</v>
      </c>
      <c r="F17" s="7">
        <f>'MC II'!F15</f>
        <v>360</v>
      </c>
      <c r="G17" s="10">
        <v>0.53</v>
      </c>
      <c r="H17" s="10">
        <f>G17*$I$5+G17</f>
        <v>0.69233900000000004</v>
      </c>
      <c r="I17" s="15">
        <f>F17*H17</f>
        <v>249.24204</v>
      </c>
      <c r="J17" s="285" t="s">
        <v>636</v>
      </c>
      <c r="K17" s="131"/>
      <c r="L17" s="98"/>
      <c r="N17" s="98"/>
    </row>
    <row r="18" spans="1:14" s="6" customFormat="1" ht="18" customHeight="1" x14ac:dyDescent="0.25">
      <c r="A18" s="126">
        <v>3</v>
      </c>
      <c r="B18" s="43"/>
      <c r="C18" s="127" t="s">
        <v>92</v>
      </c>
      <c r="D18" s="128"/>
      <c r="E18" s="43"/>
      <c r="F18" s="129"/>
      <c r="G18" s="43"/>
      <c r="H18" s="43"/>
      <c r="I18" s="130">
        <f>SUM(I19:I22)</f>
        <v>11074.463225329502</v>
      </c>
      <c r="J18" s="285"/>
      <c r="K18" s="131"/>
      <c r="L18" s="98"/>
      <c r="N18" s="98"/>
    </row>
    <row r="19" spans="1:14" s="6" customFormat="1" ht="45" customHeight="1" x14ac:dyDescent="0.25">
      <c r="A19" s="45" t="s">
        <v>135</v>
      </c>
      <c r="B19" s="132" t="s">
        <v>637</v>
      </c>
      <c r="C19" s="547" t="s">
        <v>638</v>
      </c>
      <c r="D19" s="548"/>
      <c r="E19" s="133" t="s">
        <v>33</v>
      </c>
      <c r="F19" s="7">
        <f>'MC II'!F17</f>
        <v>347.51249999999999</v>
      </c>
      <c r="G19" s="10">
        <v>11.55</v>
      </c>
      <c r="H19" s="10">
        <f>G19*$I$5+G19</f>
        <v>15.087765000000001</v>
      </c>
      <c r="I19" s="15">
        <f>F19*H19</f>
        <v>5243.1869345625</v>
      </c>
      <c r="J19" s="285" t="s">
        <v>636</v>
      </c>
      <c r="K19" s="131"/>
      <c r="L19" s="98"/>
      <c r="N19" s="98"/>
    </row>
    <row r="20" spans="1:14" s="6" customFormat="1" ht="30" customHeight="1" x14ac:dyDescent="0.25">
      <c r="A20" s="45" t="s">
        <v>135</v>
      </c>
      <c r="B20" s="132" t="s">
        <v>79</v>
      </c>
      <c r="C20" s="547" t="s">
        <v>80</v>
      </c>
      <c r="D20" s="548"/>
      <c r="E20" s="133" t="s">
        <v>9</v>
      </c>
      <c r="F20" s="7">
        <f>'MC II'!F18</f>
        <v>282.375</v>
      </c>
      <c r="G20" s="10">
        <v>4.95</v>
      </c>
      <c r="H20" s="10">
        <f>G20*$I$5+G20</f>
        <v>6.4661850000000003</v>
      </c>
      <c r="I20" s="15">
        <f>F20*H20</f>
        <v>1825.8889893750002</v>
      </c>
      <c r="J20" s="285" t="s">
        <v>636</v>
      </c>
      <c r="K20" s="131"/>
      <c r="L20" s="98"/>
      <c r="N20" s="98"/>
    </row>
    <row r="21" spans="1:14" s="305" customFormat="1" ht="19.8" customHeight="1" x14ac:dyDescent="0.25">
      <c r="A21" s="348" t="s">
        <v>136</v>
      </c>
      <c r="B21" s="56" t="s">
        <v>392</v>
      </c>
      <c r="C21" s="549" t="s">
        <v>83</v>
      </c>
      <c r="D21" s="550"/>
      <c r="E21" s="298" t="s">
        <v>33</v>
      </c>
      <c r="F21" s="299">
        <f>'MC II'!F19</f>
        <v>35.788875000000004</v>
      </c>
      <c r="G21" s="300">
        <v>66.48</v>
      </c>
      <c r="H21" s="300">
        <f t="shared" ref="H21:H22" si="0">G21*$I$5+G21</f>
        <v>86.842824000000007</v>
      </c>
      <c r="I21" s="301">
        <f t="shared" ref="I21:I22" si="1">F21*H21</f>
        <v>3108.0069727830005</v>
      </c>
      <c r="J21" s="302" t="s">
        <v>636</v>
      </c>
      <c r="K21" s="303"/>
      <c r="L21" s="304"/>
      <c r="N21" s="304"/>
    </row>
    <row r="22" spans="1:14" s="305" customFormat="1" ht="19.8" customHeight="1" x14ac:dyDescent="0.25">
      <c r="A22" s="348" t="s">
        <v>137</v>
      </c>
      <c r="B22" s="56" t="s">
        <v>54</v>
      </c>
      <c r="C22" s="549" t="s">
        <v>55</v>
      </c>
      <c r="D22" s="550" t="s">
        <v>33</v>
      </c>
      <c r="E22" s="298" t="s">
        <v>33</v>
      </c>
      <c r="F22" s="299">
        <f>'MC II'!F20</f>
        <v>16.738875000000004</v>
      </c>
      <c r="G22" s="300">
        <v>41.04</v>
      </c>
      <c r="H22" s="300">
        <f t="shared" si="0"/>
        <v>53.610551999999998</v>
      </c>
      <c r="I22" s="301">
        <f t="shared" si="1"/>
        <v>897.38032860900012</v>
      </c>
      <c r="J22" s="302" t="s">
        <v>636</v>
      </c>
      <c r="K22" s="303"/>
      <c r="L22" s="304"/>
      <c r="N22" s="304"/>
    </row>
    <row r="23" spans="1:14" s="6" customFormat="1" ht="18" customHeight="1" x14ac:dyDescent="0.25">
      <c r="A23" s="126">
        <v>4</v>
      </c>
      <c r="B23" s="43"/>
      <c r="C23" s="127" t="s">
        <v>635</v>
      </c>
      <c r="D23" s="128"/>
      <c r="E23" s="43"/>
      <c r="F23" s="129"/>
      <c r="G23" s="43"/>
      <c r="H23" s="43"/>
      <c r="I23" s="130">
        <f>SUM(I24:I29)</f>
        <v>152416.29898244273</v>
      </c>
      <c r="K23" s="131"/>
      <c r="L23" s="98"/>
      <c r="N23" s="98"/>
    </row>
    <row r="24" spans="1:14" s="305" customFormat="1" ht="19.8" customHeight="1" x14ac:dyDescent="0.25">
      <c r="A24" s="348" t="s">
        <v>269</v>
      </c>
      <c r="B24" s="56" t="s">
        <v>65</v>
      </c>
      <c r="C24" s="549" t="s">
        <v>64</v>
      </c>
      <c r="D24" s="550"/>
      <c r="E24" s="298" t="s">
        <v>33</v>
      </c>
      <c r="F24" s="299">
        <f>'MC II'!F22</f>
        <v>2.1857500000000001</v>
      </c>
      <c r="G24" s="300">
        <v>535.89</v>
      </c>
      <c r="H24" s="300">
        <f>G24*$I$5+G24</f>
        <v>700.03310699999997</v>
      </c>
      <c r="I24" s="301">
        <f t="shared" ref="I24:I29" si="2">F24*H24</f>
        <v>1530.09736362525</v>
      </c>
      <c r="J24" s="305" t="s">
        <v>636</v>
      </c>
      <c r="K24" s="303"/>
      <c r="L24" s="304"/>
      <c r="N24" s="304"/>
    </row>
    <row r="25" spans="1:14" s="305" customFormat="1" ht="19.8" customHeight="1" x14ac:dyDescent="0.25">
      <c r="A25" s="348" t="s">
        <v>418</v>
      </c>
      <c r="B25" s="56" t="s">
        <v>56</v>
      </c>
      <c r="C25" s="549" t="s">
        <v>95</v>
      </c>
      <c r="D25" s="550"/>
      <c r="E25" s="298" t="s">
        <v>33</v>
      </c>
      <c r="F25" s="299">
        <f>'MC II'!F23</f>
        <v>35.173625000000001</v>
      </c>
      <c r="G25" s="300">
        <v>710.53</v>
      </c>
      <c r="H25" s="300">
        <f t="shared" ref="H25:H29" si="3">G25*$I$5+G25</f>
        <v>928.16533900000002</v>
      </c>
      <c r="I25" s="301">
        <f t="shared" si="2"/>
        <v>32646.939571983876</v>
      </c>
      <c r="J25" s="305" t="s">
        <v>636</v>
      </c>
      <c r="K25" s="303"/>
      <c r="L25" s="304"/>
      <c r="N25" s="304"/>
    </row>
    <row r="26" spans="1:14" s="305" customFormat="1" ht="19.8" customHeight="1" x14ac:dyDescent="0.25">
      <c r="A26" s="348" t="s">
        <v>419</v>
      </c>
      <c r="B26" s="56" t="s">
        <v>57</v>
      </c>
      <c r="C26" s="549" t="s">
        <v>58</v>
      </c>
      <c r="D26" s="550"/>
      <c r="E26" s="298" t="s">
        <v>59</v>
      </c>
      <c r="F26" s="299">
        <f>'MC II'!F24</f>
        <v>1616.1698000000001</v>
      </c>
      <c r="G26" s="300">
        <v>11.26</v>
      </c>
      <c r="H26" s="300">
        <f t="shared" si="3"/>
        <v>14.708938</v>
      </c>
      <c r="I26" s="301">
        <f t="shared" si="2"/>
        <v>23772.141385672403</v>
      </c>
      <c r="J26" s="305" t="s">
        <v>636</v>
      </c>
      <c r="K26" s="303"/>
      <c r="L26" s="304"/>
      <c r="N26" s="304"/>
    </row>
    <row r="27" spans="1:14" s="305" customFormat="1" ht="19.8" customHeight="1" x14ac:dyDescent="0.25">
      <c r="A27" s="348" t="s">
        <v>424</v>
      </c>
      <c r="B27" s="56" t="s">
        <v>60</v>
      </c>
      <c r="C27" s="549" t="s">
        <v>61</v>
      </c>
      <c r="D27" s="550"/>
      <c r="E27" s="298" t="s">
        <v>59</v>
      </c>
      <c r="F27" s="299">
        <f>'MC II'!F25</f>
        <v>554.59096</v>
      </c>
      <c r="G27" s="300">
        <v>11.9</v>
      </c>
      <c r="H27" s="300">
        <f t="shared" si="3"/>
        <v>15.544970000000001</v>
      </c>
      <c r="I27" s="301">
        <f t="shared" si="2"/>
        <v>8621.099835471201</v>
      </c>
      <c r="J27" s="305" t="s">
        <v>636</v>
      </c>
      <c r="K27" s="303"/>
      <c r="L27" s="304"/>
      <c r="N27" s="304"/>
    </row>
    <row r="28" spans="1:14" s="305" customFormat="1" ht="19.8" customHeight="1" x14ac:dyDescent="0.25">
      <c r="A28" s="348" t="s">
        <v>425</v>
      </c>
      <c r="B28" s="56" t="s">
        <v>62</v>
      </c>
      <c r="C28" s="549" t="s">
        <v>63</v>
      </c>
      <c r="D28" s="550"/>
      <c r="E28" s="298" t="s">
        <v>9</v>
      </c>
      <c r="F28" s="299">
        <f>'MC II'!F26</f>
        <v>403.15000000000003</v>
      </c>
      <c r="G28" s="300">
        <v>44.45</v>
      </c>
      <c r="H28" s="300">
        <f t="shared" si="3"/>
        <v>58.065035000000009</v>
      </c>
      <c r="I28" s="301">
        <f t="shared" si="2"/>
        <v>23408.918860250007</v>
      </c>
      <c r="J28" s="305" t="s">
        <v>636</v>
      </c>
      <c r="K28" s="303"/>
      <c r="L28" s="304"/>
      <c r="N28" s="304"/>
    </row>
    <row r="29" spans="1:14" s="305" customFormat="1" ht="19.8" customHeight="1" x14ac:dyDescent="0.25">
      <c r="A29" s="348" t="s">
        <v>426</v>
      </c>
      <c r="B29" s="56" t="s">
        <v>256</v>
      </c>
      <c r="C29" s="549" t="s">
        <v>257</v>
      </c>
      <c r="D29" s="550"/>
      <c r="E29" s="298" t="s">
        <v>9</v>
      </c>
      <c r="F29" s="299">
        <f>'MC II'!F27</f>
        <v>235.36</v>
      </c>
      <c r="G29" s="300">
        <v>203.08</v>
      </c>
      <c r="H29" s="300">
        <f t="shared" si="3"/>
        <v>265.28340400000002</v>
      </c>
      <c r="I29" s="301">
        <f t="shared" si="2"/>
        <v>62437.101965440008</v>
      </c>
      <c r="J29" s="305" t="s">
        <v>636</v>
      </c>
      <c r="K29" s="303"/>
      <c r="L29" s="304"/>
      <c r="N29" s="304"/>
    </row>
    <row r="30" spans="1:14" s="6" customFormat="1" ht="18" customHeight="1" x14ac:dyDescent="0.25">
      <c r="A30" s="126">
        <v>5</v>
      </c>
      <c r="B30" s="43"/>
      <c r="C30" s="127" t="s">
        <v>96</v>
      </c>
      <c r="D30" s="128"/>
      <c r="E30" s="43"/>
      <c r="F30" s="129"/>
      <c r="G30" s="43"/>
      <c r="H30" s="43"/>
      <c r="I30" s="130">
        <f>SUM(I31:I34)</f>
        <v>44873.920001754945</v>
      </c>
      <c r="K30" s="131"/>
      <c r="L30" s="98"/>
      <c r="N30" s="98"/>
    </row>
    <row r="31" spans="1:14" s="305" customFormat="1" ht="19.8" customHeight="1" x14ac:dyDescent="0.25">
      <c r="A31" s="348" t="s">
        <v>270</v>
      </c>
      <c r="B31" s="56" t="s">
        <v>640</v>
      </c>
      <c r="C31" s="549" t="s">
        <v>641</v>
      </c>
      <c r="D31" s="550"/>
      <c r="E31" s="298" t="s">
        <v>9</v>
      </c>
      <c r="F31" s="299">
        <f>'MC II'!F29</f>
        <v>259.15099999999995</v>
      </c>
      <c r="G31" s="300">
        <v>64.67</v>
      </c>
      <c r="H31" s="300">
        <f>G31*$I$5+G31</f>
        <v>84.478420999999997</v>
      </c>
      <c r="I31" s="301">
        <f>F31*H31</f>
        <v>21892.667280570997</v>
      </c>
      <c r="J31" s="305" t="s">
        <v>636</v>
      </c>
      <c r="K31" s="303"/>
      <c r="L31" s="304"/>
      <c r="N31" s="304"/>
    </row>
    <row r="32" spans="1:14" s="6" customFormat="1" ht="30" customHeight="1" x14ac:dyDescent="0.25">
      <c r="A32" s="45" t="s">
        <v>311</v>
      </c>
      <c r="B32" s="132" t="s">
        <v>420</v>
      </c>
      <c r="C32" s="547" t="s">
        <v>422</v>
      </c>
      <c r="D32" s="548"/>
      <c r="E32" s="133" t="s">
        <v>33</v>
      </c>
      <c r="F32" s="7">
        <f>'MC II'!F30</f>
        <v>0.43199999999999994</v>
      </c>
      <c r="G32" s="10">
        <v>2895.72</v>
      </c>
      <c r="H32" s="10">
        <f>G32*$I$5+G32</f>
        <v>3782.6790359999995</v>
      </c>
      <c r="I32" s="15">
        <f t="shared" ref="I32:I34" si="4">F32*H32</f>
        <v>1634.1173435519995</v>
      </c>
      <c r="J32" s="6" t="s">
        <v>636</v>
      </c>
      <c r="K32" s="131"/>
      <c r="L32" s="98"/>
      <c r="N32" s="98"/>
    </row>
    <row r="33" spans="1:14" s="6" customFormat="1" ht="30" customHeight="1" x14ac:dyDescent="0.25">
      <c r="A33" s="45" t="s">
        <v>312</v>
      </c>
      <c r="B33" s="132" t="s">
        <v>421</v>
      </c>
      <c r="C33" s="547" t="s">
        <v>423</v>
      </c>
      <c r="D33" s="548"/>
      <c r="E33" s="133" t="s">
        <v>33</v>
      </c>
      <c r="F33" s="7">
        <f>'MC II'!F31</f>
        <v>0.55035000000000001</v>
      </c>
      <c r="G33" s="10">
        <v>2698.79</v>
      </c>
      <c r="H33" s="10">
        <f>G33*$I$5+G33</f>
        <v>3525.4293769999999</v>
      </c>
      <c r="I33" s="15">
        <f t="shared" si="4"/>
        <v>1940.2200576319499</v>
      </c>
      <c r="J33" s="6" t="s">
        <v>636</v>
      </c>
      <c r="K33" s="131"/>
      <c r="L33" s="98"/>
      <c r="N33" s="98"/>
    </row>
    <row r="34" spans="1:14" s="6" customFormat="1" ht="45" customHeight="1" x14ac:dyDescent="0.25">
      <c r="A34" s="45" t="s">
        <v>658</v>
      </c>
      <c r="B34" s="132" t="s">
        <v>709</v>
      </c>
      <c r="C34" s="547" t="s">
        <v>710</v>
      </c>
      <c r="D34" s="548"/>
      <c r="E34" s="133" t="s">
        <v>12</v>
      </c>
      <c r="F34" s="7">
        <f>'MC II'!F32</f>
        <v>20</v>
      </c>
      <c r="G34" s="10">
        <v>742.82</v>
      </c>
      <c r="H34" s="10">
        <f>G34*$I$5+G34</f>
        <v>970.34576600000014</v>
      </c>
      <c r="I34" s="15">
        <f t="shared" si="4"/>
        <v>19406.915320000004</v>
      </c>
      <c r="J34" s="285" t="s">
        <v>636</v>
      </c>
      <c r="K34" s="131"/>
      <c r="L34" s="98"/>
      <c r="N34" s="98"/>
    </row>
    <row r="35" spans="1:14" s="6" customFormat="1" ht="18" customHeight="1" x14ac:dyDescent="0.25">
      <c r="A35" s="40">
        <v>6</v>
      </c>
      <c r="B35" s="36"/>
      <c r="C35" s="135" t="s">
        <v>97</v>
      </c>
      <c r="D35" s="136"/>
      <c r="E35" s="36"/>
      <c r="F35" s="36"/>
      <c r="G35" s="36"/>
      <c r="H35" s="36"/>
      <c r="I35" s="41">
        <f>SUM(I36:I65)</f>
        <v>13347.453356500002</v>
      </c>
      <c r="K35" s="131"/>
      <c r="L35" s="98"/>
      <c r="N35" s="98"/>
    </row>
    <row r="36" spans="1:14" s="6" customFormat="1" ht="19.8" customHeight="1" x14ac:dyDescent="0.25">
      <c r="A36" s="45" t="s">
        <v>271</v>
      </c>
      <c r="B36" s="44" t="s">
        <v>344</v>
      </c>
      <c r="C36" s="547" t="s">
        <v>345</v>
      </c>
      <c r="D36" s="548"/>
      <c r="E36" s="134" t="s">
        <v>12</v>
      </c>
      <c r="F36" s="7">
        <f>'MC II'!F34</f>
        <v>62</v>
      </c>
      <c r="G36" s="10">
        <v>9.91</v>
      </c>
      <c r="H36" s="10">
        <f>G36*$I$5+G36</f>
        <v>12.945433000000001</v>
      </c>
      <c r="I36" s="15">
        <f t="shared" ref="I36:I41" si="5">F36*H36</f>
        <v>802.61684600000012</v>
      </c>
      <c r="J36" s="285" t="s">
        <v>636</v>
      </c>
      <c r="K36" s="131"/>
      <c r="L36" s="98"/>
      <c r="N36" s="98"/>
    </row>
    <row r="37" spans="1:14" s="6" customFormat="1" ht="19.8" customHeight="1" x14ac:dyDescent="0.25">
      <c r="A37" s="45" t="s">
        <v>303</v>
      </c>
      <c r="B37" s="44" t="s">
        <v>346</v>
      </c>
      <c r="C37" s="547" t="s">
        <v>347</v>
      </c>
      <c r="D37" s="548"/>
      <c r="E37" s="134" t="s">
        <v>12</v>
      </c>
      <c r="F37" s="7">
        <f>'MC II'!F35</f>
        <v>9</v>
      </c>
      <c r="G37" s="10">
        <v>11.4</v>
      </c>
      <c r="H37" s="10">
        <f t="shared" ref="H37:H41" si="6">G37*$I$5+G37</f>
        <v>14.891820000000001</v>
      </c>
      <c r="I37" s="15">
        <f t="shared" si="5"/>
        <v>134.02638000000002</v>
      </c>
      <c r="J37" s="285" t="s">
        <v>636</v>
      </c>
      <c r="K37" s="131"/>
      <c r="L37" s="98"/>
      <c r="N37" s="98"/>
    </row>
    <row r="38" spans="1:14" s="6" customFormat="1" ht="19.8" customHeight="1" x14ac:dyDescent="0.25">
      <c r="A38" s="45" t="s">
        <v>304</v>
      </c>
      <c r="B38" s="44" t="s">
        <v>354</v>
      </c>
      <c r="C38" s="547" t="s">
        <v>352</v>
      </c>
      <c r="D38" s="548"/>
      <c r="E38" s="134" t="s">
        <v>12</v>
      </c>
      <c r="F38" s="7">
        <f>'MC II'!F36</f>
        <v>1</v>
      </c>
      <c r="G38" s="10">
        <v>17.72</v>
      </c>
      <c r="H38" s="10">
        <f t="shared" si="6"/>
        <v>23.147635999999999</v>
      </c>
      <c r="I38" s="15">
        <f t="shared" si="5"/>
        <v>23.147635999999999</v>
      </c>
      <c r="J38" s="285" t="s">
        <v>636</v>
      </c>
      <c r="K38" s="131"/>
      <c r="L38" s="98"/>
      <c r="N38" s="98"/>
    </row>
    <row r="39" spans="1:14" s="6" customFormat="1" ht="30" customHeight="1" x14ac:dyDescent="0.25">
      <c r="A39" s="45" t="s">
        <v>305</v>
      </c>
      <c r="B39" s="132" t="s">
        <v>348</v>
      </c>
      <c r="C39" s="547" t="s">
        <v>349</v>
      </c>
      <c r="D39" s="548"/>
      <c r="E39" s="133" t="s">
        <v>12</v>
      </c>
      <c r="F39" s="7">
        <f>'MC II'!F37</f>
        <v>34</v>
      </c>
      <c r="G39" s="10">
        <v>19.690000000000001</v>
      </c>
      <c r="H39" s="10">
        <f t="shared" si="6"/>
        <v>25.721047000000002</v>
      </c>
      <c r="I39" s="15">
        <f t="shared" si="5"/>
        <v>874.51559800000007</v>
      </c>
      <c r="J39" s="285" t="s">
        <v>636</v>
      </c>
      <c r="K39" s="131"/>
      <c r="L39" s="98"/>
      <c r="N39" s="98"/>
    </row>
    <row r="40" spans="1:14" s="6" customFormat="1" ht="30" customHeight="1" x14ac:dyDescent="0.25">
      <c r="A40" s="45" t="s">
        <v>306</v>
      </c>
      <c r="B40" s="132" t="s">
        <v>355</v>
      </c>
      <c r="C40" s="547" t="s">
        <v>353</v>
      </c>
      <c r="D40" s="548"/>
      <c r="E40" s="133" t="s">
        <v>12</v>
      </c>
      <c r="F40" s="7">
        <f>'MC II'!F38</f>
        <v>21</v>
      </c>
      <c r="G40" s="10">
        <v>25.16</v>
      </c>
      <c r="H40" s="10">
        <f t="shared" si="6"/>
        <v>32.866508000000003</v>
      </c>
      <c r="I40" s="15">
        <f t="shared" si="5"/>
        <v>690.19666800000005</v>
      </c>
      <c r="J40" s="285" t="s">
        <v>636</v>
      </c>
      <c r="K40" s="131"/>
      <c r="L40" s="98"/>
      <c r="N40" s="98"/>
    </row>
    <row r="41" spans="1:14" s="6" customFormat="1" ht="30" customHeight="1" x14ac:dyDescent="0.25">
      <c r="A41" s="45" t="s">
        <v>307</v>
      </c>
      <c r="B41" s="132" t="s">
        <v>350</v>
      </c>
      <c r="C41" s="547" t="s">
        <v>351</v>
      </c>
      <c r="D41" s="548"/>
      <c r="E41" s="133" t="s">
        <v>12</v>
      </c>
      <c r="F41" s="7">
        <f>'MC II'!F39</f>
        <v>18</v>
      </c>
      <c r="G41" s="10">
        <v>35.04</v>
      </c>
      <c r="H41" s="10">
        <f t="shared" si="6"/>
        <v>45.772751999999997</v>
      </c>
      <c r="I41" s="15">
        <f t="shared" si="5"/>
        <v>823.90953599999989</v>
      </c>
      <c r="J41" s="285" t="s">
        <v>636</v>
      </c>
      <c r="K41" s="131"/>
      <c r="L41" s="98"/>
      <c r="N41" s="98"/>
    </row>
    <row r="42" spans="1:14" s="6" customFormat="1" ht="30" customHeight="1" x14ac:dyDescent="0.25">
      <c r="A42" s="45" t="s">
        <v>308</v>
      </c>
      <c r="B42" s="132" t="s">
        <v>357</v>
      </c>
      <c r="C42" s="547" t="s">
        <v>358</v>
      </c>
      <c r="D42" s="548"/>
      <c r="E42" s="133" t="s">
        <v>13</v>
      </c>
      <c r="F42" s="7">
        <f>'MC II'!F40</f>
        <v>26</v>
      </c>
      <c r="G42" s="10">
        <v>7.17</v>
      </c>
      <c r="H42" s="10">
        <f t="shared" ref="H42:H45" si="7">G42*$I$5+G42</f>
        <v>9.3661709999999996</v>
      </c>
      <c r="I42" s="15">
        <f t="shared" ref="I42:I45" si="8">F42*H42</f>
        <v>243.52044599999999</v>
      </c>
      <c r="J42" s="285" t="s">
        <v>636</v>
      </c>
      <c r="K42" s="131"/>
      <c r="L42" s="98"/>
      <c r="N42" s="98"/>
    </row>
    <row r="43" spans="1:14" s="6" customFormat="1" ht="19.8" customHeight="1" x14ac:dyDescent="0.25">
      <c r="A43" s="45" t="s">
        <v>309</v>
      </c>
      <c r="B43" s="44" t="s">
        <v>359</v>
      </c>
      <c r="C43" s="547" t="s">
        <v>360</v>
      </c>
      <c r="D43" s="548"/>
      <c r="E43" s="134" t="s">
        <v>13</v>
      </c>
      <c r="F43" s="7">
        <f>'MC II'!F41</f>
        <v>5</v>
      </c>
      <c r="G43" s="10">
        <v>8.52</v>
      </c>
      <c r="H43" s="10">
        <f t="shared" si="7"/>
        <v>11.129676</v>
      </c>
      <c r="I43" s="15">
        <f t="shared" si="8"/>
        <v>55.648380000000003</v>
      </c>
      <c r="J43" s="285" t="s">
        <v>636</v>
      </c>
      <c r="K43" s="131"/>
      <c r="L43" s="98"/>
      <c r="N43" s="98"/>
    </row>
    <row r="44" spans="1:14" s="6" customFormat="1" ht="19.8" customHeight="1" x14ac:dyDescent="0.25">
      <c r="A44" s="45" t="s">
        <v>310</v>
      </c>
      <c r="B44" s="44" t="s">
        <v>361</v>
      </c>
      <c r="C44" s="547" t="s">
        <v>362</v>
      </c>
      <c r="D44" s="548"/>
      <c r="E44" s="134" t="s">
        <v>13</v>
      </c>
      <c r="F44" s="7">
        <f>'MC II'!F42</f>
        <v>1</v>
      </c>
      <c r="G44" s="10">
        <v>18.309999999999999</v>
      </c>
      <c r="H44" s="10">
        <f t="shared" si="7"/>
        <v>23.918353</v>
      </c>
      <c r="I44" s="15">
        <f t="shared" si="8"/>
        <v>23.918353</v>
      </c>
      <c r="J44" s="285" t="s">
        <v>636</v>
      </c>
      <c r="K44" s="131"/>
      <c r="L44" s="98"/>
      <c r="N44" s="98"/>
    </row>
    <row r="45" spans="1:14" s="6" customFormat="1" ht="19.8" customHeight="1" x14ac:dyDescent="0.25">
      <c r="A45" s="45" t="s">
        <v>429</v>
      </c>
      <c r="B45" s="44" t="s">
        <v>363</v>
      </c>
      <c r="C45" s="547" t="s">
        <v>364</v>
      </c>
      <c r="D45" s="548"/>
      <c r="E45" s="134" t="s">
        <v>13</v>
      </c>
      <c r="F45" s="7">
        <f>'MC II'!F43</f>
        <v>11</v>
      </c>
      <c r="G45" s="10">
        <v>9.1199999999999992</v>
      </c>
      <c r="H45" s="10">
        <f t="shared" si="7"/>
        <v>11.913456</v>
      </c>
      <c r="I45" s="15">
        <f t="shared" si="8"/>
        <v>131.04801599999999</v>
      </c>
      <c r="J45" s="285" t="s">
        <v>636</v>
      </c>
      <c r="K45" s="131"/>
      <c r="L45" s="98"/>
      <c r="N45" s="98"/>
    </row>
    <row r="46" spans="1:14" s="6" customFormat="1" ht="30" customHeight="1" x14ac:dyDescent="0.25">
      <c r="A46" s="45" t="s">
        <v>430</v>
      </c>
      <c r="B46" s="132" t="s">
        <v>365</v>
      </c>
      <c r="C46" s="547" t="s">
        <v>366</v>
      </c>
      <c r="D46" s="548"/>
      <c r="E46" s="133" t="s">
        <v>13</v>
      </c>
      <c r="F46" s="7">
        <f>'MC II'!F44</f>
        <v>2</v>
      </c>
      <c r="G46" s="10">
        <v>9.43</v>
      </c>
      <c r="H46" s="10">
        <f t="shared" ref="H46:H51" si="9">G46*$I$5+G46</f>
        <v>12.318408999999999</v>
      </c>
      <c r="I46" s="15">
        <f t="shared" ref="I46:I51" si="10">F46*H46</f>
        <v>24.636817999999998</v>
      </c>
      <c r="J46" s="285" t="s">
        <v>636</v>
      </c>
      <c r="K46" s="131"/>
      <c r="L46" s="98"/>
      <c r="N46" s="98"/>
    </row>
    <row r="47" spans="1:14" s="6" customFormat="1" ht="30" customHeight="1" x14ac:dyDescent="0.25">
      <c r="A47" s="45" t="s">
        <v>431</v>
      </c>
      <c r="B47" s="132" t="s">
        <v>374</v>
      </c>
      <c r="C47" s="547" t="s">
        <v>373</v>
      </c>
      <c r="D47" s="548"/>
      <c r="E47" s="133" t="s">
        <v>13</v>
      </c>
      <c r="F47" s="7">
        <f>'MC II'!F45</f>
        <v>1</v>
      </c>
      <c r="G47" s="10">
        <v>14.27</v>
      </c>
      <c r="H47" s="10">
        <f t="shared" si="9"/>
        <v>18.640900999999999</v>
      </c>
      <c r="I47" s="15">
        <f t="shared" si="10"/>
        <v>18.640900999999999</v>
      </c>
      <c r="J47" s="285" t="s">
        <v>636</v>
      </c>
      <c r="K47" s="131"/>
      <c r="L47" s="98"/>
      <c r="N47" s="98"/>
    </row>
    <row r="48" spans="1:14" s="6" customFormat="1" ht="30" customHeight="1" x14ac:dyDescent="0.25">
      <c r="A48" s="45" t="s">
        <v>432</v>
      </c>
      <c r="B48" s="132" t="s">
        <v>798</v>
      </c>
      <c r="C48" s="547" t="s">
        <v>799</v>
      </c>
      <c r="D48" s="548"/>
      <c r="E48" s="133" t="s">
        <v>13</v>
      </c>
      <c r="F48" s="7">
        <f>'MC II'!F46</f>
        <v>2</v>
      </c>
      <c r="G48" s="10">
        <v>26.05</v>
      </c>
      <c r="H48" s="10">
        <f t="shared" si="9"/>
        <v>34.029115000000004</v>
      </c>
      <c r="I48" s="15">
        <f t="shared" si="10"/>
        <v>68.058230000000009</v>
      </c>
      <c r="J48" s="285" t="s">
        <v>636</v>
      </c>
      <c r="K48" s="131"/>
      <c r="L48" s="98"/>
      <c r="N48" s="98"/>
    </row>
    <row r="49" spans="1:14" s="6" customFormat="1" ht="30" customHeight="1" x14ac:dyDescent="0.25">
      <c r="A49" s="45" t="s">
        <v>433</v>
      </c>
      <c r="B49" s="132" t="s">
        <v>367</v>
      </c>
      <c r="C49" s="547" t="s">
        <v>368</v>
      </c>
      <c r="D49" s="548"/>
      <c r="E49" s="133" t="s">
        <v>13</v>
      </c>
      <c r="F49" s="7">
        <f>'MC II'!F47</f>
        <v>17</v>
      </c>
      <c r="G49" s="10">
        <v>9.34</v>
      </c>
      <c r="H49" s="10">
        <f t="shared" si="9"/>
        <v>12.200842</v>
      </c>
      <c r="I49" s="15">
        <f t="shared" si="10"/>
        <v>207.41431399999999</v>
      </c>
      <c r="J49" s="285" t="s">
        <v>636</v>
      </c>
      <c r="K49" s="131"/>
      <c r="L49" s="98"/>
      <c r="N49" s="98"/>
    </row>
    <row r="50" spans="1:14" s="6" customFormat="1" ht="30" customHeight="1" x14ac:dyDescent="0.25">
      <c r="A50" s="45" t="s">
        <v>434</v>
      </c>
      <c r="B50" s="132" t="s">
        <v>369</v>
      </c>
      <c r="C50" s="547" t="s">
        <v>370</v>
      </c>
      <c r="D50" s="548"/>
      <c r="E50" s="133" t="s">
        <v>13</v>
      </c>
      <c r="F50" s="7">
        <f>'MC II'!F48</f>
        <v>8</v>
      </c>
      <c r="G50" s="10">
        <v>13.57</v>
      </c>
      <c r="H50" s="10">
        <f t="shared" si="9"/>
        <v>17.726490999999999</v>
      </c>
      <c r="I50" s="15">
        <f t="shared" si="10"/>
        <v>141.81192799999999</v>
      </c>
      <c r="J50" s="285" t="s">
        <v>636</v>
      </c>
      <c r="K50" s="131"/>
      <c r="L50" s="98"/>
      <c r="N50" s="98"/>
    </row>
    <row r="51" spans="1:14" s="6" customFormat="1" ht="30" customHeight="1" x14ac:dyDescent="0.25">
      <c r="A51" s="45" t="s">
        <v>435</v>
      </c>
      <c r="B51" s="132" t="s">
        <v>371</v>
      </c>
      <c r="C51" s="547" t="s">
        <v>372</v>
      </c>
      <c r="D51" s="548"/>
      <c r="E51" s="133" t="s">
        <v>13</v>
      </c>
      <c r="F51" s="7">
        <f>'MC II'!F49</f>
        <v>2</v>
      </c>
      <c r="G51" s="10">
        <v>25.24</v>
      </c>
      <c r="H51" s="10">
        <f t="shared" si="9"/>
        <v>32.971012000000002</v>
      </c>
      <c r="I51" s="15">
        <f t="shared" si="10"/>
        <v>65.942024000000004</v>
      </c>
      <c r="J51" s="285" t="s">
        <v>636</v>
      </c>
      <c r="K51" s="131"/>
      <c r="L51" s="98"/>
      <c r="N51" s="98"/>
    </row>
    <row r="52" spans="1:14" s="6" customFormat="1" ht="30" customHeight="1" x14ac:dyDescent="0.25">
      <c r="A52" s="45" t="s">
        <v>436</v>
      </c>
      <c r="B52" s="132" t="s">
        <v>376</v>
      </c>
      <c r="C52" s="547" t="s">
        <v>375</v>
      </c>
      <c r="D52" s="548"/>
      <c r="E52" s="133" t="s">
        <v>13</v>
      </c>
      <c r="F52" s="7">
        <f>'MC II'!F50</f>
        <v>2</v>
      </c>
      <c r="G52" s="10">
        <v>39.729999999999997</v>
      </c>
      <c r="H52" s="10">
        <f t="shared" ref="H52:H55" si="11">G52*$I$5+G52</f>
        <v>51.899298999999999</v>
      </c>
      <c r="I52" s="15">
        <f t="shared" ref="I52:I55" si="12">F52*H52</f>
        <v>103.798598</v>
      </c>
      <c r="J52" s="285" t="s">
        <v>636</v>
      </c>
      <c r="K52" s="131"/>
      <c r="L52" s="98"/>
      <c r="N52" s="98"/>
    </row>
    <row r="53" spans="1:14" s="6" customFormat="1" ht="30" customHeight="1" x14ac:dyDescent="0.25">
      <c r="A53" s="45" t="s">
        <v>437</v>
      </c>
      <c r="B53" s="132" t="s">
        <v>802</v>
      </c>
      <c r="C53" s="547" t="s">
        <v>803</v>
      </c>
      <c r="D53" s="548"/>
      <c r="E53" s="133" t="s">
        <v>13</v>
      </c>
      <c r="F53" s="7">
        <f>'MC II'!F51</f>
        <v>1</v>
      </c>
      <c r="G53" s="10">
        <v>54.26</v>
      </c>
      <c r="H53" s="10">
        <f t="shared" si="11"/>
        <v>70.879838000000007</v>
      </c>
      <c r="I53" s="15">
        <f t="shared" si="12"/>
        <v>70.879838000000007</v>
      </c>
      <c r="J53" s="285" t="s">
        <v>636</v>
      </c>
      <c r="K53" s="131"/>
      <c r="L53" s="98"/>
      <c r="N53" s="98"/>
    </row>
    <row r="54" spans="1:14" s="6" customFormat="1" ht="30" customHeight="1" x14ac:dyDescent="0.25">
      <c r="A54" s="45" t="s">
        <v>438</v>
      </c>
      <c r="B54" s="132" t="s">
        <v>377</v>
      </c>
      <c r="C54" s="547" t="s">
        <v>378</v>
      </c>
      <c r="D54" s="548"/>
      <c r="E54" s="133" t="s">
        <v>13</v>
      </c>
      <c r="F54" s="7">
        <f>'MC II'!F52</f>
        <v>11</v>
      </c>
      <c r="G54" s="10">
        <v>8.61</v>
      </c>
      <c r="H54" s="10">
        <f t="shared" si="11"/>
        <v>11.247242999999999</v>
      </c>
      <c r="I54" s="15">
        <f t="shared" si="12"/>
        <v>123.71967299999999</v>
      </c>
      <c r="J54" s="285" t="s">
        <v>636</v>
      </c>
      <c r="K54" s="131"/>
      <c r="L54" s="98"/>
      <c r="N54" s="98"/>
    </row>
    <row r="55" spans="1:14" s="6" customFormat="1" ht="30" customHeight="1" x14ac:dyDescent="0.25">
      <c r="A55" s="45" t="s">
        <v>439</v>
      </c>
      <c r="B55" s="132" t="s">
        <v>379</v>
      </c>
      <c r="C55" s="547" t="s">
        <v>380</v>
      </c>
      <c r="D55" s="548"/>
      <c r="E55" s="133" t="s">
        <v>13</v>
      </c>
      <c r="F55" s="7">
        <f>'MC II'!F53</f>
        <v>9</v>
      </c>
      <c r="G55" s="10">
        <v>16.38</v>
      </c>
      <c r="H55" s="10">
        <f t="shared" si="11"/>
        <v>21.397193999999999</v>
      </c>
      <c r="I55" s="15">
        <f t="shared" si="12"/>
        <v>192.574746</v>
      </c>
      <c r="J55" s="285" t="s">
        <v>636</v>
      </c>
      <c r="K55" s="131"/>
      <c r="L55" s="98"/>
      <c r="N55" s="98"/>
    </row>
    <row r="56" spans="1:14" s="6" customFormat="1" ht="30" customHeight="1" x14ac:dyDescent="0.25">
      <c r="A56" s="45" t="s">
        <v>440</v>
      </c>
      <c r="B56" s="132" t="s">
        <v>805</v>
      </c>
      <c r="C56" s="547" t="s">
        <v>806</v>
      </c>
      <c r="D56" s="548"/>
      <c r="E56" s="133" t="s">
        <v>13</v>
      </c>
      <c r="F56" s="7">
        <f>'MC II'!F54</f>
        <v>1</v>
      </c>
      <c r="G56" s="10">
        <v>39.880000000000003</v>
      </c>
      <c r="H56" s="10">
        <f t="shared" ref="H56:H58" si="13">G56*$I$5+G56</f>
        <v>52.095244000000008</v>
      </c>
      <c r="I56" s="15">
        <f t="shared" ref="I56:I58" si="14">F56*H56</f>
        <v>52.095244000000008</v>
      </c>
      <c r="J56" s="285" t="s">
        <v>636</v>
      </c>
      <c r="K56" s="131"/>
      <c r="L56" s="98"/>
      <c r="N56" s="98"/>
    </row>
    <row r="57" spans="1:14" s="6" customFormat="1" ht="30" customHeight="1" x14ac:dyDescent="0.25">
      <c r="A57" s="45" t="s">
        <v>441</v>
      </c>
      <c r="B57" s="132" t="s">
        <v>381</v>
      </c>
      <c r="C57" s="547" t="s">
        <v>382</v>
      </c>
      <c r="D57" s="548"/>
      <c r="E57" s="133" t="s">
        <v>13</v>
      </c>
      <c r="F57" s="7">
        <f>'MC II'!F55</f>
        <v>1</v>
      </c>
      <c r="G57" s="10">
        <v>22.19</v>
      </c>
      <c r="H57" s="10">
        <f t="shared" si="13"/>
        <v>28.986797000000003</v>
      </c>
      <c r="I57" s="15">
        <f t="shared" si="14"/>
        <v>28.986797000000003</v>
      </c>
      <c r="J57" s="285" t="s">
        <v>636</v>
      </c>
      <c r="K57" s="131"/>
      <c r="L57" s="98"/>
      <c r="N57" s="98"/>
    </row>
    <row r="58" spans="1:14" s="6" customFormat="1" ht="30" customHeight="1" x14ac:dyDescent="0.25">
      <c r="A58" s="45" t="s">
        <v>442</v>
      </c>
      <c r="B58" s="132" t="s">
        <v>990</v>
      </c>
      <c r="C58" s="547" t="s">
        <v>991</v>
      </c>
      <c r="D58" s="548"/>
      <c r="E58" s="133" t="s">
        <v>13</v>
      </c>
      <c r="F58" s="7">
        <f>'MC II'!F56</f>
        <v>2</v>
      </c>
      <c r="G58" s="10">
        <v>13.57</v>
      </c>
      <c r="H58" s="10">
        <f t="shared" si="13"/>
        <v>17.726490999999999</v>
      </c>
      <c r="I58" s="15">
        <f t="shared" si="14"/>
        <v>35.452981999999999</v>
      </c>
      <c r="J58" s="285" t="s">
        <v>636</v>
      </c>
      <c r="K58" s="131"/>
      <c r="L58" s="98"/>
      <c r="N58" s="98"/>
    </row>
    <row r="59" spans="1:14" s="6" customFormat="1" ht="30" customHeight="1" x14ac:dyDescent="0.25">
      <c r="A59" s="45" t="s">
        <v>443</v>
      </c>
      <c r="B59" s="132" t="s">
        <v>383</v>
      </c>
      <c r="C59" s="547" t="s">
        <v>384</v>
      </c>
      <c r="D59" s="548"/>
      <c r="E59" s="133" t="s">
        <v>13</v>
      </c>
      <c r="F59" s="7">
        <f>'MC II'!F57</f>
        <v>8</v>
      </c>
      <c r="G59" s="10">
        <v>66.34</v>
      </c>
      <c r="H59" s="10">
        <f t="shared" ref="H59:H65" si="15">G59*$I$5+G59</f>
        <v>86.659942000000001</v>
      </c>
      <c r="I59" s="15">
        <f t="shared" ref="I59:I65" si="16">F59*H59</f>
        <v>693.27953600000001</v>
      </c>
      <c r="J59" s="285" t="s">
        <v>636</v>
      </c>
      <c r="K59" s="131"/>
      <c r="L59" s="98"/>
      <c r="N59" s="98"/>
    </row>
    <row r="60" spans="1:14" s="6" customFormat="1" ht="30" customHeight="1" x14ac:dyDescent="0.25">
      <c r="A60" s="45" t="s">
        <v>800</v>
      </c>
      <c r="B60" s="132" t="s">
        <v>385</v>
      </c>
      <c r="C60" s="547" t="s">
        <v>386</v>
      </c>
      <c r="D60" s="548"/>
      <c r="E60" s="133" t="s">
        <v>13</v>
      </c>
      <c r="F60" s="7">
        <f>'MC II'!F58</f>
        <v>4</v>
      </c>
      <c r="G60" s="10">
        <v>751.04</v>
      </c>
      <c r="H60" s="10">
        <f t="shared" si="15"/>
        <v>981.08355199999994</v>
      </c>
      <c r="I60" s="15">
        <f t="shared" si="16"/>
        <v>3924.3342079999998</v>
      </c>
      <c r="J60" s="285" t="s">
        <v>636</v>
      </c>
      <c r="K60" s="131"/>
      <c r="L60" s="98"/>
      <c r="N60" s="98"/>
    </row>
    <row r="61" spans="1:14" s="6" customFormat="1" ht="19.8" customHeight="1" x14ac:dyDescent="0.25">
      <c r="A61" s="45" t="s">
        <v>807</v>
      </c>
      <c r="B61" s="44" t="s">
        <v>809</v>
      </c>
      <c r="C61" s="547" t="s">
        <v>810</v>
      </c>
      <c r="D61" s="548"/>
      <c r="E61" s="133" t="s">
        <v>13</v>
      </c>
      <c r="F61" s="7">
        <f>'MC II'!F59</f>
        <v>4</v>
      </c>
      <c r="G61" s="10">
        <v>111.32</v>
      </c>
      <c r="H61" s="10">
        <f t="shared" si="15"/>
        <v>145.417316</v>
      </c>
      <c r="I61" s="15">
        <f t="shared" si="16"/>
        <v>581.669264</v>
      </c>
      <c r="J61" s="285" t="s">
        <v>636</v>
      </c>
      <c r="K61" s="131"/>
      <c r="L61" s="98"/>
      <c r="N61" s="98"/>
    </row>
    <row r="62" spans="1:14" s="6" customFormat="1" ht="19.8" customHeight="1" x14ac:dyDescent="0.25">
      <c r="A62" s="45" t="s">
        <v>808</v>
      </c>
      <c r="B62" s="44" t="s">
        <v>811</v>
      </c>
      <c r="C62" s="547" t="s">
        <v>812</v>
      </c>
      <c r="D62" s="548"/>
      <c r="E62" s="133" t="s">
        <v>13</v>
      </c>
      <c r="F62" s="7">
        <f>'MC II'!F60</f>
        <v>2</v>
      </c>
      <c r="G62" s="10">
        <v>114.34</v>
      </c>
      <c r="H62" s="10">
        <f t="shared" si="15"/>
        <v>149.36234200000001</v>
      </c>
      <c r="I62" s="15">
        <f t="shared" si="16"/>
        <v>298.72468400000002</v>
      </c>
      <c r="J62" s="285" t="s">
        <v>636</v>
      </c>
      <c r="K62" s="131"/>
      <c r="L62" s="98"/>
      <c r="N62" s="98"/>
    </row>
    <row r="63" spans="1:14" s="6" customFormat="1" ht="19.8" customHeight="1" x14ac:dyDescent="0.25">
      <c r="A63" s="45" t="s">
        <v>815</v>
      </c>
      <c r="B63" s="44" t="s">
        <v>387</v>
      </c>
      <c r="C63" s="547" t="s">
        <v>388</v>
      </c>
      <c r="D63" s="548"/>
      <c r="E63" s="134" t="s">
        <v>13</v>
      </c>
      <c r="F63" s="7">
        <f>'MC II'!F61</f>
        <v>2</v>
      </c>
      <c r="G63" s="10">
        <v>28.23</v>
      </c>
      <c r="H63" s="10">
        <f t="shared" si="15"/>
        <v>36.876849</v>
      </c>
      <c r="I63" s="15">
        <f t="shared" si="16"/>
        <v>73.753698</v>
      </c>
      <c r="J63" s="285" t="s">
        <v>636</v>
      </c>
      <c r="K63" s="131"/>
      <c r="L63" s="98"/>
      <c r="N63" s="98"/>
    </row>
    <row r="64" spans="1:14" s="6" customFormat="1" ht="30" customHeight="1" x14ac:dyDescent="0.25">
      <c r="A64" s="45" t="s">
        <v>816</v>
      </c>
      <c r="B64" s="132" t="s">
        <v>389</v>
      </c>
      <c r="C64" s="547" t="s">
        <v>194</v>
      </c>
      <c r="D64" s="548"/>
      <c r="E64" s="133" t="s">
        <v>13</v>
      </c>
      <c r="F64" s="7">
        <f>'MC II'!F62</f>
        <v>1</v>
      </c>
      <c r="G64" s="10">
        <v>866.48</v>
      </c>
      <c r="H64" s="10">
        <f t="shared" si="15"/>
        <v>1131.882824</v>
      </c>
      <c r="I64" s="15">
        <f t="shared" si="16"/>
        <v>1131.882824</v>
      </c>
      <c r="J64" s="285" t="s">
        <v>636</v>
      </c>
      <c r="K64" s="131"/>
      <c r="L64" s="98"/>
      <c r="N64" s="98"/>
    </row>
    <row r="65" spans="1:14" s="6" customFormat="1" ht="45" customHeight="1" x14ac:dyDescent="0.25">
      <c r="A65" s="45" t="s">
        <v>989</v>
      </c>
      <c r="B65" s="132" t="s">
        <v>813</v>
      </c>
      <c r="C65" s="547" t="s">
        <v>814</v>
      </c>
      <c r="D65" s="548"/>
      <c r="E65" s="133" t="s">
        <v>12</v>
      </c>
      <c r="F65" s="7">
        <f>'MC II'!F63</f>
        <v>3.5</v>
      </c>
      <c r="G65" s="10">
        <v>373.41</v>
      </c>
      <c r="H65" s="10">
        <f t="shared" si="15"/>
        <v>487.78548300000006</v>
      </c>
      <c r="I65" s="15">
        <f t="shared" si="16"/>
        <v>1707.2491905000002</v>
      </c>
      <c r="J65" s="285" t="s">
        <v>636</v>
      </c>
      <c r="K65" s="131"/>
      <c r="L65" s="98"/>
      <c r="N65" s="98"/>
    </row>
    <row r="66" spans="1:14" s="6" customFormat="1" ht="18" customHeight="1" x14ac:dyDescent="0.25">
      <c r="A66" s="40">
        <v>7</v>
      </c>
      <c r="B66" s="36"/>
      <c r="C66" s="135" t="s">
        <v>98</v>
      </c>
      <c r="D66" s="136"/>
      <c r="E66" s="36"/>
      <c r="F66" s="36"/>
      <c r="G66" s="36"/>
      <c r="H66" s="36"/>
      <c r="I66" s="41">
        <f>SUM(I67:I104)</f>
        <v>30901.789256666671</v>
      </c>
      <c r="K66" s="131"/>
      <c r="L66" s="98"/>
      <c r="N66" s="98"/>
    </row>
    <row r="67" spans="1:14" s="305" customFormat="1" ht="30" customHeight="1" x14ac:dyDescent="0.25">
      <c r="A67" s="348" t="s">
        <v>272</v>
      </c>
      <c r="B67" s="132" t="s">
        <v>718</v>
      </c>
      <c r="C67" s="549" t="s">
        <v>719</v>
      </c>
      <c r="D67" s="550"/>
      <c r="E67" s="349" t="s">
        <v>13</v>
      </c>
      <c r="F67" s="299">
        <f>'MC II'!F65</f>
        <v>1</v>
      </c>
      <c r="G67" s="300">
        <v>3239.84</v>
      </c>
      <c r="H67" s="300">
        <f t="shared" ref="H67:H100" si="17">G67*$I$5+G67</f>
        <v>4232.2029920000004</v>
      </c>
      <c r="I67" s="301">
        <f t="shared" ref="I67:I103" si="18">F67*H67</f>
        <v>4232.2029920000004</v>
      </c>
      <c r="J67" s="302" t="s">
        <v>636</v>
      </c>
      <c r="K67" s="303"/>
      <c r="L67" s="304"/>
      <c r="N67" s="304"/>
    </row>
    <row r="68" spans="1:14" s="305" customFormat="1" ht="30" customHeight="1" x14ac:dyDescent="0.25">
      <c r="A68" s="348" t="s">
        <v>299</v>
      </c>
      <c r="B68" s="132" t="s">
        <v>475</v>
      </c>
      <c r="C68" s="549" t="s">
        <v>717</v>
      </c>
      <c r="D68" s="550"/>
      <c r="E68" s="298" t="s">
        <v>13</v>
      </c>
      <c r="F68" s="299">
        <f>'MC II'!F66</f>
        <v>1</v>
      </c>
      <c r="G68" s="300">
        <v>863.46</v>
      </c>
      <c r="H68" s="300">
        <f t="shared" si="17"/>
        <v>1127.9377979999999</v>
      </c>
      <c r="I68" s="301">
        <f t="shared" si="18"/>
        <v>1127.9377979999999</v>
      </c>
      <c r="J68" s="302" t="s">
        <v>636</v>
      </c>
      <c r="K68" s="303"/>
      <c r="L68" s="304"/>
      <c r="N68" s="304"/>
    </row>
    <row r="69" spans="1:14" s="305" customFormat="1" ht="19.8" customHeight="1" x14ac:dyDescent="0.25">
      <c r="A69" s="348" t="s">
        <v>300</v>
      </c>
      <c r="B69" s="56" t="s">
        <v>509</v>
      </c>
      <c r="C69" s="549" t="s">
        <v>510</v>
      </c>
      <c r="D69" s="550"/>
      <c r="E69" s="298" t="s">
        <v>13</v>
      </c>
      <c r="F69" s="299">
        <f>'MC II'!F67</f>
        <v>1</v>
      </c>
      <c r="G69" s="300">
        <v>79.28</v>
      </c>
      <c r="H69" s="300">
        <f t="shared" ref="H69:H76" si="19">G69*$I$5+G69</f>
        <v>103.56346400000001</v>
      </c>
      <c r="I69" s="301">
        <f t="shared" ref="I69:I76" si="20">F69*H69</f>
        <v>103.56346400000001</v>
      </c>
      <c r="J69" s="302" t="s">
        <v>636</v>
      </c>
      <c r="K69" s="303"/>
      <c r="L69" s="304"/>
      <c r="N69" s="304"/>
    </row>
    <row r="70" spans="1:14" s="305" customFormat="1" ht="19.8" customHeight="1" x14ac:dyDescent="0.25">
      <c r="A70" s="348" t="s">
        <v>301</v>
      </c>
      <c r="B70" s="56" t="s">
        <v>507</v>
      </c>
      <c r="C70" s="549" t="s">
        <v>508</v>
      </c>
      <c r="D70" s="550"/>
      <c r="E70" s="298" t="s">
        <v>13</v>
      </c>
      <c r="F70" s="299">
        <f>'MC II'!F68</f>
        <v>2</v>
      </c>
      <c r="G70" s="300">
        <v>45.51</v>
      </c>
      <c r="H70" s="300">
        <f t="shared" si="19"/>
        <v>59.449712999999996</v>
      </c>
      <c r="I70" s="301">
        <f t="shared" si="20"/>
        <v>118.89942599999999</v>
      </c>
      <c r="J70" s="302" t="s">
        <v>636</v>
      </c>
      <c r="K70" s="303"/>
      <c r="L70" s="304"/>
      <c r="N70" s="304"/>
    </row>
    <row r="71" spans="1:14" s="305" customFormat="1" ht="19.8" customHeight="1" x14ac:dyDescent="0.25">
      <c r="A71" s="348" t="s">
        <v>302</v>
      </c>
      <c r="B71" s="56" t="s">
        <v>505</v>
      </c>
      <c r="C71" s="549" t="s">
        <v>506</v>
      </c>
      <c r="D71" s="550"/>
      <c r="E71" s="298" t="s">
        <v>13</v>
      </c>
      <c r="F71" s="299">
        <f>'MC II'!F69</f>
        <v>4</v>
      </c>
      <c r="G71" s="300">
        <v>40.299999999999997</v>
      </c>
      <c r="H71" s="300">
        <f t="shared" si="19"/>
        <v>52.643889999999999</v>
      </c>
      <c r="I71" s="301">
        <f t="shared" si="20"/>
        <v>210.57556</v>
      </c>
      <c r="J71" s="302" t="s">
        <v>636</v>
      </c>
      <c r="K71" s="303"/>
      <c r="L71" s="304"/>
      <c r="N71" s="304"/>
    </row>
    <row r="72" spans="1:14" s="305" customFormat="1" ht="19.8" customHeight="1" x14ac:dyDescent="0.25">
      <c r="A72" s="348" t="s">
        <v>444</v>
      </c>
      <c r="B72" s="56" t="s">
        <v>503</v>
      </c>
      <c r="C72" s="549" t="s">
        <v>504</v>
      </c>
      <c r="D72" s="550"/>
      <c r="E72" s="298" t="s">
        <v>13</v>
      </c>
      <c r="F72" s="299">
        <f>'MC II'!F70</f>
        <v>1</v>
      </c>
      <c r="G72" s="300">
        <v>14.49</v>
      </c>
      <c r="H72" s="300">
        <f t="shared" si="19"/>
        <v>18.928287000000001</v>
      </c>
      <c r="I72" s="301">
        <f t="shared" si="20"/>
        <v>18.928287000000001</v>
      </c>
      <c r="J72" s="302" t="s">
        <v>636</v>
      </c>
      <c r="K72" s="303"/>
      <c r="L72" s="304"/>
      <c r="N72" s="304"/>
    </row>
    <row r="73" spans="1:14" s="305" customFormat="1" ht="19.8" customHeight="1" x14ac:dyDescent="0.25">
      <c r="A73" s="348" t="s">
        <v>445</v>
      </c>
      <c r="B73" s="56" t="s">
        <v>501</v>
      </c>
      <c r="C73" s="549" t="s">
        <v>502</v>
      </c>
      <c r="D73" s="550"/>
      <c r="E73" s="298" t="s">
        <v>13</v>
      </c>
      <c r="F73" s="299">
        <f>'MC II'!F71</f>
        <v>1</v>
      </c>
      <c r="G73" s="300">
        <v>14.29</v>
      </c>
      <c r="H73" s="300">
        <f t="shared" si="19"/>
        <v>18.667026999999997</v>
      </c>
      <c r="I73" s="301">
        <f t="shared" si="20"/>
        <v>18.667026999999997</v>
      </c>
      <c r="J73" s="302" t="s">
        <v>636</v>
      </c>
      <c r="K73" s="303"/>
      <c r="L73" s="304"/>
      <c r="N73" s="304"/>
    </row>
    <row r="74" spans="1:14" s="305" customFormat="1" ht="19.8" customHeight="1" x14ac:dyDescent="0.25">
      <c r="A74" s="348" t="s">
        <v>446</v>
      </c>
      <c r="B74" s="56" t="s">
        <v>499</v>
      </c>
      <c r="C74" s="549" t="s">
        <v>500</v>
      </c>
      <c r="D74" s="550"/>
      <c r="E74" s="298" t="s">
        <v>13</v>
      </c>
      <c r="F74" s="299">
        <f>'MC II'!F72</f>
        <v>8</v>
      </c>
      <c r="G74" s="300">
        <v>14.38</v>
      </c>
      <c r="H74" s="300">
        <f t="shared" si="19"/>
        <v>18.784594000000002</v>
      </c>
      <c r="I74" s="301">
        <f t="shared" si="20"/>
        <v>150.27675200000002</v>
      </c>
      <c r="J74" s="302" t="s">
        <v>636</v>
      </c>
      <c r="K74" s="303"/>
      <c r="L74" s="304"/>
      <c r="N74" s="304"/>
    </row>
    <row r="75" spans="1:14" s="305" customFormat="1" ht="30" customHeight="1" x14ac:dyDescent="0.25">
      <c r="A75" s="348" t="s">
        <v>447</v>
      </c>
      <c r="B75" s="132" t="s">
        <v>513</v>
      </c>
      <c r="C75" s="549" t="s">
        <v>514</v>
      </c>
      <c r="D75" s="550"/>
      <c r="E75" s="298" t="s">
        <v>13</v>
      </c>
      <c r="F75" s="299">
        <f>'MC II'!F73</f>
        <v>1</v>
      </c>
      <c r="G75" s="300">
        <v>139.21</v>
      </c>
      <c r="H75" s="300">
        <f t="shared" si="19"/>
        <v>181.85002300000002</v>
      </c>
      <c r="I75" s="301">
        <f t="shared" si="20"/>
        <v>181.85002300000002</v>
      </c>
      <c r="J75" s="302" t="s">
        <v>636</v>
      </c>
      <c r="K75" s="303"/>
      <c r="L75" s="304"/>
      <c r="N75" s="304"/>
    </row>
    <row r="76" spans="1:14" s="305" customFormat="1" ht="30" customHeight="1" x14ac:dyDescent="0.25">
      <c r="A76" s="348" t="s">
        <v>524</v>
      </c>
      <c r="B76" s="132" t="s">
        <v>511</v>
      </c>
      <c r="C76" s="549" t="s">
        <v>512</v>
      </c>
      <c r="D76" s="550"/>
      <c r="E76" s="298" t="s">
        <v>13</v>
      </c>
      <c r="F76" s="299">
        <f>'MC II'!F74</f>
        <v>2</v>
      </c>
      <c r="G76" s="300">
        <v>129.36000000000001</v>
      </c>
      <c r="H76" s="300">
        <f t="shared" si="19"/>
        <v>168.98296800000003</v>
      </c>
      <c r="I76" s="301">
        <f t="shared" si="20"/>
        <v>337.96593600000006</v>
      </c>
      <c r="J76" s="302" t="s">
        <v>636</v>
      </c>
      <c r="K76" s="303"/>
      <c r="L76" s="304"/>
      <c r="N76" s="304"/>
    </row>
    <row r="77" spans="1:14" s="305" customFormat="1" ht="19.8" customHeight="1" x14ac:dyDescent="0.25">
      <c r="A77" s="348" t="s">
        <v>525</v>
      </c>
      <c r="B77" s="56" t="s">
        <v>266</v>
      </c>
      <c r="C77" s="549" t="s">
        <v>476</v>
      </c>
      <c r="D77" s="550"/>
      <c r="E77" s="298" t="s">
        <v>13</v>
      </c>
      <c r="F77" s="299">
        <f>'MC II'!F75</f>
        <v>42</v>
      </c>
      <c r="G77" s="300">
        <v>9.1</v>
      </c>
      <c r="H77" s="300">
        <f t="shared" si="17"/>
        <v>11.887329999999999</v>
      </c>
      <c r="I77" s="301">
        <f t="shared" si="18"/>
        <v>499.26785999999993</v>
      </c>
      <c r="J77" s="302" t="s">
        <v>636</v>
      </c>
      <c r="K77" s="303"/>
      <c r="L77" s="304"/>
      <c r="N77" s="304"/>
    </row>
    <row r="78" spans="1:14" s="305" customFormat="1" ht="30" customHeight="1" x14ac:dyDescent="0.25">
      <c r="A78" s="348" t="s">
        <v>526</v>
      </c>
      <c r="B78" s="132" t="s">
        <v>477</v>
      </c>
      <c r="C78" s="549" t="s">
        <v>478</v>
      </c>
      <c r="D78" s="550"/>
      <c r="E78" s="349" t="s">
        <v>13</v>
      </c>
      <c r="F78" s="299">
        <f>'MC II'!F76</f>
        <v>20</v>
      </c>
      <c r="G78" s="300">
        <v>12.2</v>
      </c>
      <c r="H78" s="300">
        <f t="shared" si="17"/>
        <v>15.936859999999999</v>
      </c>
      <c r="I78" s="301">
        <f t="shared" si="18"/>
        <v>318.73719999999997</v>
      </c>
      <c r="J78" s="302" t="s">
        <v>636</v>
      </c>
      <c r="K78" s="303"/>
      <c r="L78" s="304"/>
      <c r="N78" s="304"/>
    </row>
    <row r="79" spans="1:14" s="305" customFormat="1" ht="30" customHeight="1" x14ac:dyDescent="0.25">
      <c r="A79" s="348" t="s">
        <v>527</v>
      </c>
      <c r="B79" s="132" t="s">
        <v>909</v>
      </c>
      <c r="C79" s="549" t="s">
        <v>910</v>
      </c>
      <c r="D79" s="550"/>
      <c r="E79" s="298" t="s">
        <v>13</v>
      </c>
      <c r="F79" s="299">
        <f>'MC II'!F77</f>
        <v>3</v>
      </c>
      <c r="G79" s="300">
        <v>11.14</v>
      </c>
      <c r="H79" s="300">
        <f t="shared" si="17"/>
        <v>14.552182000000002</v>
      </c>
      <c r="I79" s="301">
        <f t="shared" si="18"/>
        <v>43.656546000000006</v>
      </c>
      <c r="J79" s="302" t="s">
        <v>636</v>
      </c>
      <c r="K79" s="303"/>
      <c r="L79" s="304"/>
      <c r="N79" s="304"/>
    </row>
    <row r="80" spans="1:14" s="6" customFormat="1" ht="19.8" customHeight="1" x14ac:dyDescent="0.25">
      <c r="A80" s="348" t="s">
        <v>528</v>
      </c>
      <c r="B80" s="44" t="s">
        <v>520</v>
      </c>
      <c r="C80" s="547" t="s">
        <v>521</v>
      </c>
      <c r="D80" s="548"/>
      <c r="E80" s="134" t="s">
        <v>12</v>
      </c>
      <c r="F80" s="7">
        <f>'MC II'!F78</f>
        <v>165</v>
      </c>
      <c r="G80" s="10">
        <v>8.16</v>
      </c>
      <c r="H80" s="10">
        <f>G80*$I$5+G80</f>
        <v>10.659408000000001</v>
      </c>
      <c r="I80" s="15">
        <f>F80*H80</f>
        <v>1758.8023200000002</v>
      </c>
      <c r="J80" s="285" t="s">
        <v>636</v>
      </c>
      <c r="K80" s="131"/>
      <c r="L80" s="98"/>
      <c r="N80" s="98"/>
    </row>
    <row r="81" spans="1:14" s="6" customFormat="1" ht="19.8" customHeight="1" x14ac:dyDescent="0.25">
      <c r="A81" s="348" t="s">
        <v>529</v>
      </c>
      <c r="B81" s="44" t="s">
        <v>720</v>
      </c>
      <c r="C81" s="547" t="s">
        <v>721</v>
      </c>
      <c r="D81" s="548"/>
      <c r="E81" s="134" t="s">
        <v>12</v>
      </c>
      <c r="F81" s="7">
        <f>'MC II'!F79</f>
        <v>23</v>
      </c>
      <c r="G81" s="10">
        <v>7.04</v>
      </c>
      <c r="H81" s="10">
        <f>G81*$I$5+G81</f>
        <v>9.196352000000001</v>
      </c>
      <c r="I81" s="15">
        <f>F81*H81</f>
        <v>211.51609600000003</v>
      </c>
      <c r="J81" s="285" t="s">
        <v>636</v>
      </c>
      <c r="K81" s="131"/>
      <c r="L81" s="98"/>
      <c r="N81" s="98"/>
    </row>
    <row r="82" spans="1:14" s="6" customFormat="1" ht="30" customHeight="1" x14ac:dyDescent="0.25">
      <c r="A82" s="348" t="s">
        <v>530</v>
      </c>
      <c r="B82" s="350" t="s">
        <v>722</v>
      </c>
      <c r="C82" s="547" t="s">
        <v>723</v>
      </c>
      <c r="D82" s="548"/>
      <c r="E82" s="134" t="s">
        <v>12</v>
      </c>
      <c r="F82" s="7">
        <f>'MC II'!F80</f>
        <v>24</v>
      </c>
      <c r="G82" s="10">
        <v>2.7</v>
      </c>
      <c r="H82" s="10">
        <f>G82*$I$5+G82</f>
        <v>3.5270100000000002</v>
      </c>
      <c r="I82" s="15">
        <f>F82*H82</f>
        <v>84.648240000000001</v>
      </c>
      <c r="J82" s="285" t="s">
        <v>636</v>
      </c>
      <c r="K82" s="131"/>
      <c r="L82" s="98"/>
      <c r="N82" s="98"/>
    </row>
    <row r="83" spans="1:14" s="6" customFormat="1" ht="30" customHeight="1" x14ac:dyDescent="0.25">
      <c r="A83" s="348" t="s">
        <v>531</v>
      </c>
      <c r="B83" s="350" t="s">
        <v>479</v>
      </c>
      <c r="C83" s="547" t="s">
        <v>480</v>
      </c>
      <c r="D83" s="548"/>
      <c r="E83" s="133" t="s">
        <v>12</v>
      </c>
      <c r="F83" s="7">
        <f>'MC II'!F81</f>
        <v>825</v>
      </c>
      <c r="G83" s="10">
        <v>3.74</v>
      </c>
      <c r="H83" s="10">
        <f t="shared" si="17"/>
        <v>4.8855620000000002</v>
      </c>
      <c r="I83" s="15">
        <f t="shared" si="18"/>
        <v>4030.5886500000001</v>
      </c>
      <c r="J83" s="285" t="s">
        <v>636</v>
      </c>
      <c r="K83" s="131"/>
      <c r="L83" s="98"/>
      <c r="N83" s="98"/>
    </row>
    <row r="84" spans="1:14" s="6" customFormat="1" ht="30" customHeight="1" x14ac:dyDescent="0.25">
      <c r="A84" s="348" t="s">
        <v>532</v>
      </c>
      <c r="B84" s="350" t="s">
        <v>481</v>
      </c>
      <c r="C84" s="547" t="s">
        <v>482</v>
      </c>
      <c r="D84" s="548"/>
      <c r="E84" s="133" t="s">
        <v>12</v>
      </c>
      <c r="F84" s="7">
        <f>'MC II'!F82</f>
        <v>72</v>
      </c>
      <c r="G84" s="10">
        <v>5.51</v>
      </c>
      <c r="H84" s="10">
        <f t="shared" si="17"/>
        <v>7.1977130000000002</v>
      </c>
      <c r="I84" s="15">
        <f t="shared" si="18"/>
        <v>518.23533599999996</v>
      </c>
      <c r="J84" s="285" t="s">
        <v>636</v>
      </c>
      <c r="K84" s="131"/>
      <c r="L84" s="98"/>
      <c r="N84" s="98"/>
    </row>
    <row r="85" spans="1:14" s="6" customFormat="1" ht="30" customHeight="1" x14ac:dyDescent="0.25">
      <c r="A85" s="348" t="s">
        <v>533</v>
      </c>
      <c r="B85" s="350" t="s">
        <v>483</v>
      </c>
      <c r="C85" s="547" t="s">
        <v>484</v>
      </c>
      <c r="D85" s="548"/>
      <c r="E85" s="133" t="s">
        <v>12</v>
      </c>
      <c r="F85" s="7">
        <f>'MC II'!F83</f>
        <v>84</v>
      </c>
      <c r="G85" s="10">
        <v>7.49</v>
      </c>
      <c r="H85" s="10">
        <f t="shared" si="17"/>
        <v>9.7841869999999993</v>
      </c>
      <c r="I85" s="15">
        <f t="shared" si="18"/>
        <v>821.8717079999999</v>
      </c>
      <c r="J85" s="285" t="s">
        <v>636</v>
      </c>
      <c r="K85" s="131"/>
      <c r="L85" s="98"/>
      <c r="N85" s="98"/>
    </row>
    <row r="86" spans="1:14" s="6" customFormat="1" ht="30" customHeight="1" x14ac:dyDescent="0.25">
      <c r="A86" s="348" t="s">
        <v>534</v>
      </c>
      <c r="B86" s="350" t="s">
        <v>485</v>
      </c>
      <c r="C86" s="547" t="s">
        <v>486</v>
      </c>
      <c r="D86" s="548"/>
      <c r="E86" s="133" t="s">
        <v>12</v>
      </c>
      <c r="F86" s="7">
        <f>'MC II'!F84</f>
        <v>50</v>
      </c>
      <c r="G86" s="10">
        <v>18.239999999999998</v>
      </c>
      <c r="H86" s="10">
        <f t="shared" si="17"/>
        <v>23.826912</v>
      </c>
      <c r="I86" s="15">
        <f t="shared" si="18"/>
        <v>1191.3456000000001</v>
      </c>
      <c r="J86" s="285" t="s">
        <v>636</v>
      </c>
      <c r="K86" s="131"/>
      <c r="L86" s="98"/>
      <c r="N86" s="98"/>
    </row>
    <row r="87" spans="1:14" s="6" customFormat="1" ht="30" customHeight="1" x14ac:dyDescent="0.25">
      <c r="A87" s="348" t="s">
        <v>535</v>
      </c>
      <c r="B87" s="350" t="s">
        <v>487</v>
      </c>
      <c r="C87" s="547" t="s">
        <v>488</v>
      </c>
      <c r="D87" s="548"/>
      <c r="E87" s="133" t="s">
        <v>13</v>
      </c>
      <c r="F87" s="7">
        <f>'MC II'!F85</f>
        <v>8</v>
      </c>
      <c r="G87" s="10">
        <v>27.34</v>
      </c>
      <c r="H87" s="10">
        <f t="shared" si="17"/>
        <v>35.714241999999999</v>
      </c>
      <c r="I87" s="15">
        <f t="shared" si="18"/>
        <v>285.71393599999999</v>
      </c>
      <c r="J87" s="285" t="s">
        <v>636</v>
      </c>
      <c r="K87" s="131"/>
      <c r="L87" s="98"/>
      <c r="N87" s="98"/>
    </row>
    <row r="88" spans="1:14" s="6" customFormat="1" ht="30" customHeight="1" x14ac:dyDescent="0.25">
      <c r="A88" s="348" t="s">
        <v>536</v>
      </c>
      <c r="B88" s="350" t="s">
        <v>489</v>
      </c>
      <c r="C88" s="547" t="s">
        <v>490</v>
      </c>
      <c r="D88" s="548"/>
      <c r="E88" s="134" t="s">
        <v>13</v>
      </c>
      <c r="F88" s="7">
        <f>'MC II'!F86</f>
        <v>1</v>
      </c>
      <c r="G88" s="10">
        <v>55.53</v>
      </c>
      <c r="H88" s="10">
        <f t="shared" si="17"/>
        <v>72.538838999999996</v>
      </c>
      <c r="I88" s="15">
        <f t="shared" si="18"/>
        <v>72.538838999999996</v>
      </c>
      <c r="J88" s="285" t="s">
        <v>636</v>
      </c>
      <c r="K88" s="131"/>
      <c r="L88" s="98"/>
      <c r="N88" s="98"/>
    </row>
    <row r="89" spans="1:14" s="6" customFormat="1" ht="30" customHeight="1" x14ac:dyDescent="0.25">
      <c r="A89" s="348" t="s">
        <v>537</v>
      </c>
      <c r="B89" s="350" t="s">
        <v>922</v>
      </c>
      <c r="C89" s="547" t="s">
        <v>923</v>
      </c>
      <c r="D89" s="548"/>
      <c r="E89" s="134" t="s">
        <v>13</v>
      </c>
      <c r="F89" s="7">
        <f>'MC II'!F87</f>
        <v>2</v>
      </c>
      <c r="G89" s="10">
        <v>46.49</v>
      </c>
      <c r="H89" s="10">
        <f t="shared" si="17"/>
        <v>60.729887000000005</v>
      </c>
      <c r="I89" s="15">
        <f t="shared" si="18"/>
        <v>121.45977400000001</v>
      </c>
      <c r="J89" s="285" t="s">
        <v>636</v>
      </c>
      <c r="K89" s="131"/>
      <c r="L89" s="98"/>
      <c r="N89" s="98"/>
    </row>
    <row r="90" spans="1:14" s="6" customFormat="1" ht="30" customHeight="1" x14ac:dyDescent="0.25">
      <c r="A90" s="348" t="s">
        <v>538</v>
      </c>
      <c r="B90" s="350" t="s">
        <v>491</v>
      </c>
      <c r="C90" s="547" t="s">
        <v>492</v>
      </c>
      <c r="D90" s="548"/>
      <c r="E90" s="133" t="s">
        <v>13</v>
      </c>
      <c r="F90" s="7">
        <f>'MC II'!F88</f>
        <v>2</v>
      </c>
      <c r="G90" s="10">
        <v>15.47</v>
      </c>
      <c r="H90" s="10">
        <f t="shared" si="17"/>
        <v>20.208461</v>
      </c>
      <c r="I90" s="15">
        <f t="shared" si="18"/>
        <v>40.416922</v>
      </c>
      <c r="J90" s="285" t="s">
        <v>636</v>
      </c>
      <c r="K90" s="131"/>
      <c r="L90" s="98"/>
      <c r="N90" s="98"/>
    </row>
    <row r="91" spans="1:14" s="6" customFormat="1" ht="30" customHeight="1" x14ac:dyDescent="0.25">
      <c r="A91" s="348" t="s">
        <v>539</v>
      </c>
      <c r="B91" s="350" t="s">
        <v>493</v>
      </c>
      <c r="C91" s="547" t="s">
        <v>494</v>
      </c>
      <c r="D91" s="548"/>
      <c r="E91" s="133" t="s">
        <v>13</v>
      </c>
      <c r="F91" s="7">
        <f>'MC II'!F89</f>
        <v>31</v>
      </c>
      <c r="G91" s="10">
        <v>26.01</v>
      </c>
      <c r="H91" s="10">
        <f t="shared" si="17"/>
        <v>33.976863000000002</v>
      </c>
      <c r="I91" s="15">
        <f t="shared" si="18"/>
        <v>1053.282753</v>
      </c>
      <c r="J91" s="285" t="s">
        <v>636</v>
      </c>
      <c r="K91" s="131"/>
      <c r="L91" s="98"/>
      <c r="N91" s="98"/>
    </row>
    <row r="92" spans="1:14" s="6" customFormat="1" ht="30" customHeight="1" x14ac:dyDescent="0.25">
      <c r="A92" s="348" t="s">
        <v>540</v>
      </c>
      <c r="B92" s="350" t="s">
        <v>495</v>
      </c>
      <c r="C92" s="547" t="s">
        <v>496</v>
      </c>
      <c r="D92" s="548"/>
      <c r="E92" s="133" t="s">
        <v>13</v>
      </c>
      <c r="F92" s="7">
        <f>'MC II'!F90</f>
        <v>1</v>
      </c>
      <c r="G92" s="10">
        <v>27.25</v>
      </c>
      <c r="H92" s="10">
        <f t="shared" si="17"/>
        <v>35.596675000000005</v>
      </c>
      <c r="I92" s="15">
        <f t="shared" si="18"/>
        <v>35.596675000000005</v>
      </c>
      <c r="J92" s="285" t="s">
        <v>636</v>
      </c>
      <c r="K92" s="131"/>
      <c r="L92" s="98"/>
      <c r="N92" s="98"/>
    </row>
    <row r="93" spans="1:14" s="6" customFormat="1" ht="30" customHeight="1" x14ac:dyDescent="0.25">
      <c r="A93" s="348" t="s">
        <v>541</v>
      </c>
      <c r="B93" s="132" t="s">
        <v>497</v>
      </c>
      <c r="C93" s="547" t="s">
        <v>498</v>
      </c>
      <c r="D93" s="548"/>
      <c r="E93" s="133" t="s">
        <v>13</v>
      </c>
      <c r="F93" s="7">
        <f>'MC II'!F91</f>
        <v>1</v>
      </c>
      <c r="G93" s="10">
        <v>37.31</v>
      </c>
      <c r="H93" s="10">
        <f t="shared" si="17"/>
        <v>48.738053000000008</v>
      </c>
      <c r="I93" s="15">
        <f t="shared" si="18"/>
        <v>48.738053000000008</v>
      </c>
      <c r="J93" s="285" t="s">
        <v>636</v>
      </c>
      <c r="K93" s="131"/>
      <c r="L93" s="98"/>
      <c r="N93" s="98"/>
    </row>
    <row r="94" spans="1:14" s="6" customFormat="1" ht="19.8" customHeight="1" x14ac:dyDescent="0.25">
      <c r="A94" s="348" t="s">
        <v>542</v>
      </c>
      <c r="B94" s="44" t="s">
        <v>517</v>
      </c>
      <c r="C94" s="547" t="str">
        <f>'COMP.CUSTO'!C9</f>
        <v>PLAFON LED QUADRADO DE SOBREPOR 20X20 18W, 4000K FORNECIMENTO E INSTALAÇÃO</v>
      </c>
      <c r="D94" s="548"/>
      <c r="E94" s="134" t="s">
        <v>13</v>
      </c>
      <c r="F94" s="7">
        <f>'MC II'!F92</f>
        <v>9</v>
      </c>
      <c r="G94" s="10">
        <f>'COMP.CUSTO'!G9</f>
        <v>110.52666666666667</v>
      </c>
      <c r="H94" s="10">
        <f>G94*$I$5+G94</f>
        <v>144.38098466666668</v>
      </c>
      <c r="I94" s="15">
        <f>F94*H94</f>
        <v>1299.4288620000002</v>
      </c>
      <c r="J94" s="285" t="s">
        <v>636</v>
      </c>
      <c r="K94" s="131"/>
      <c r="L94" s="98"/>
      <c r="N94" s="98"/>
    </row>
    <row r="95" spans="1:14" s="6" customFormat="1" ht="19.8" customHeight="1" x14ac:dyDescent="0.25">
      <c r="A95" s="348" t="s">
        <v>543</v>
      </c>
      <c r="B95" s="44" t="s">
        <v>518</v>
      </c>
      <c r="C95" s="547" t="str">
        <f>'COMP.CUSTO'!C15</f>
        <v>PLAFON LED QUADRADO DE SOBREPOR 20X20 18W, 6500K FORNECIMENTO E INSTALAÇÃO</v>
      </c>
      <c r="D95" s="548"/>
      <c r="E95" s="134" t="s">
        <v>13</v>
      </c>
      <c r="F95" s="7">
        <f>'MC II'!F93</f>
        <v>11</v>
      </c>
      <c r="G95" s="10">
        <f>'COMP.CUSTO'!G15</f>
        <v>110.52666666666667</v>
      </c>
      <c r="H95" s="10">
        <f>G95*$I$5+G95</f>
        <v>144.38098466666668</v>
      </c>
      <c r="I95" s="15">
        <f>F95*H95</f>
        <v>1588.1908313333333</v>
      </c>
      <c r="J95" s="285" t="s">
        <v>636</v>
      </c>
      <c r="K95" s="131"/>
      <c r="L95" s="98"/>
      <c r="N95" s="98"/>
    </row>
    <row r="96" spans="1:14" s="6" customFormat="1" ht="19.8" customHeight="1" x14ac:dyDescent="0.25">
      <c r="A96" s="348" t="s">
        <v>544</v>
      </c>
      <c r="B96" s="44" t="s">
        <v>519</v>
      </c>
      <c r="C96" s="547" t="str">
        <f>'COMP.CUSTO'!C21</f>
        <v xml:space="preserve"> SPOT LED PAINEL SOBREPOR AVANT 5W 3000K FORNECIMENTO E INSTALAÇÃO</v>
      </c>
      <c r="D96" s="548"/>
      <c r="E96" s="134" t="s">
        <v>13</v>
      </c>
      <c r="F96" s="7">
        <f>'MC II'!F94</f>
        <v>3</v>
      </c>
      <c r="G96" s="10">
        <f>'COMP.CUSTO'!G21</f>
        <v>75.926666666666662</v>
      </c>
      <c r="H96" s="10">
        <f t="shared" ref="H96:H99" si="21">G96*$I$5+G96</f>
        <v>99.183004666666662</v>
      </c>
      <c r="I96" s="15">
        <f t="shared" ref="I96:I99" si="22">F96*H96</f>
        <v>297.549014</v>
      </c>
      <c r="J96" s="285" t="s">
        <v>636</v>
      </c>
      <c r="K96" s="131"/>
      <c r="L96" s="98"/>
      <c r="N96" s="98"/>
    </row>
    <row r="97" spans="1:14" s="6" customFormat="1" ht="19.8" customHeight="1" x14ac:dyDescent="0.25">
      <c r="A97" s="45" t="s">
        <v>724</v>
      </c>
      <c r="B97" s="44" t="s">
        <v>404</v>
      </c>
      <c r="C97" s="598" t="str">
        <f>'COMP.CUSTO'!C27</f>
        <v>ESPETO LED PARA JARDIM 10W, 3000K (BRANCO QUENTE) FORNECIMENTO E INSTALAÇÃO</v>
      </c>
      <c r="D97" s="548"/>
      <c r="E97" s="134" t="s">
        <v>13</v>
      </c>
      <c r="F97" s="7">
        <f>'MC II'!F95</f>
        <v>7</v>
      </c>
      <c r="G97" s="10">
        <f>'COMP.CUSTO'!G27</f>
        <v>213.51666666666665</v>
      </c>
      <c r="H97" s="10">
        <f t="shared" si="21"/>
        <v>278.91682166666664</v>
      </c>
      <c r="I97" s="15">
        <f t="shared" si="22"/>
        <v>1952.4177516666664</v>
      </c>
      <c r="J97" s="285" t="s">
        <v>636</v>
      </c>
      <c r="K97" s="131"/>
      <c r="L97" s="98"/>
      <c r="N97" s="98"/>
    </row>
    <row r="98" spans="1:14" s="6" customFormat="1" ht="19.8" customHeight="1" x14ac:dyDescent="0.25">
      <c r="A98" s="45" t="s">
        <v>911</v>
      </c>
      <c r="B98" s="44" t="s">
        <v>551</v>
      </c>
      <c r="C98" s="598" t="str">
        <f>'COMP.CUSTO'!C33</f>
        <v>PROJETOR LED 50W, 6000K/6500k, 3750lm, IP65 FORNECIMENTO E INSTALAÇÃO</v>
      </c>
      <c r="D98" s="599"/>
      <c r="E98" s="134" t="s">
        <v>13</v>
      </c>
      <c r="F98" s="7">
        <f>'MC II'!F96</f>
        <v>2</v>
      </c>
      <c r="G98" s="10">
        <f>'COMP.CUSTO'!G33</f>
        <v>74.056666666666658</v>
      </c>
      <c r="H98" s="10">
        <f t="shared" si="21"/>
        <v>96.740223666666651</v>
      </c>
      <c r="I98" s="15">
        <f t="shared" si="22"/>
        <v>193.4804473333333</v>
      </c>
      <c r="J98" s="285" t="s">
        <v>636</v>
      </c>
      <c r="K98" s="131"/>
      <c r="L98" s="98"/>
      <c r="N98" s="98"/>
    </row>
    <row r="99" spans="1:14" s="6" customFormat="1" ht="19.8" customHeight="1" x14ac:dyDescent="0.25">
      <c r="A99" s="45" t="s">
        <v>916</v>
      </c>
      <c r="B99" s="44" t="s">
        <v>706</v>
      </c>
      <c r="C99" s="598" t="str">
        <f>'COMP.CUSTO'!C41</f>
        <v>PROJETOR LED 20W, 6000K/6500k, 1500lm, IP65 FORNECIMENTO E INSTALAÇÃO</v>
      </c>
      <c r="D99" s="599"/>
      <c r="E99" s="134" t="s">
        <v>13</v>
      </c>
      <c r="F99" s="7">
        <f>'MC II'!F97</f>
        <v>1</v>
      </c>
      <c r="G99" s="10">
        <f>'COMP.CUSTO'!G41</f>
        <v>63.556666666666665</v>
      </c>
      <c r="H99" s="10">
        <f t="shared" si="21"/>
        <v>83.024073666666666</v>
      </c>
      <c r="I99" s="15">
        <f t="shared" si="22"/>
        <v>83.024073666666666</v>
      </c>
      <c r="J99" s="285" t="s">
        <v>636</v>
      </c>
      <c r="K99" s="131"/>
      <c r="L99" s="98"/>
      <c r="N99" s="98"/>
    </row>
    <row r="100" spans="1:14" s="6" customFormat="1" ht="19.8" customHeight="1" x14ac:dyDescent="0.25">
      <c r="A100" s="45" t="s">
        <v>953</v>
      </c>
      <c r="B100" s="44" t="s">
        <v>515</v>
      </c>
      <c r="C100" s="547" t="s">
        <v>516</v>
      </c>
      <c r="D100" s="548"/>
      <c r="E100" s="134" t="s">
        <v>13</v>
      </c>
      <c r="F100" s="7">
        <f>'MC II'!F98</f>
        <v>4</v>
      </c>
      <c r="G100" s="10">
        <v>112.55</v>
      </c>
      <c r="H100" s="10">
        <f t="shared" si="17"/>
        <v>147.02406500000001</v>
      </c>
      <c r="I100" s="15">
        <f t="shared" si="18"/>
        <v>588.09626000000003</v>
      </c>
      <c r="J100" s="285" t="s">
        <v>636</v>
      </c>
      <c r="K100" s="131"/>
      <c r="L100" s="98"/>
      <c r="N100" s="98"/>
    </row>
    <row r="101" spans="1:14" s="6" customFormat="1" ht="30" customHeight="1" x14ac:dyDescent="0.25">
      <c r="A101" s="45" t="s">
        <v>954</v>
      </c>
      <c r="B101" s="44" t="s">
        <v>906</v>
      </c>
      <c r="C101" s="598" t="str">
        <f>'COMP.CUSTO'!C48</f>
        <v>AR CONDICIONADO SPLIT INVERTER CAPACIDADE DE REFRIGERAÇÃO 9.000BTU'S, TIPO CICLO FRIO, CONTROLE REMOTO, TENSÃO/VOLTAGEM 220V FORNECIMENTO E INSTALAÇÃO</v>
      </c>
      <c r="D101" s="599"/>
      <c r="E101" s="134" t="s">
        <v>13</v>
      </c>
      <c r="F101" s="7">
        <f>'MC II'!F99</f>
        <v>1</v>
      </c>
      <c r="G101" s="10">
        <f>'COMP.CUSTO'!G48</f>
        <v>2413.1533333333332</v>
      </c>
      <c r="H101" s="10">
        <f t="shared" ref="H101" si="23">G101*$I$5+G101</f>
        <v>3152.3021993333332</v>
      </c>
      <c r="I101" s="15">
        <f t="shared" si="18"/>
        <v>3152.3021993333332</v>
      </c>
      <c r="J101" s="285" t="s">
        <v>636</v>
      </c>
      <c r="K101" s="131"/>
      <c r="L101" s="98"/>
      <c r="N101" s="98"/>
    </row>
    <row r="102" spans="1:14" s="6" customFormat="1" ht="19.8" customHeight="1" x14ac:dyDescent="0.25">
      <c r="A102" s="45" t="s">
        <v>960</v>
      </c>
      <c r="B102" s="44" t="s">
        <v>919</v>
      </c>
      <c r="C102" s="547" t="str">
        <f>'COMP.CUSTO'!C53</f>
        <v>PONTO PARA AR CONDICIONADO SPLIT INVERTER CAPACIDADE DE REFRIGERAÇÃO 9.000BTU'S A 12.000BTU'S</v>
      </c>
      <c r="D102" s="548"/>
      <c r="E102" s="134" t="s">
        <v>13</v>
      </c>
      <c r="F102" s="7">
        <f>'MC II'!F100</f>
        <v>4</v>
      </c>
      <c r="G102" s="10">
        <f>'COMP.CUSTO'!G53</f>
        <v>619.25333333333333</v>
      </c>
      <c r="H102" s="10">
        <f t="shared" ref="H102:H103" si="24">G102*$I$5+G102</f>
        <v>808.9306293333334</v>
      </c>
      <c r="I102" s="15">
        <f t="shared" si="18"/>
        <v>3235.7225173333336</v>
      </c>
      <c r="J102" s="285" t="s">
        <v>636</v>
      </c>
      <c r="K102" s="131"/>
      <c r="L102" s="98"/>
      <c r="N102" s="98"/>
    </row>
    <row r="103" spans="1:14" s="6" customFormat="1" ht="19.8" customHeight="1" x14ac:dyDescent="0.25">
      <c r="A103" s="45" t="s">
        <v>978</v>
      </c>
      <c r="B103" s="44" t="s">
        <v>972</v>
      </c>
      <c r="C103" s="547" t="s">
        <v>984</v>
      </c>
      <c r="D103" s="548"/>
      <c r="E103" s="134" t="s">
        <v>12</v>
      </c>
      <c r="F103" s="7">
        <f>'MC II'!F101</f>
        <v>23</v>
      </c>
      <c r="G103" s="10">
        <v>3.27</v>
      </c>
      <c r="H103" s="10">
        <f t="shared" si="24"/>
        <v>4.2716010000000004</v>
      </c>
      <c r="I103" s="15">
        <f t="shared" si="18"/>
        <v>98.246823000000006</v>
      </c>
      <c r="J103" s="285"/>
      <c r="K103" s="131"/>
      <c r="L103" s="98"/>
      <c r="N103" s="98"/>
    </row>
    <row r="104" spans="1:14" s="6" customFormat="1" ht="30" customHeight="1" x14ac:dyDescent="0.25">
      <c r="A104" s="45" t="s">
        <v>985</v>
      </c>
      <c r="B104" s="132" t="s">
        <v>522</v>
      </c>
      <c r="C104" s="547" t="s">
        <v>523</v>
      </c>
      <c r="D104" s="548"/>
      <c r="E104" s="133" t="s">
        <v>12</v>
      </c>
      <c r="F104" s="7">
        <f>'MC II'!F102</f>
        <v>188</v>
      </c>
      <c r="G104" s="10">
        <v>3.16</v>
      </c>
      <c r="H104" s="10">
        <f>G104*$I$5+G104</f>
        <v>4.1279080000000006</v>
      </c>
      <c r="I104" s="15">
        <f>F104*H104</f>
        <v>776.04670400000009</v>
      </c>
      <c r="J104" s="285" t="s">
        <v>636</v>
      </c>
      <c r="K104" s="131"/>
      <c r="L104" s="98"/>
      <c r="N104" s="98"/>
    </row>
    <row r="105" spans="1:14" s="6" customFormat="1" ht="18" customHeight="1" x14ac:dyDescent="0.25">
      <c r="A105" s="40">
        <v>8</v>
      </c>
      <c r="B105" s="36"/>
      <c r="C105" s="135" t="s">
        <v>685</v>
      </c>
      <c r="D105" s="136"/>
      <c r="E105" s="36"/>
      <c r="F105" s="36"/>
      <c r="G105" s="36"/>
      <c r="H105" s="36"/>
      <c r="I105" s="41">
        <f>SUM(I106:I110)</f>
        <v>71755.255238917496</v>
      </c>
      <c r="K105" s="131"/>
      <c r="L105" s="98"/>
      <c r="N105" s="98"/>
    </row>
    <row r="106" spans="1:14" s="305" customFormat="1" ht="30" customHeight="1" x14ac:dyDescent="0.25">
      <c r="A106" s="348" t="s">
        <v>273</v>
      </c>
      <c r="B106" s="132" t="s">
        <v>99</v>
      </c>
      <c r="C106" s="549" t="s">
        <v>100</v>
      </c>
      <c r="D106" s="550"/>
      <c r="E106" s="349" t="s">
        <v>9</v>
      </c>
      <c r="F106" s="299">
        <f>'MC II'!F104</f>
        <v>750.38750000000005</v>
      </c>
      <c r="G106" s="300">
        <v>8.6999999999999993</v>
      </c>
      <c r="H106" s="300">
        <f>G106*$I$5+G106</f>
        <v>11.364809999999999</v>
      </c>
      <c r="I106" s="301">
        <f t="shared" ref="I106:I110" si="25">F106*H106</f>
        <v>8528.011363874999</v>
      </c>
      <c r="J106" s="302" t="s">
        <v>636</v>
      </c>
      <c r="K106" s="303"/>
      <c r="L106" s="304"/>
      <c r="N106" s="304"/>
    </row>
    <row r="107" spans="1:14" s="305" customFormat="1" ht="30" customHeight="1" x14ac:dyDescent="0.25">
      <c r="A107" s="348" t="s">
        <v>295</v>
      </c>
      <c r="B107" s="132" t="s">
        <v>101</v>
      </c>
      <c r="C107" s="549" t="s">
        <v>102</v>
      </c>
      <c r="D107" s="550"/>
      <c r="E107" s="349" t="s">
        <v>9</v>
      </c>
      <c r="F107" s="299">
        <f>'MC II'!F105</f>
        <v>618.07000000000005</v>
      </c>
      <c r="G107" s="300">
        <v>31.01</v>
      </c>
      <c r="H107" s="300">
        <f t="shared" ref="H107:H110" si="26">G107*$I$5+G107</f>
        <v>40.508363000000003</v>
      </c>
      <c r="I107" s="301">
        <f t="shared" si="25"/>
        <v>25037.003919410003</v>
      </c>
      <c r="J107" s="302" t="s">
        <v>636</v>
      </c>
      <c r="K107" s="303"/>
      <c r="L107" s="304"/>
      <c r="N107" s="304"/>
    </row>
    <row r="108" spans="1:14" s="305" customFormat="1" ht="30" customHeight="1" x14ac:dyDescent="0.25">
      <c r="A108" s="348" t="s">
        <v>296</v>
      </c>
      <c r="B108" s="132" t="s">
        <v>185</v>
      </c>
      <c r="C108" s="549" t="s">
        <v>186</v>
      </c>
      <c r="D108" s="550"/>
      <c r="E108" s="349" t="s">
        <v>9</v>
      </c>
      <c r="F108" s="299">
        <f>'MC II'!F106</f>
        <v>632.25249999999994</v>
      </c>
      <c r="G108" s="300">
        <v>32.770000000000003</v>
      </c>
      <c r="H108" s="300">
        <f t="shared" ref="H108" si="27">G108*$I$5+G108</f>
        <v>42.807451</v>
      </c>
      <c r="I108" s="301">
        <f t="shared" si="25"/>
        <v>27065.117913377497</v>
      </c>
      <c r="J108" s="302" t="s">
        <v>636</v>
      </c>
      <c r="K108" s="303"/>
      <c r="L108" s="304"/>
      <c r="N108" s="304"/>
    </row>
    <row r="109" spans="1:14" s="6" customFormat="1" ht="30" customHeight="1" x14ac:dyDescent="0.25">
      <c r="A109" s="45" t="s">
        <v>297</v>
      </c>
      <c r="B109" s="350" t="s">
        <v>103</v>
      </c>
      <c r="C109" s="547" t="s">
        <v>104</v>
      </c>
      <c r="D109" s="548"/>
      <c r="E109" s="133" t="s">
        <v>9</v>
      </c>
      <c r="F109" s="7">
        <f>'MC II'!F107</f>
        <v>118.13499999999999</v>
      </c>
      <c r="G109" s="10">
        <v>67.349999999999994</v>
      </c>
      <c r="H109" s="10">
        <f t="shared" si="26"/>
        <v>87.979304999999997</v>
      </c>
      <c r="I109" s="15">
        <f t="shared" si="25"/>
        <v>10393.435196174998</v>
      </c>
      <c r="J109" s="285" t="s">
        <v>636</v>
      </c>
      <c r="K109" s="131"/>
      <c r="L109" s="98"/>
      <c r="N109" s="98"/>
    </row>
    <row r="110" spans="1:14" s="6" customFormat="1" ht="30" customHeight="1" x14ac:dyDescent="0.25">
      <c r="A110" s="45" t="s">
        <v>298</v>
      </c>
      <c r="B110" s="132" t="s">
        <v>105</v>
      </c>
      <c r="C110" s="547" t="s">
        <v>546</v>
      </c>
      <c r="D110" s="548"/>
      <c r="E110" s="134" t="s">
        <v>9</v>
      </c>
      <c r="F110" s="7">
        <f>'MC II'!F108</f>
        <v>1.9200000000000002</v>
      </c>
      <c r="G110" s="10">
        <v>291.73</v>
      </c>
      <c r="H110" s="10">
        <f t="shared" si="26"/>
        <v>381.08689900000002</v>
      </c>
      <c r="I110" s="15">
        <f t="shared" si="25"/>
        <v>731.68684608000012</v>
      </c>
      <c r="J110" s="285" t="s">
        <v>636</v>
      </c>
      <c r="K110" s="131"/>
      <c r="L110" s="98"/>
      <c r="N110" s="98"/>
    </row>
    <row r="111" spans="1:14" s="6" customFormat="1" ht="18" customHeight="1" x14ac:dyDescent="0.25">
      <c r="A111" s="137">
        <v>9</v>
      </c>
      <c r="B111" s="36"/>
      <c r="C111" s="138" t="s">
        <v>106</v>
      </c>
      <c r="D111" s="139"/>
      <c r="E111" s="36"/>
      <c r="F111" s="36"/>
      <c r="G111" s="36"/>
      <c r="H111" s="36"/>
      <c r="I111" s="41">
        <f>SUM(I112:I120)</f>
        <v>33508.713034820001</v>
      </c>
      <c r="K111" s="131"/>
      <c r="L111" s="98"/>
      <c r="N111" s="98"/>
    </row>
    <row r="112" spans="1:14" s="6" customFormat="1" ht="19.8" customHeight="1" x14ac:dyDescent="0.25">
      <c r="A112" s="45" t="s">
        <v>274</v>
      </c>
      <c r="B112" s="44" t="s">
        <v>107</v>
      </c>
      <c r="C112" s="547" t="s">
        <v>108</v>
      </c>
      <c r="D112" s="548"/>
      <c r="E112" s="134" t="s">
        <v>9</v>
      </c>
      <c r="F112" s="7">
        <f>'MC II'!F110</f>
        <v>120.94</v>
      </c>
      <c r="G112" s="10">
        <v>33.86</v>
      </c>
      <c r="H112" s="10">
        <f>G112*$I$5+G112</f>
        <v>44.231318000000002</v>
      </c>
      <c r="I112" s="15">
        <f t="shared" ref="I112:I120" si="28">F112*H112</f>
        <v>5349.3355989199999</v>
      </c>
      <c r="J112" s="285" t="s">
        <v>636</v>
      </c>
      <c r="K112" s="131"/>
      <c r="L112" s="98"/>
      <c r="N112" s="98"/>
    </row>
    <row r="113" spans="1:14" s="6" customFormat="1" ht="30" customHeight="1" x14ac:dyDescent="0.25">
      <c r="A113" s="45" t="s">
        <v>290</v>
      </c>
      <c r="B113" s="132" t="s">
        <v>855</v>
      </c>
      <c r="C113" s="547" t="s">
        <v>856</v>
      </c>
      <c r="D113" s="548"/>
      <c r="E113" s="133" t="s">
        <v>9</v>
      </c>
      <c r="F113" s="7">
        <f>'MC II'!F111</f>
        <v>1.95</v>
      </c>
      <c r="G113" s="10">
        <v>109.15</v>
      </c>
      <c r="H113" s="10">
        <f>G113*$I$5+G113</f>
        <v>142.58264500000001</v>
      </c>
      <c r="I113" s="15">
        <f t="shared" si="28"/>
        <v>278.03615775000003</v>
      </c>
      <c r="J113" s="285" t="s">
        <v>636</v>
      </c>
      <c r="K113" s="131"/>
      <c r="L113" s="98"/>
      <c r="N113" s="98"/>
    </row>
    <row r="114" spans="1:14" s="6" customFormat="1" ht="19.8" customHeight="1" x14ac:dyDescent="0.25">
      <c r="A114" s="45" t="s">
        <v>291</v>
      </c>
      <c r="B114" s="44" t="s">
        <v>183</v>
      </c>
      <c r="C114" s="547" t="s">
        <v>184</v>
      </c>
      <c r="D114" s="548"/>
      <c r="E114" s="134" t="s">
        <v>9</v>
      </c>
      <c r="F114" s="7">
        <f>'MC II'!F112</f>
        <v>91.04</v>
      </c>
      <c r="G114" s="10">
        <v>39.68</v>
      </c>
      <c r="H114" s="10">
        <f>G114*$I$5+G114</f>
        <v>51.833984000000001</v>
      </c>
      <c r="I114" s="15">
        <f t="shared" si="28"/>
        <v>4718.9659033600001</v>
      </c>
      <c r="J114" s="285" t="s">
        <v>636</v>
      </c>
      <c r="K114" s="131"/>
      <c r="L114" s="98"/>
      <c r="N114" s="98"/>
    </row>
    <row r="115" spans="1:14" s="6" customFormat="1" ht="30" customHeight="1" x14ac:dyDescent="0.25">
      <c r="A115" s="45" t="s">
        <v>292</v>
      </c>
      <c r="B115" s="132" t="s">
        <v>220</v>
      </c>
      <c r="C115" s="547" t="s">
        <v>221</v>
      </c>
      <c r="D115" s="548"/>
      <c r="E115" s="133" t="s">
        <v>9</v>
      </c>
      <c r="F115" s="7">
        <f>'MC II'!F113</f>
        <v>99.970500000000001</v>
      </c>
      <c r="G115" s="10">
        <v>108.4</v>
      </c>
      <c r="H115" s="10">
        <f t="shared" ref="H115:H116" si="29">G115*$I$5+G115</f>
        <v>141.60292000000001</v>
      </c>
      <c r="I115" s="15">
        <f t="shared" si="28"/>
        <v>14156.114713860001</v>
      </c>
      <c r="J115" s="285" t="s">
        <v>636</v>
      </c>
      <c r="K115" s="131"/>
      <c r="L115" s="98"/>
      <c r="N115" s="98"/>
    </row>
    <row r="116" spans="1:14" s="6" customFormat="1" ht="30" customHeight="1" x14ac:dyDescent="0.25">
      <c r="A116" s="45" t="s">
        <v>293</v>
      </c>
      <c r="B116" s="132" t="s">
        <v>109</v>
      </c>
      <c r="C116" s="547" t="s">
        <v>547</v>
      </c>
      <c r="D116" s="548"/>
      <c r="E116" s="134" t="s">
        <v>9</v>
      </c>
      <c r="F116" s="7">
        <f>'MC II'!F114</f>
        <v>1.2800000000000002</v>
      </c>
      <c r="G116" s="10">
        <v>300.98</v>
      </c>
      <c r="H116" s="10">
        <f t="shared" si="29"/>
        <v>393.17017400000003</v>
      </c>
      <c r="I116" s="15">
        <f t="shared" si="28"/>
        <v>503.25782272000015</v>
      </c>
      <c r="J116" s="285" t="s">
        <v>636</v>
      </c>
      <c r="K116" s="131"/>
      <c r="L116" s="98"/>
      <c r="N116" s="98"/>
    </row>
    <row r="117" spans="1:14" s="6" customFormat="1" ht="19.8" customHeight="1" x14ac:dyDescent="0.25">
      <c r="A117" s="45" t="s">
        <v>294</v>
      </c>
      <c r="B117" s="44" t="s">
        <v>548</v>
      </c>
      <c r="C117" s="547" t="s">
        <v>549</v>
      </c>
      <c r="D117" s="548"/>
      <c r="E117" s="134" t="s">
        <v>9</v>
      </c>
      <c r="F117" s="7">
        <f>'MC II'!F115</f>
        <v>45.33</v>
      </c>
      <c r="G117" s="10">
        <v>85.04</v>
      </c>
      <c r="H117" s="10">
        <f t="shared" ref="H117:H119" si="30">G117*$I$5+G117</f>
        <v>111.08775200000001</v>
      </c>
      <c r="I117" s="15">
        <f t="shared" si="28"/>
        <v>5035.6077981600001</v>
      </c>
      <c r="J117" s="285" t="s">
        <v>636</v>
      </c>
      <c r="K117" s="131"/>
      <c r="L117" s="98"/>
      <c r="N117" s="98"/>
    </row>
    <row r="118" spans="1:14" s="6" customFormat="1" ht="30" customHeight="1" x14ac:dyDescent="0.25">
      <c r="A118" s="45" t="s">
        <v>651</v>
      </c>
      <c r="B118" s="350" t="s">
        <v>652</v>
      </c>
      <c r="C118" s="547" t="s">
        <v>653</v>
      </c>
      <c r="D118" s="548"/>
      <c r="E118" s="133" t="s">
        <v>12</v>
      </c>
      <c r="F118" s="7">
        <f>'MC II'!F116</f>
        <v>14.45</v>
      </c>
      <c r="G118" s="10">
        <v>60.89</v>
      </c>
      <c r="H118" s="10">
        <f t="shared" si="30"/>
        <v>79.540606999999994</v>
      </c>
      <c r="I118" s="15">
        <f t="shared" si="28"/>
        <v>1149.3617711499999</v>
      </c>
      <c r="J118" s="285" t="s">
        <v>636</v>
      </c>
      <c r="K118" s="131"/>
      <c r="L118" s="98"/>
      <c r="N118" s="98"/>
    </row>
    <row r="119" spans="1:14" s="6" customFormat="1" ht="30" customHeight="1" x14ac:dyDescent="0.25">
      <c r="A119" s="45" t="s">
        <v>657</v>
      </c>
      <c r="B119" s="350" t="s">
        <v>655</v>
      </c>
      <c r="C119" s="547" t="s">
        <v>656</v>
      </c>
      <c r="D119" s="548"/>
      <c r="E119" s="133" t="s">
        <v>9</v>
      </c>
      <c r="F119" s="7">
        <f>'MC II'!F117</f>
        <v>16.05</v>
      </c>
      <c r="G119" s="10">
        <v>71.86</v>
      </c>
      <c r="H119" s="10">
        <f t="shared" si="30"/>
        <v>93.870717999999997</v>
      </c>
      <c r="I119" s="15">
        <f t="shared" si="28"/>
        <v>1506.6250239000001</v>
      </c>
      <c r="J119" s="285" t="s">
        <v>636</v>
      </c>
      <c r="K119" s="131"/>
      <c r="L119" s="98"/>
      <c r="N119" s="98"/>
    </row>
    <row r="120" spans="1:14" s="6" customFormat="1" ht="19.8" customHeight="1" x14ac:dyDescent="0.25">
      <c r="A120" s="45" t="s">
        <v>854</v>
      </c>
      <c r="B120" s="44" t="s">
        <v>222</v>
      </c>
      <c r="C120" s="547" t="s">
        <v>223</v>
      </c>
      <c r="D120" s="548"/>
      <c r="E120" s="134" t="s">
        <v>9</v>
      </c>
      <c r="F120" s="7">
        <f>'MC II'!F118</f>
        <v>20.5</v>
      </c>
      <c r="G120" s="10">
        <v>30.3</v>
      </c>
      <c r="H120" s="10">
        <f t="shared" ref="H120" si="31">G120*$I$5+G120</f>
        <v>39.580890000000004</v>
      </c>
      <c r="I120" s="15">
        <f t="shared" si="28"/>
        <v>811.40824500000008</v>
      </c>
      <c r="J120" s="285" t="s">
        <v>636</v>
      </c>
      <c r="K120" s="131"/>
      <c r="L120" s="98"/>
      <c r="N120" s="98"/>
    </row>
    <row r="121" spans="1:14" s="6" customFormat="1" ht="18" customHeight="1" x14ac:dyDescent="0.25">
      <c r="A121" s="137">
        <v>10</v>
      </c>
      <c r="B121" s="36"/>
      <c r="C121" s="138" t="s">
        <v>110</v>
      </c>
      <c r="D121" s="139"/>
      <c r="E121" s="36"/>
      <c r="F121" s="36"/>
      <c r="G121" s="36"/>
      <c r="H121" s="36"/>
      <c r="I121" s="41">
        <f>SUM(I122:I130)</f>
        <v>49835.275766099992</v>
      </c>
      <c r="K121" s="131"/>
      <c r="L121" s="98"/>
      <c r="N121" s="98">
        <f>L121*F121</f>
        <v>0</v>
      </c>
    </row>
    <row r="122" spans="1:14" s="6" customFormat="1" ht="30" customHeight="1" x14ac:dyDescent="0.25">
      <c r="A122" s="45" t="s">
        <v>275</v>
      </c>
      <c r="B122" s="350" t="s">
        <v>660</v>
      </c>
      <c r="C122" s="547" t="s">
        <v>661</v>
      </c>
      <c r="D122" s="548"/>
      <c r="E122" s="133" t="s">
        <v>13</v>
      </c>
      <c r="F122" s="7">
        <f>'MC II'!F120</f>
        <v>5</v>
      </c>
      <c r="G122" s="10">
        <v>1486.81</v>
      </c>
      <c r="H122" s="10">
        <f>G122*$I$5+G122</f>
        <v>1942.2199029999999</v>
      </c>
      <c r="I122" s="15">
        <f>F122*H122</f>
        <v>9711.0995149999999</v>
      </c>
      <c r="J122" s="285" t="s">
        <v>636</v>
      </c>
      <c r="K122" s="131"/>
      <c r="L122" s="98"/>
      <c r="N122" s="98"/>
    </row>
    <row r="123" spans="1:14" s="6" customFormat="1" ht="30" customHeight="1" x14ac:dyDescent="0.25">
      <c r="A123" s="45" t="s">
        <v>286</v>
      </c>
      <c r="B123" s="132" t="s">
        <v>712</v>
      </c>
      <c r="C123" s="547" t="s">
        <v>713</v>
      </c>
      <c r="D123" s="548"/>
      <c r="E123" s="133" t="s">
        <v>13</v>
      </c>
      <c r="F123" s="7">
        <f>'MC II'!F121</f>
        <v>5</v>
      </c>
      <c r="G123" s="10">
        <v>111.17</v>
      </c>
      <c r="H123" s="10">
        <f>G123*$I$5+G123</f>
        <v>145.221371</v>
      </c>
      <c r="I123" s="15">
        <f>F123*H123</f>
        <v>726.106855</v>
      </c>
      <c r="J123" s="285" t="s">
        <v>636</v>
      </c>
      <c r="K123" s="131"/>
      <c r="L123" s="98"/>
      <c r="N123" s="98"/>
    </row>
    <row r="124" spans="1:14" s="6" customFormat="1" ht="30" customHeight="1" x14ac:dyDescent="0.25">
      <c r="A124" s="45" t="s">
        <v>287</v>
      </c>
      <c r="B124" s="132" t="s">
        <v>178</v>
      </c>
      <c r="C124" s="547" t="s">
        <v>179</v>
      </c>
      <c r="D124" s="548"/>
      <c r="E124" s="133" t="s">
        <v>13</v>
      </c>
      <c r="F124" s="7">
        <f>'MC II'!F122</f>
        <v>3</v>
      </c>
      <c r="G124" s="10">
        <v>588.19000000000005</v>
      </c>
      <c r="H124" s="10">
        <f t="shared" ref="H124:H130" si="32">G124*$I$5+G124</f>
        <v>768.35259700000006</v>
      </c>
      <c r="I124" s="15">
        <f>F124*H124</f>
        <v>2305.0577910000002</v>
      </c>
      <c r="J124" s="285" t="s">
        <v>636</v>
      </c>
      <c r="K124" s="131"/>
      <c r="L124" s="98"/>
      <c r="N124" s="98"/>
    </row>
    <row r="125" spans="1:14" s="6" customFormat="1" ht="30" customHeight="1" x14ac:dyDescent="0.25">
      <c r="A125" s="45" t="s">
        <v>288</v>
      </c>
      <c r="B125" s="132" t="s">
        <v>180</v>
      </c>
      <c r="C125" s="547" t="s">
        <v>181</v>
      </c>
      <c r="D125" s="548"/>
      <c r="E125" s="133" t="s">
        <v>13</v>
      </c>
      <c r="F125" s="7">
        <f>'MC II'!F123</f>
        <v>3</v>
      </c>
      <c r="G125" s="10">
        <v>84</v>
      </c>
      <c r="H125" s="10">
        <f t="shared" si="32"/>
        <v>109.72920000000001</v>
      </c>
      <c r="I125" s="15">
        <f t="shared" ref="I125:I130" si="33">F125*H125</f>
        <v>329.18760000000003</v>
      </c>
      <c r="J125" s="285" t="s">
        <v>636</v>
      </c>
      <c r="K125" s="131"/>
      <c r="L125" s="98"/>
      <c r="N125" s="98"/>
    </row>
    <row r="126" spans="1:14" s="6" customFormat="1" ht="19.8" customHeight="1" x14ac:dyDescent="0.25">
      <c r="A126" s="45" t="s">
        <v>289</v>
      </c>
      <c r="B126" s="44" t="s">
        <v>111</v>
      </c>
      <c r="C126" s="547" t="s">
        <v>112</v>
      </c>
      <c r="D126" s="548"/>
      <c r="E126" s="134" t="s">
        <v>13</v>
      </c>
      <c r="F126" s="7">
        <f>'MC II'!F124</f>
        <v>9</v>
      </c>
      <c r="G126" s="10">
        <v>124.56</v>
      </c>
      <c r="H126" s="10">
        <f t="shared" si="32"/>
        <v>162.712728</v>
      </c>
      <c r="I126" s="15">
        <f t="shared" si="33"/>
        <v>1464.414552</v>
      </c>
      <c r="J126" s="285" t="s">
        <v>636</v>
      </c>
      <c r="K126" s="131"/>
      <c r="L126" s="98"/>
      <c r="N126" s="98"/>
    </row>
    <row r="127" spans="1:14" s="6" customFormat="1" ht="30" customHeight="1" x14ac:dyDescent="0.25">
      <c r="A127" s="45" t="s">
        <v>714</v>
      </c>
      <c r="B127" s="132" t="s">
        <v>182</v>
      </c>
      <c r="C127" s="547" t="s">
        <v>675</v>
      </c>
      <c r="D127" s="548"/>
      <c r="E127" s="133" t="s">
        <v>9</v>
      </c>
      <c r="F127" s="7">
        <f>'MC II'!F125</f>
        <v>8.4</v>
      </c>
      <c r="G127" s="10">
        <v>978.76</v>
      </c>
      <c r="H127" s="10">
        <f t="shared" si="32"/>
        <v>1278.5541880000001</v>
      </c>
      <c r="I127" s="15">
        <f t="shared" si="33"/>
        <v>10739.855179200002</v>
      </c>
      <c r="J127" s="285" t="s">
        <v>636</v>
      </c>
      <c r="K127" s="131"/>
      <c r="L127" s="98"/>
      <c r="N127" s="98"/>
    </row>
    <row r="128" spans="1:14" s="6" customFormat="1" ht="19.8" customHeight="1" x14ac:dyDescent="0.25">
      <c r="A128" s="45" t="s">
        <v>840</v>
      </c>
      <c r="B128" s="44" t="s">
        <v>841</v>
      </c>
      <c r="C128" s="547" t="s">
        <v>842</v>
      </c>
      <c r="D128" s="548"/>
      <c r="E128" s="134" t="s">
        <v>9</v>
      </c>
      <c r="F128" s="7">
        <f>'MC II'!F126</f>
        <v>2.25</v>
      </c>
      <c r="G128" s="10">
        <v>366.96</v>
      </c>
      <c r="H128" s="10">
        <f t="shared" si="32"/>
        <v>479.359848</v>
      </c>
      <c r="I128" s="15">
        <f t="shared" si="33"/>
        <v>1078.5596579999999</v>
      </c>
      <c r="J128" s="285" t="s">
        <v>636</v>
      </c>
      <c r="K128" s="131"/>
      <c r="L128" s="98"/>
      <c r="N128" s="98"/>
    </row>
    <row r="129" spans="1:14" s="6" customFormat="1" ht="19.8" customHeight="1" x14ac:dyDescent="0.25">
      <c r="A129" s="45" t="s">
        <v>845</v>
      </c>
      <c r="B129" s="44" t="s">
        <v>843</v>
      </c>
      <c r="C129" s="547" t="s">
        <v>844</v>
      </c>
      <c r="D129" s="548"/>
      <c r="E129" s="134" t="s">
        <v>9</v>
      </c>
      <c r="F129" s="7">
        <f>'MC II'!F127</f>
        <v>1.9500000000000002</v>
      </c>
      <c r="G129" s="10">
        <v>351.46</v>
      </c>
      <c r="H129" s="10">
        <f t="shared" si="32"/>
        <v>459.11219799999998</v>
      </c>
      <c r="I129" s="15">
        <f t="shared" si="33"/>
        <v>895.26878610000006</v>
      </c>
      <c r="J129" s="285" t="s">
        <v>636</v>
      </c>
      <c r="K129" s="131"/>
      <c r="L129" s="98"/>
      <c r="N129" s="98"/>
    </row>
    <row r="130" spans="1:14" s="6" customFormat="1" ht="30" customHeight="1" x14ac:dyDescent="0.25">
      <c r="A130" s="45" t="s">
        <v>846</v>
      </c>
      <c r="B130" s="132" t="s">
        <v>847</v>
      </c>
      <c r="C130" s="547" t="s">
        <v>848</v>
      </c>
      <c r="D130" s="548"/>
      <c r="E130" s="133" t="s">
        <v>12</v>
      </c>
      <c r="F130" s="7">
        <f>'MC II'!F128</f>
        <v>29.399999999999995</v>
      </c>
      <c r="G130" s="10">
        <v>588.09</v>
      </c>
      <c r="H130" s="10">
        <f t="shared" si="32"/>
        <v>768.22196700000006</v>
      </c>
      <c r="I130" s="15">
        <f t="shared" si="33"/>
        <v>22585.725829799998</v>
      </c>
      <c r="J130" s="285" t="s">
        <v>636</v>
      </c>
      <c r="K130" s="131"/>
      <c r="L130" s="98"/>
      <c r="N130" s="98"/>
    </row>
    <row r="131" spans="1:14" s="6" customFormat="1" ht="18" customHeight="1" x14ac:dyDescent="0.25">
      <c r="A131" s="40">
        <v>11</v>
      </c>
      <c r="B131" s="36"/>
      <c r="C131" s="135" t="s">
        <v>113</v>
      </c>
      <c r="D131" s="136"/>
      <c r="E131" s="36"/>
      <c r="F131" s="36"/>
      <c r="G131" s="36"/>
      <c r="H131" s="36"/>
      <c r="I131" s="41">
        <f>SUM(I132:I150)</f>
        <v>31070.79632684961</v>
      </c>
      <c r="K131" s="131"/>
      <c r="L131" s="98"/>
      <c r="N131" s="98"/>
    </row>
    <row r="132" spans="1:14" s="6" customFormat="1" ht="39.6" customHeight="1" x14ac:dyDescent="0.25">
      <c r="A132" s="45" t="s">
        <v>276</v>
      </c>
      <c r="B132" s="116" t="s">
        <v>715</v>
      </c>
      <c r="C132" s="547" t="s">
        <v>716</v>
      </c>
      <c r="D132" s="548"/>
      <c r="E132" s="48" t="s">
        <v>13</v>
      </c>
      <c r="F132" s="7">
        <f>'MC II'!F130</f>
        <v>2</v>
      </c>
      <c r="G132" s="10">
        <v>524.33000000000004</v>
      </c>
      <c r="H132" s="10">
        <f>G132*$I$5+G132</f>
        <v>684.93227900000011</v>
      </c>
      <c r="I132" s="15">
        <f t="shared" ref="I132:I141" si="34">F132*H132</f>
        <v>1369.8645580000002</v>
      </c>
      <c r="J132" s="285" t="s">
        <v>636</v>
      </c>
    </row>
    <row r="133" spans="1:14" s="6" customFormat="1" ht="19.8" customHeight="1" x14ac:dyDescent="0.25">
      <c r="A133" s="45" t="s">
        <v>281</v>
      </c>
      <c r="B133" s="44" t="s">
        <v>227</v>
      </c>
      <c r="C133" s="547" t="s">
        <v>226</v>
      </c>
      <c r="D133" s="548"/>
      <c r="E133" s="134" t="s">
        <v>9</v>
      </c>
      <c r="F133" s="7">
        <f>'MC II'!F130</f>
        <v>2</v>
      </c>
      <c r="G133" s="10">
        <v>1282.3599999999999</v>
      </c>
      <c r="H133" s="10">
        <f t="shared" ref="H133" si="35">G133*$I$5+G133</f>
        <v>1675.1468679999998</v>
      </c>
      <c r="I133" s="15">
        <f t="shared" ref="I133" si="36">F133*H133</f>
        <v>3350.2937359999996</v>
      </c>
      <c r="J133" s="285" t="s">
        <v>636</v>
      </c>
      <c r="K133" s="131"/>
      <c r="L133" s="98"/>
      <c r="N133" s="98"/>
    </row>
    <row r="134" spans="1:14" s="6" customFormat="1" ht="39.6" customHeight="1" x14ac:dyDescent="0.25">
      <c r="A134" s="45" t="s">
        <v>282</v>
      </c>
      <c r="B134" s="116" t="s">
        <v>115</v>
      </c>
      <c r="C134" s="547" t="s">
        <v>116</v>
      </c>
      <c r="D134" s="548"/>
      <c r="E134" s="48" t="s">
        <v>13</v>
      </c>
      <c r="F134" s="7">
        <f>'MC II'!F132</f>
        <v>3</v>
      </c>
      <c r="G134" s="10">
        <v>494.96</v>
      </c>
      <c r="H134" s="10">
        <f t="shared" ref="H134:H145" si="37">G134*$I$5+G134</f>
        <v>646.56624799999997</v>
      </c>
      <c r="I134" s="15">
        <f t="shared" si="34"/>
        <v>1939.6987439999998</v>
      </c>
      <c r="J134" s="285" t="s">
        <v>636</v>
      </c>
    </row>
    <row r="135" spans="1:14" s="6" customFormat="1" ht="39.6" customHeight="1" x14ac:dyDescent="0.25">
      <c r="A135" s="45" t="s">
        <v>283</v>
      </c>
      <c r="B135" s="116" t="s">
        <v>676</v>
      </c>
      <c r="C135" s="547" t="s">
        <v>677</v>
      </c>
      <c r="D135" s="548"/>
      <c r="E135" s="48" t="s">
        <v>13</v>
      </c>
      <c r="F135" s="7">
        <f>'MC II'!F133</f>
        <v>1</v>
      </c>
      <c r="G135" s="10">
        <v>1053.55</v>
      </c>
      <c r="H135" s="10">
        <f>G135*$I$5+G135</f>
        <v>1376.2523649999998</v>
      </c>
      <c r="I135" s="15">
        <f>F135*H135</f>
        <v>1376.2523649999998</v>
      </c>
      <c r="J135" s="285" t="s">
        <v>636</v>
      </c>
    </row>
    <row r="136" spans="1:14" s="6" customFormat="1" ht="30" customHeight="1" x14ac:dyDescent="0.25">
      <c r="A136" s="45" t="s">
        <v>284</v>
      </c>
      <c r="B136" s="132" t="s">
        <v>117</v>
      </c>
      <c r="C136" s="547" t="s">
        <v>118</v>
      </c>
      <c r="D136" s="548"/>
      <c r="E136" s="133" t="s">
        <v>13</v>
      </c>
      <c r="F136" s="7">
        <f>'MC II'!F134</f>
        <v>2</v>
      </c>
      <c r="G136" s="10">
        <v>527.30999999999995</v>
      </c>
      <c r="H136" s="10">
        <f t="shared" si="37"/>
        <v>688.82505299999991</v>
      </c>
      <c r="I136" s="15">
        <f t="shared" si="34"/>
        <v>1377.6501059999998</v>
      </c>
      <c r="J136" s="285" t="s">
        <v>636</v>
      </c>
      <c r="K136" s="131"/>
      <c r="L136" s="98"/>
      <c r="N136" s="98"/>
    </row>
    <row r="137" spans="1:14" s="6" customFormat="1" ht="19.8" customHeight="1" x14ac:dyDescent="0.25">
      <c r="A137" s="45" t="s">
        <v>285</v>
      </c>
      <c r="B137" s="44" t="s">
        <v>119</v>
      </c>
      <c r="C137" s="547" t="s">
        <v>120</v>
      </c>
      <c r="D137" s="548"/>
      <c r="E137" s="134" t="s">
        <v>13</v>
      </c>
      <c r="F137" s="7">
        <f>'MC II'!F135</f>
        <v>2</v>
      </c>
      <c r="G137" s="10">
        <v>43.62</v>
      </c>
      <c r="H137" s="10">
        <f t="shared" si="37"/>
        <v>56.980806000000001</v>
      </c>
      <c r="I137" s="15">
        <f t="shared" si="34"/>
        <v>113.961612</v>
      </c>
      <c r="J137" s="285" t="s">
        <v>636</v>
      </c>
      <c r="K137" s="131"/>
      <c r="L137" s="98"/>
      <c r="N137" s="98"/>
    </row>
    <row r="138" spans="1:14" s="6" customFormat="1" ht="19.8" customHeight="1" x14ac:dyDescent="0.25">
      <c r="A138" s="45" t="s">
        <v>405</v>
      </c>
      <c r="B138" s="116" t="s">
        <v>967</v>
      </c>
      <c r="C138" s="598" t="str">
        <f>'COMP.CUSTO'!C63</f>
        <v>EXPURGO HOSPITALAR EM AÇO INOX. INCLUSIVE SIFÃO EM AÇO INOX FORNECIMENTO E INSTALAÇÃO</v>
      </c>
      <c r="D138" s="599"/>
      <c r="E138" s="134" t="s">
        <v>13</v>
      </c>
      <c r="F138" s="7">
        <f>'MC II'!F136</f>
        <v>1</v>
      </c>
      <c r="G138" s="10">
        <f>'COMP.CUSTO'!G63</f>
        <v>4782.0333333333338</v>
      </c>
      <c r="H138" s="10">
        <f t="shared" si="37"/>
        <v>6246.7701433333341</v>
      </c>
      <c r="I138" s="15">
        <f t="shared" si="34"/>
        <v>6246.7701433333341</v>
      </c>
      <c r="J138" s="285"/>
      <c r="K138" s="131"/>
      <c r="L138" s="98"/>
      <c r="N138" s="98"/>
    </row>
    <row r="139" spans="1:14" s="305" customFormat="1" ht="19.8" customHeight="1" x14ac:dyDescent="0.25">
      <c r="A139" s="45" t="s">
        <v>448</v>
      </c>
      <c r="B139" s="56" t="s">
        <v>682</v>
      </c>
      <c r="C139" s="549" t="s">
        <v>683</v>
      </c>
      <c r="D139" s="550"/>
      <c r="E139" s="298" t="s">
        <v>9</v>
      </c>
      <c r="F139" s="299">
        <f>'MC II'!F137</f>
        <v>4.4000000000000004</v>
      </c>
      <c r="G139" s="300">
        <v>688.6</v>
      </c>
      <c r="H139" s="300">
        <f t="shared" si="37"/>
        <v>899.51818000000003</v>
      </c>
      <c r="I139" s="301">
        <f t="shared" si="34"/>
        <v>3957.8799920000006</v>
      </c>
      <c r="J139" s="302" t="s">
        <v>636</v>
      </c>
      <c r="K139" s="303"/>
      <c r="L139" s="304"/>
      <c r="N139" s="304"/>
    </row>
    <row r="140" spans="1:14" s="6" customFormat="1" ht="19.8" customHeight="1" x14ac:dyDescent="0.25">
      <c r="A140" s="45" t="s">
        <v>449</v>
      </c>
      <c r="B140" s="44" t="s">
        <v>121</v>
      </c>
      <c r="C140" s="547" t="s">
        <v>122</v>
      </c>
      <c r="D140" s="548"/>
      <c r="E140" s="134" t="s">
        <v>13</v>
      </c>
      <c r="F140" s="7">
        <f>'MC II'!F138</f>
        <v>2</v>
      </c>
      <c r="G140" s="10">
        <v>111.03</v>
      </c>
      <c r="H140" s="10">
        <f t="shared" si="37"/>
        <v>145.038489</v>
      </c>
      <c r="I140" s="15">
        <f t="shared" si="34"/>
        <v>290.076978</v>
      </c>
      <c r="J140" s="285" t="s">
        <v>636</v>
      </c>
      <c r="K140" s="131"/>
      <c r="L140" s="98"/>
      <c r="N140" s="98"/>
    </row>
    <row r="141" spans="1:14" s="6" customFormat="1" ht="30" customHeight="1" x14ac:dyDescent="0.25">
      <c r="A141" s="45" t="s">
        <v>450</v>
      </c>
      <c r="B141" s="132" t="s">
        <v>454</v>
      </c>
      <c r="C141" s="547" t="s">
        <v>455</v>
      </c>
      <c r="D141" s="548"/>
      <c r="E141" s="133" t="s">
        <v>13</v>
      </c>
      <c r="F141" s="7">
        <f>'MC II'!F139</f>
        <v>2</v>
      </c>
      <c r="G141" s="10">
        <v>233.25</v>
      </c>
      <c r="H141" s="10">
        <f t="shared" si="37"/>
        <v>304.69447500000001</v>
      </c>
      <c r="I141" s="15">
        <f t="shared" si="34"/>
        <v>609.38895000000002</v>
      </c>
      <c r="J141" s="285" t="s">
        <v>636</v>
      </c>
      <c r="K141" s="131"/>
      <c r="L141" s="98"/>
      <c r="N141" s="98"/>
    </row>
    <row r="142" spans="1:14" s="6" customFormat="1" ht="30" customHeight="1" x14ac:dyDescent="0.25">
      <c r="A142" s="45" t="s">
        <v>451</v>
      </c>
      <c r="B142" s="132" t="s">
        <v>123</v>
      </c>
      <c r="C142" s="547" t="s">
        <v>124</v>
      </c>
      <c r="D142" s="548"/>
      <c r="E142" s="133" t="s">
        <v>13</v>
      </c>
      <c r="F142" s="7">
        <f>'MC II'!F140</f>
        <v>3</v>
      </c>
      <c r="G142" s="10">
        <v>61.68</v>
      </c>
      <c r="H142" s="10">
        <f t="shared" si="37"/>
        <v>80.572584000000006</v>
      </c>
      <c r="I142" s="15">
        <f t="shared" ref="I142:I145" si="38">F142*H142</f>
        <v>241.71775200000002</v>
      </c>
      <c r="J142" s="285" t="s">
        <v>636</v>
      </c>
      <c r="K142" s="131"/>
      <c r="L142" s="98"/>
      <c r="N142" s="98"/>
    </row>
    <row r="143" spans="1:14" s="6" customFormat="1" ht="19.8" customHeight="1" x14ac:dyDescent="0.25">
      <c r="A143" s="45" t="s">
        <v>452</v>
      </c>
      <c r="B143" s="44" t="s">
        <v>339</v>
      </c>
      <c r="C143" s="547" t="s">
        <v>340</v>
      </c>
      <c r="D143" s="548"/>
      <c r="E143" s="134" t="s">
        <v>13</v>
      </c>
      <c r="F143" s="7">
        <f>'MC II'!F141</f>
        <v>3</v>
      </c>
      <c r="G143" s="10">
        <v>148.79</v>
      </c>
      <c r="H143" s="10">
        <f t="shared" si="37"/>
        <v>194.36437699999999</v>
      </c>
      <c r="I143" s="15">
        <f t="shared" si="38"/>
        <v>583.09313099999997</v>
      </c>
      <c r="J143" s="285" t="s">
        <v>636</v>
      </c>
      <c r="K143" s="131"/>
      <c r="L143" s="98"/>
      <c r="N143" s="98"/>
    </row>
    <row r="144" spans="1:14" s="6" customFormat="1" ht="19.8" customHeight="1" x14ac:dyDescent="0.25">
      <c r="A144" s="45" t="s">
        <v>453</v>
      </c>
      <c r="B144" s="44" t="s">
        <v>679</v>
      </c>
      <c r="C144" s="547" t="s">
        <v>680</v>
      </c>
      <c r="D144" s="548"/>
      <c r="E144" s="134" t="s">
        <v>13</v>
      </c>
      <c r="F144" s="7">
        <f>'MC II'!F142</f>
        <v>4</v>
      </c>
      <c r="G144" s="10">
        <v>68.19</v>
      </c>
      <c r="H144" s="10">
        <f t="shared" si="37"/>
        <v>89.076596999999992</v>
      </c>
      <c r="I144" s="15">
        <f t="shared" si="38"/>
        <v>356.30638799999997</v>
      </c>
      <c r="J144" s="285" t="s">
        <v>636</v>
      </c>
      <c r="K144" s="131"/>
      <c r="L144" s="98"/>
      <c r="N144" s="98"/>
    </row>
    <row r="145" spans="1:14" s="6" customFormat="1" ht="30" customHeight="1" x14ac:dyDescent="0.25">
      <c r="A145" s="45" t="s">
        <v>456</v>
      </c>
      <c r="B145" s="132" t="s">
        <v>126</v>
      </c>
      <c r="C145" s="547" t="s">
        <v>127</v>
      </c>
      <c r="D145" s="548"/>
      <c r="E145" s="133" t="s">
        <v>13</v>
      </c>
      <c r="F145" s="7">
        <f>'MC II'!F143</f>
        <v>2</v>
      </c>
      <c r="G145" s="10">
        <v>115.05</v>
      </c>
      <c r="H145" s="10">
        <f t="shared" si="37"/>
        <v>150.289815</v>
      </c>
      <c r="I145" s="15">
        <f t="shared" si="38"/>
        <v>300.57963000000001</v>
      </c>
      <c r="J145" s="285" t="s">
        <v>636</v>
      </c>
      <c r="K145" s="131"/>
      <c r="L145" s="98"/>
      <c r="N145" s="98"/>
    </row>
    <row r="146" spans="1:14" s="6" customFormat="1" ht="39.6" customHeight="1" x14ac:dyDescent="0.25">
      <c r="A146" s="45" t="s">
        <v>457</v>
      </c>
      <c r="B146" s="116" t="s">
        <v>968</v>
      </c>
      <c r="C146" s="547" t="str">
        <f>'COMP.CUSTO'!C71</f>
        <v xml:space="preserve">BANCADA COM TANQUE EM CONCRETO 150 X 75 CM, INCLUSIVE ALVENARIA, BARRADO EM AZULEJO E VÁLVULA DE ESCOAMENTO DE METAL COM ACABAMENTO CROMADO, SIFÃO DE METAL TIPO COPO COM ACABAMENTO CROMADO, FORNECIMENTO E INSTALAÇÃO - CONFORME DETAHAMENTO EM PROJETO </v>
      </c>
      <c r="D146" s="548"/>
      <c r="E146" s="48" t="str">
        <f>'COMP.CUSTO'!D71</f>
        <v>UNID.</v>
      </c>
      <c r="F146" s="7">
        <f>'MC II'!F144</f>
        <v>1</v>
      </c>
      <c r="G146" s="10">
        <f>'COMP.CUSTO'!G71</f>
        <v>1643.1017840589998</v>
      </c>
      <c r="H146" s="10">
        <f t="shared" ref="H146" si="39">G146*$I$5+G146</f>
        <v>2146.3838605162714</v>
      </c>
      <c r="I146" s="15">
        <f t="shared" ref="I146" si="40">F146*H146</f>
        <v>2146.3838605162714</v>
      </c>
      <c r="J146" s="285" t="s">
        <v>636</v>
      </c>
    </row>
    <row r="147" spans="1:14" s="6" customFormat="1" ht="30" customHeight="1" x14ac:dyDescent="0.25">
      <c r="A147" s="45" t="s">
        <v>458</v>
      </c>
      <c r="B147" s="132" t="s">
        <v>459</v>
      </c>
      <c r="C147" s="547" t="s">
        <v>460</v>
      </c>
      <c r="D147" s="548"/>
      <c r="E147" s="133" t="s">
        <v>13</v>
      </c>
      <c r="F147" s="7">
        <f>'MC II'!F145</f>
        <v>8</v>
      </c>
      <c r="G147" s="10">
        <v>151.03</v>
      </c>
      <c r="H147" s="10">
        <f t="shared" ref="H147:H150" si="41">G147*$I$5+G147</f>
        <v>197.29048900000001</v>
      </c>
      <c r="I147" s="15">
        <f t="shared" ref="I147:I150" si="42">F147*H147</f>
        <v>1578.3239120000001</v>
      </c>
      <c r="J147" s="285" t="s">
        <v>636</v>
      </c>
      <c r="K147" s="131"/>
      <c r="L147" s="98"/>
      <c r="N147" s="98"/>
    </row>
    <row r="148" spans="1:14" s="6" customFormat="1" ht="30" customHeight="1" x14ac:dyDescent="0.25">
      <c r="A148" s="45" t="s">
        <v>681</v>
      </c>
      <c r="B148" s="132" t="s">
        <v>461</v>
      </c>
      <c r="C148" s="547" t="s">
        <v>462</v>
      </c>
      <c r="D148" s="548"/>
      <c r="E148" s="133" t="s">
        <v>13</v>
      </c>
      <c r="F148" s="7">
        <f>'MC II'!F146</f>
        <v>4</v>
      </c>
      <c r="G148" s="10">
        <v>292</v>
      </c>
      <c r="H148" s="10">
        <f t="shared" si="41"/>
        <v>381.43959999999998</v>
      </c>
      <c r="I148" s="15">
        <f t="shared" si="42"/>
        <v>1525.7583999999999</v>
      </c>
      <c r="J148" s="285" t="s">
        <v>636</v>
      </c>
      <c r="K148" s="131"/>
      <c r="L148" s="98"/>
      <c r="N148" s="98"/>
    </row>
    <row r="149" spans="1:14" s="6" customFormat="1" ht="30" customHeight="1" x14ac:dyDescent="0.25">
      <c r="A149" s="45" t="s">
        <v>781</v>
      </c>
      <c r="B149" s="132" t="s">
        <v>463</v>
      </c>
      <c r="C149" s="547" t="s">
        <v>464</v>
      </c>
      <c r="D149" s="548"/>
      <c r="E149" s="133" t="s">
        <v>13</v>
      </c>
      <c r="F149" s="7">
        <f>'MC II'!F147</f>
        <v>2</v>
      </c>
      <c r="G149" s="10">
        <v>200.23</v>
      </c>
      <c r="H149" s="10">
        <f t="shared" si="41"/>
        <v>261.56044900000001</v>
      </c>
      <c r="I149" s="15">
        <f t="shared" si="42"/>
        <v>523.12089800000001</v>
      </c>
      <c r="J149" s="285" t="s">
        <v>636</v>
      </c>
      <c r="K149" s="131"/>
      <c r="L149" s="98"/>
      <c r="N149" s="98"/>
    </row>
    <row r="150" spans="1:14" s="6" customFormat="1" ht="19.8" customHeight="1" x14ac:dyDescent="0.25">
      <c r="A150" s="45" t="s">
        <v>902</v>
      </c>
      <c r="B150" s="44" t="s">
        <v>969</v>
      </c>
      <c r="C150" s="547" t="str">
        <f>'COMP.CUSTO'!C86</f>
        <v>LAVADORA INDUSTRIAL DE ALTA PRESSÃO LR-20 2CV MOTOR WEG MONO 450 LIBRAS COM CARRINHO FORNECIMENTO E INSTALAÇÃO</v>
      </c>
      <c r="D150" s="548"/>
      <c r="E150" s="133" t="s">
        <v>13</v>
      </c>
      <c r="F150" s="7">
        <f>'MC II'!F148</f>
        <v>1</v>
      </c>
      <c r="G150" s="10">
        <f>'COMP.CUSTO'!G86</f>
        <v>2437.1699999999996</v>
      </c>
      <c r="H150" s="10">
        <f t="shared" si="41"/>
        <v>3183.6751709999994</v>
      </c>
      <c r="I150" s="15">
        <f t="shared" si="42"/>
        <v>3183.6751709999994</v>
      </c>
      <c r="J150" s="285" t="s">
        <v>636</v>
      </c>
      <c r="K150" s="131"/>
      <c r="L150" s="98"/>
      <c r="N150" s="98"/>
    </row>
    <row r="151" spans="1:14" s="6" customFormat="1" ht="18" customHeight="1" x14ac:dyDescent="0.25">
      <c r="A151" s="40">
        <v>12</v>
      </c>
      <c r="B151" s="36"/>
      <c r="C151" s="135" t="s">
        <v>128</v>
      </c>
      <c r="D151" s="136"/>
      <c r="E151" s="36"/>
      <c r="F151" s="36"/>
      <c r="G151" s="36"/>
      <c r="H151" s="36"/>
      <c r="I151" s="41">
        <f>SUM(I152:I159)</f>
        <v>31744.961372722497</v>
      </c>
      <c r="K151" s="131"/>
      <c r="L151" s="98"/>
      <c r="N151" s="98"/>
    </row>
    <row r="152" spans="1:14" s="305" customFormat="1" ht="19.8" customHeight="1" x14ac:dyDescent="0.25">
      <c r="A152" s="348" t="s">
        <v>277</v>
      </c>
      <c r="B152" s="56" t="s">
        <v>129</v>
      </c>
      <c r="C152" s="549" t="s">
        <v>130</v>
      </c>
      <c r="D152" s="550"/>
      <c r="E152" s="298" t="s">
        <v>9</v>
      </c>
      <c r="F152" s="299">
        <f>'MC II'!F150</f>
        <v>499.93499999999995</v>
      </c>
      <c r="G152" s="300">
        <v>6.54</v>
      </c>
      <c r="H152" s="300">
        <f>G152*$I$5+G152</f>
        <v>8.5432020000000009</v>
      </c>
      <c r="I152" s="301">
        <f t="shared" ref="I152:I158" si="43">F152*H152</f>
        <v>4271.0456918700002</v>
      </c>
      <c r="J152" s="302" t="s">
        <v>636</v>
      </c>
      <c r="K152" s="303"/>
      <c r="L152" s="304"/>
      <c r="N152" s="304"/>
    </row>
    <row r="153" spans="1:14" s="305" customFormat="1" ht="19.8" customHeight="1" x14ac:dyDescent="0.25">
      <c r="A153" s="348" t="s">
        <v>278</v>
      </c>
      <c r="B153" s="56" t="s">
        <v>197</v>
      </c>
      <c r="C153" s="549" t="s">
        <v>198</v>
      </c>
      <c r="D153" s="550"/>
      <c r="E153" s="298" t="s">
        <v>9</v>
      </c>
      <c r="F153" s="299">
        <f>'MC II'!F151</f>
        <v>499.93499999999995</v>
      </c>
      <c r="G153" s="300">
        <v>27.44</v>
      </c>
      <c r="H153" s="300">
        <f>G153*$I$5+G153</f>
        <v>35.844872000000002</v>
      </c>
      <c r="I153" s="301">
        <f t="shared" si="43"/>
        <v>17920.106083319999</v>
      </c>
      <c r="J153" s="302" t="s">
        <v>636</v>
      </c>
      <c r="K153" s="303"/>
      <c r="L153" s="304"/>
      <c r="N153" s="304"/>
    </row>
    <row r="154" spans="1:14" s="305" customFormat="1" ht="19.8" customHeight="1" x14ac:dyDescent="0.25">
      <c r="A154" s="348" t="s">
        <v>279</v>
      </c>
      <c r="B154" s="56" t="s">
        <v>131</v>
      </c>
      <c r="C154" s="549" t="s">
        <v>132</v>
      </c>
      <c r="D154" s="550"/>
      <c r="E154" s="298" t="s">
        <v>9</v>
      </c>
      <c r="F154" s="299">
        <f>'MC II'!F152</f>
        <v>185.10150000000002</v>
      </c>
      <c r="G154" s="300">
        <v>8.17</v>
      </c>
      <c r="H154" s="300">
        <f t="shared" ref="H154:H157" si="44">G154*$I$5+G154</f>
        <v>10.672471</v>
      </c>
      <c r="I154" s="301">
        <f t="shared" si="43"/>
        <v>1975.4903908065</v>
      </c>
      <c r="J154" s="302" t="s">
        <v>636</v>
      </c>
      <c r="K154" s="303"/>
      <c r="L154" s="304"/>
      <c r="N154" s="304"/>
    </row>
    <row r="155" spans="1:14" s="305" customFormat="1" ht="19.8" customHeight="1" x14ac:dyDescent="0.25">
      <c r="A155" s="348" t="s">
        <v>280</v>
      </c>
      <c r="B155" s="56" t="s">
        <v>465</v>
      </c>
      <c r="C155" s="549" t="s">
        <v>466</v>
      </c>
      <c r="D155" s="550"/>
      <c r="E155" s="298" t="s">
        <v>9</v>
      </c>
      <c r="F155" s="299">
        <f>'MC II'!F153</f>
        <v>52.783999999999999</v>
      </c>
      <c r="G155" s="300">
        <v>33.840000000000003</v>
      </c>
      <c r="H155" s="300">
        <f t="shared" si="44"/>
        <v>44.205192000000004</v>
      </c>
      <c r="I155" s="301">
        <f t="shared" si="43"/>
        <v>2333.3268545280002</v>
      </c>
      <c r="J155" s="302" t="s">
        <v>636</v>
      </c>
      <c r="K155" s="303"/>
      <c r="L155" s="304"/>
      <c r="N155" s="304"/>
    </row>
    <row r="156" spans="1:14" s="305" customFormat="1" ht="19.8" customHeight="1" x14ac:dyDescent="0.25">
      <c r="A156" s="348" t="s">
        <v>343</v>
      </c>
      <c r="B156" s="56" t="s">
        <v>199</v>
      </c>
      <c r="C156" s="549" t="s">
        <v>200</v>
      </c>
      <c r="D156" s="550"/>
      <c r="E156" s="298" t="s">
        <v>9</v>
      </c>
      <c r="F156" s="299">
        <f>'ANEXO MC ESTRUTURA COMPLEMENTAR'!I225</f>
        <v>185.10149999999999</v>
      </c>
      <c r="G156" s="300">
        <v>15.24</v>
      </c>
      <c r="H156" s="300">
        <f t="shared" si="44"/>
        <v>19.908011999999999</v>
      </c>
      <c r="I156" s="301">
        <f t="shared" si="43"/>
        <v>3685.0028832179996</v>
      </c>
      <c r="J156" s="302" t="s">
        <v>636</v>
      </c>
      <c r="K156" s="303"/>
      <c r="L156" s="304"/>
      <c r="N156" s="304"/>
    </row>
    <row r="157" spans="1:14" s="305" customFormat="1" ht="19.8" customHeight="1" x14ac:dyDescent="0.25">
      <c r="A157" s="348" t="s">
        <v>467</v>
      </c>
      <c r="B157" s="56" t="s">
        <v>133</v>
      </c>
      <c r="C157" s="549" t="s">
        <v>134</v>
      </c>
      <c r="D157" s="550"/>
      <c r="E157" s="298" t="s">
        <v>9</v>
      </c>
      <c r="F157" s="299">
        <f>'MC II'!F155</f>
        <v>16.8</v>
      </c>
      <c r="G157" s="300">
        <v>23.87</v>
      </c>
      <c r="H157" s="300">
        <f t="shared" si="44"/>
        <v>31.181381000000002</v>
      </c>
      <c r="I157" s="301">
        <f t="shared" si="43"/>
        <v>523.8472008</v>
      </c>
      <c r="J157" s="302" t="s">
        <v>636</v>
      </c>
      <c r="K157" s="303"/>
      <c r="L157" s="304"/>
      <c r="N157" s="304"/>
    </row>
    <row r="158" spans="1:14" s="305" customFormat="1" ht="19.8" customHeight="1" x14ac:dyDescent="0.25">
      <c r="A158" s="348" t="s">
        <v>468</v>
      </c>
      <c r="B158" s="56" t="s">
        <v>90</v>
      </c>
      <c r="C158" s="549" t="s">
        <v>91</v>
      </c>
      <c r="D158" s="550"/>
      <c r="E158" s="298" t="s">
        <v>9</v>
      </c>
      <c r="F158" s="299">
        <f>'MC II'!F156</f>
        <v>10.080000000000002</v>
      </c>
      <c r="G158" s="300">
        <v>36.92</v>
      </c>
      <c r="H158" s="300">
        <f t="shared" ref="H158" si="45">G158*$I$5+G158</f>
        <v>48.228596000000003</v>
      </c>
      <c r="I158" s="301">
        <f t="shared" si="43"/>
        <v>486.14424768000015</v>
      </c>
      <c r="J158" s="302" t="s">
        <v>636</v>
      </c>
      <c r="K158" s="303"/>
      <c r="L158" s="304"/>
      <c r="N158" s="304"/>
    </row>
    <row r="159" spans="1:14" s="305" customFormat="1" ht="19.8" customHeight="1" x14ac:dyDescent="0.25">
      <c r="A159" s="348" t="s">
        <v>469</v>
      </c>
      <c r="B159" s="56" t="s">
        <v>979</v>
      </c>
      <c r="C159" s="549" t="str">
        <f>'COMP.CUSTO'!C94</f>
        <v xml:space="preserve">PINTURA ACRÍLICA ARTÍSTICA CONFORME PROJETO (LOGO DO SAMU),(2,50 X 1,50M), DUAS (2) DEMÃOS, EXCLUSIVE SELADOR ACRÍLICO </v>
      </c>
      <c r="D159" s="550"/>
      <c r="E159" s="298" t="str">
        <f>'COMP.CUSTO'!D94</f>
        <v>UNID.</v>
      </c>
      <c r="F159" s="299">
        <f>'MC II'!F157</f>
        <v>1</v>
      </c>
      <c r="G159" s="300">
        <f>'COMP.CUSTO'!G94</f>
        <v>421.03499999999997</v>
      </c>
      <c r="H159" s="300">
        <f t="shared" ref="H159" si="46">G159*$I$5+G159</f>
        <v>549.99802049999994</v>
      </c>
      <c r="I159" s="301">
        <f t="shared" ref="I159" si="47">F159*H159</f>
        <v>549.99802049999994</v>
      </c>
      <c r="J159" s="302" t="s">
        <v>636</v>
      </c>
      <c r="K159" s="303"/>
      <c r="L159" s="304"/>
      <c r="N159" s="304"/>
    </row>
    <row r="160" spans="1:14" s="6" customFormat="1" ht="18" customHeight="1" x14ac:dyDescent="0.25">
      <c r="A160" s="40">
        <v>13</v>
      </c>
      <c r="B160" s="36"/>
      <c r="C160" s="135" t="s">
        <v>255</v>
      </c>
      <c r="D160" s="136"/>
      <c r="E160" s="36"/>
      <c r="F160" s="36"/>
      <c r="G160" s="36"/>
      <c r="H160" s="36"/>
      <c r="I160" s="41">
        <f>SUM(I161:I165)</f>
        <v>36866.864002032497</v>
      </c>
      <c r="K160" s="131"/>
      <c r="L160" s="98"/>
      <c r="N160" s="98"/>
    </row>
    <row r="161" spans="1:14" s="305" customFormat="1" ht="19.8" customHeight="1" x14ac:dyDescent="0.25">
      <c r="A161" s="348" t="s">
        <v>265</v>
      </c>
      <c r="B161" s="56" t="s">
        <v>258</v>
      </c>
      <c r="C161" s="549" t="s">
        <v>261</v>
      </c>
      <c r="D161" s="550"/>
      <c r="E161" s="298" t="s">
        <v>9</v>
      </c>
      <c r="F161" s="299">
        <f>'MC II'!F159</f>
        <v>227.4075</v>
      </c>
      <c r="G161" s="300">
        <v>73.31</v>
      </c>
      <c r="H161" s="300">
        <f t="shared" ref="H161:H164" si="48">G161*$I$5+G161</f>
        <v>95.764853000000002</v>
      </c>
      <c r="I161" s="301">
        <f t="shared" ref="I161:I164" si="49">F161*H161</f>
        <v>21777.645808597499</v>
      </c>
      <c r="J161" s="302" t="s">
        <v>636</v>
      </c>
      <c r="K161" s="303"/>
      <c r="L161" s="304"/>
      <c r="N161" s="304"/>
    </row>
    <row r="162" spans="1:14" s="305" customFormat="1" ht="19.8" customHeight="1" x14ac:dyDescent="0.25">
      <c r="A162" s="348" t="s">
        <v>470</v>
      </c>
      <c r="B162" s="56" t="s">
        <v>107</v>
      </c>
      <c r="C162" s="549" t="s">
        <v>108</v>
      </c>
      <c r="D162" s="550"/>
      <c r="E162" s="298" t="s">
        <v>9</v>
      </c>
      <c r="F162" s="299">
        <f>'MC II'!F160</f>
        <v>227.4075</v>
      </c>
      <c r="G162" s="300">
        <v>33.86</v>
      </c>
      <c r="H162" s="300">
        <f t="shared" ref="H162:H163" si="50">G162*$I$5+G162</f>
        <v>44.231318000000002</v>
      </c>
      <c r="I162" s="301">
        <f t="shared" ref="I162:I163" si="51">F162*H162</f>
        <v>10058.533448085</v>
      </c>
      <c r="J162" s="302" t="s">
        <v>636</v>
      </c>
      <c r="K162" s="303"/>
      <c r="L162" s="304"/>
      <c r="N162" s="304"/>
    </row>
    <row r="163" spans="1:14" s="305" customFormat="1" ht="19.8" customHeight="1" x14ac:dyDescent="0.25">
      <c r="A163" s="348" t="s">
        <v>471</v>
      </c>
      <c r="B163" s="56" t="s">
        <v>259</v>
      </c>
      <c r="C163" s="549" t="s">
        <v>260</v>
      </c>
      <c r="D163" s="550"/>
      <c r="E163" s="298" t="s">
        <v>12</v>
      </c>
      <c r="F163" s="299">
        <f>'MC II'!F161</f>
        <v>8</v>
      </c>
      <c r="G163" s="300">
        <v>46.78</v>
      </c>
      <c r="H163" s="300">
        <f t="shared" si="50"/>
        <v>61.108714000000006</v>
      </c>
      <c r="I163" s="301">
        <f t="shared" si="51"/>
        <v>488.86971200000005</v>
      </c>
      <c r="J163" s="302" t="s">
        <v>636</v>
      </c>
      <c r="K163" s="303"/>
      <c r="L163" s="304"/>
      <c r="N163" s="304"/>
    </row>
    <row r="164" spans="1:14" s="305" customFormat="1" ht="19.8" customHeight="1" x14ac:dyDescent="0.25">
      <c r="A164" s="348" t="s">
        <v>472</v>
      </c>
      <c r="B164" s="56" t="s">
        <v>88</v>
      </c>
      <c r="C164" s="549" t="s">
        <v>89</v>
      </c>
      <c r="D164" s="550"/>
      <c r="E164" s="298" t="s">
        <v>12</v>
      </c>
      <c r="F164" s="299">
        <f>'MC II'!F162</f>
        <v>28</v>
      </c>
      <c r="G164" s="300">
        <v>78.099999999999994</v>
      </c>
      <c r="H164" s="300">
        <f t="shared" si="48"/>
        <v>102.02203</v>
      </c>
      <c r="I164" s="301">
        <f t="shared" si="49"/>
        <v>2856.6168400000001</v>
      </c>
      <c r="J164" s="302" t="s">
        <v>636</v>
      </c>
      <c r="K164" s="303"/>
      <c r="L164" s="304"/>
      <c r="N164" s="304"/>
    </row>
    <row r="165" spans="1:14" s="305" customFormat="1" ht="30" customHeight="1" x14ac:dyDescent="0.25">
      <c r="A165" s="348" t="s">
        <v>473</v>
      </c>
      <c r="B165" s="132" t="s">
        <v>341</v>
      </c>
      <c r="C165" s="549" t="s">
        <v>342</v>
      </c>
      <c r="D165" s="550"/>
      <c r="E165" s="349" t="s">
        <v>12</v>
      </c>
      <c r="F165" s="299">
        <f>'MC II'!F163</f>
        <v>68.950000000000017</v>
      </c>
      <c r="G165" s="300">
        <v>18.71</v>
      </c>
      <c r="H165" s="300">
        <f t="shared" ref="H165" si="52">G165*$I$5+G165</f>
        <v>24.440873000000003</v>
      </c>
      <c r="I165" s="301">
        <f t="shared" ref="I165" si="53">F165*H165</f>
        <v>1685.1981933500006</v>
      </c>
      <c r="J165" s="302" t="s">
        <v>636</v>
      </c>
      <c r="K165" s="303"/>
      <c r="L165" s="304"/>
      <c r="N165" s="304"/>
    </row>
    <row r="166" spans="1:14" s="6" customFormat="1" ht="18" customHeight="1" x14ac:dyDescent="0.25">
      <c r="A166" s="40">
        <v>14</v>
      </c>
      <c r="B166" s="36"/>
      <c r="C166" s="135" t="s">
        <v>552</v>
      </c>
      <c r="D166" s="136"/>
      <c r="E166" s="36"/>
      <c r="F166" s="36"/>
      <c r="G166" s="36"/>
      <c r="H166" s="36"/>
      <c r="I166" s="41">
        <f>SUM(I167:I186)</f>
        <v>17516.873393333335</v>
      </c>
      <c r="K166" s="131"/>
      <c r="L166" s="98"/>
      <c r="N166" s="98"/>
    </row>
    <row r="167" spans="1:14" s="6" customFormat="1" ht="19.8" customHeight="1" x14ac:dyDescent="0.25">
      <c r="A167" s="45" t="s">
        <v>577</v>
      </c>
      <c r="B167" s="44" t="s">
        <v>553</v>
      </c>
      <c r="C167" s="547" t="s">
        <v>554</v>
      </c>
      <c r="D167" s="548"/>
      <c r="E167" s="134" t="s">
        <v>12</v>
      </c>
      <c r="F167" s="7">
        <f>'MC II'!F165</f>
        <v>44</v>
      </c>
      <c r="G167" s="10">
        <v>11.57</v>
      </c>
      <c r="H167" s="10">
        <f t="shared" ref="H167:H186" si="54">G167*$I$5+G167</f>
        <v>15.113891000000001</v>
      </c>
      <c r="I167" s="15">
        <f t="shared" ref="I167:I186" si="55">F167*H167</f>
        <v>665.01120400000002</v>
      </c>
      <c r="J167" s="285" t="s">
        <v>636</v>
      </c>
      <c r="K167" s="131"/>
      <c r="L167" s="98"/>
      <c r="N167" s="98"/>
    </row>
    <row r="168" spans="1:14" s="6" customFormat="1" ht="30" customHeight="1" x14ac:dyDescent="0.25">
      <c r="A168" s="45" t="s">
        <v>578</v>
      </c>
      <c r="B168" s="350" t="s">
        <v>555</v>
      </c>
      <c r="C168" s="547" t="s">
        <v>523</v>
      </c>
      <c r="D168" s="548"/>
      <c r="E168" s="133" t="s">
        <v>12</v>
      </c>
      <c r="F168" s="7">
        <f>'MC II'!F166</f>
        <v>44</v>
      </c>
      <c r="G168" s="10">
        <v>3.16</v>
      </c>
      <c r="H168" s="10">
        <f t="shared" si="54"/>
        <v>4.1279080000000006</v>
      </c>
      <c r="I168" s="15">
        <f t="shared" si="55"/>
        <v>181.62795200000002</v>
      </c>
      <c r="J168" s="285" t="s">
        <v>636</v>
      </c>
      <c r="K168" s="131"/>
      <c r="L168" s="98"/>
      <c r="N168" s="98"/>
    </row>
    <row r="169" spans="1:14" s="6" customFormat="1" ht="19.8" customHeight="1" x14ac:dyDescent="0.25">
      <c r="A169" s="45" t="s">
        <v>579</v>
      </c>
      <c r="B169" s="44" t="s">
        <v>720</v>
      </c>
      <c r="C169" s="547" t="s">
        <v>721</v>
      </c>
      <c r="D169" s="548"/>
      <c r="E169" s="134" t="s">
        <v>12</v>
      </c>
      <c r="F169" s="7">
        <f>'MC II'!F167</f>
        <v>20</v>
      </c>
      <c r="G169" s="10">
        <v>7.04</v>
      </c>
      <c r="H169" s="10">
        <f t="shared" si="54"/>
        <v>9.196352000000001</v>
      </c>
      <c r="I169" s="15">
        <f t="shared" si="55"/>
        <v>183.92704000000003</v>
      </c>
      <c r="J169" s="285" t="s">
        <v>636</v>
      </c>
      <c r="K169" s="131"/>
      <c r="L169" s="98"/>
      <c r="N169" s="98"/>
    </row>
    <row r="170" spans="1:14" s="6" customFormat="1" ht="19.8" customHeight="1" x14ac:dyDescent="0.25">
      <c r="A170" s="45" t="s">
        <v>580</v>
      </c>
      <c r="B170" s="44" t="s">
        <v>266</v>
      </c>
      <c r="C170" s="547" t="s">
        <v>476</v>
      </c>
      <c r="D170" s="548"/>
      <c r="E170" s="134" t="s">
        <v>13</v>
      </c>
      <c r="F170" s="7">
        <f>'MC II'!F168</f>
        <v>12</v>
      </c>
      <c r="G170" s="10">
        <v>9.1</v>
      </c>
      <c r="H170" s="10">
        <f t="shared" si="54"/>
        <v>11.887329999999999</v>
      </c>
      <c r="I170" s="15">
        <f t="shared" si="55"/>
        <v>142.64795999999998</v>
      </c>
      <c r="J170" s="285" t="s">
        <v>636</v>
      </c>
      <c r="K170" s="131"/>
      <c r="L170" s="98"/>
      <c r="N170" s="98"/>
    </row>
    <row r="171" spans="1:14" s="6" customFormat="1" ht="30" customHeight="1" x14ac:dyDescent="0.25">
      <c r="A171" s="45" t="s">
        <v>581</v>
      </c>
      <c r="B171" s="132" t="s">
        <v>556</v>
      </c>
      <c r="C171" s="547" t="s">
        <v>557</v>
      </c>
      <c r="D171" s="548"/>
      <c r="E171" s="133" t="s">
        <v>13</v>
      </c>
      <c r="F171" s="7">
        <f>'MC II'!F169</f>
        <v>2</v>
      </c>
      <c r="G171" s="10">
        <v>96.86</v>
      </c>
      <c r="H171" s="10">
        <f t="shared" si="54"/>
        <v>126.52821800000001</v>
      </c>
      <c r="I171" s="15">
        <f t="shared" si="55"/>
        <v>253.05643600000002</v>
      </c>
      <c r="J171" s="285" t="s">
        <v>636</v>
      </c>
      <c r="K171" s="131"/>
      <c r="L171" s="98"/>
      <c r="N171" s="98"/>
    </row>
    <row r="172" spans="1:14" s="6" customFormat="1" ht="19.8" customHeight="1" x14ac:dyDescent="0.25">
      <c r="A172" s="45" t="s">
        <v>582</v>
      </c>
      <c r="B172" s="44" t="s">
        <v>558</v>
      </c>
      <c r="C172" s="547" t="s">
        <v>559</v>
      </c>
      <c r="D172" s="548"/>
      <c r="E172" s="134" t="s">
        <v>13</v>
      </c>
      <c r="F172" s="7">
        <f>'MC II'!F170</f>
        <v>9</v>
      </c>
      <c r="G172" s="10">
        <v>12.16</v>
      </c>
      <c r="H172" s="10">
        <f t="shared" si="54"/>
        <v>15.884608</v>
      </c>
      <c r="I172" s="15">
        <f t="shared" si="55"/>
        <v>142.96147200000001</v>
      </c>
      <c r="J172" s="285" t="s">
        <v>636</v>
      </c>
      <c r="K172" s="131"/>
      <c r="L172" s="98"/>
      <c r="N172" s="98"/>
    </row>
    <row r="173" spans="1:14" s="6" customFormat="1" ht="30" customHeight="1" x14ac:dyDescent="0.25">
      <c r="A173" s="45" t="s">
        <v>583</v>
      </c>
      <c r="B173" s="132" t="s">
        <v>560</v>
      </c>
      <c r="C173" s="547" t="s">
        <v>561</v>
      </c>
      <c r="D173" s="548"/>
      <c r="E173" s="133" t="s">
        <v>13</v>
      </c>
      <c r="F173" s="7">
        <f>'MC II'!F171</f>
        <v>2</v>
      </c>
      <c r="G173" s="10">
        <v>57.68</v>
      </c>
      <c r="H173" s="10">
        <f t="shared" si="54"/>
        <v>75.347384000000005</v>
      </c>
      <c r="I173" s="15">
        <f t="shared" si="55"/>
        <v>150.69476800000001</v>
      </c>
      <c r="J173" s="285" t="s">
        <v>636</v>
      </c>
      <c r="K173" s="131"/>
      <c r="L173" s="98"/>
      <c r="N173" s="98"/>
    </row>
    <row r="174" spans="1:14" s="6" customFormat="1" ht="30" customHeight="1" x14ac:dyDescent="0.25">
      <c r="A174" s="45" t="s">
        <v>584</v>
      </c>
      <c r="B174" s="132" t="s">
        <v>562</v>
      </c>
      <c r="C174" s="547" t="s">
        <v>563</v>
      </c>
      <c r="D174" s="548"/>
      <c r="E174" s="133" t="s">
        <v>12</v>
      </c>
      <c r="F174" s="7">
        <f>'MC II'!F172</f>
        <v>195</v>
      </c>
      <c r="G174" s="10">
        <v>6.17</v>
      </c>
      <c r="H174" s="10">
        <f t="shared" si="54"/>
        <v>8.0598709999999993</v>
      </c>
      <c r="I174" s="15">
        <f t="shared" si="55"/>
        <v>1571.6748449999998</v>
      </c>
      <c r="J174" s="285" t="s">
        <v>636</v>
      </c>
      <c r="K174" s="131"/>
      <c r="L174" s="98"/>
      <c r="N174" s="98"/>
    </row>
    <row r="175" spans="1:14" s="6" customFormat="1" ht="19.8" customHeight="1" x14ac:dyDescent="0.25">
      <c r="A175" s="45" t="s">
        <v>585</v>
      </c>
      <c r="B175" s="44" t="s">
        <v>564</v>
      </c>
      <c r="C175" s="547" t="s">
        <v>565</v>
      </c>
      <c r="D175" s="548"/>
      <c r="E175" s="134" t="s">
        <v>13</v>
      </c>
      <c r="F175" s="7">
        <f>'MC II'!F173</f>
        <v>9</v>
      </c>
      <c r="G175" s="10">
        <v>48.45</v>
      </c>
      <c r="H175" s="10">
        <f t="shared" si="54"/>
        <v>63.290235000000003</v>
      </c>
      <c r="I175" s="15">
        <f t="shared" si="55"/>
        <v>569.61211500000002</v>
      </c>
      <c r="J175" s="285" t="s">
        <v>636</v>
      </c>
      <c r="K175" s="131"/>
      <c r="L175" s="98"/>
      <c r="N175" s="98"/>
    </row>
    <row r="176" spans="1:14" s="6" customFormat="1" ht="19.8" customHeight="1" x14ac:dyDescent="0.25">
      <c r="A176" s="45" t="s">
        <v>586</v>
      </c>
      <c r="B176" s="44" t="s">
        <v>566</v>
      </c>
      <c r="C176" s="547" t="s">
        <v>567</v>
      </c>
      <c r="D176" s="548"/>
      <c r="E176" s="134" t="s">
        <v>13</v>
      </c>
      <c r="F176" s="7">
        <f>'MC II'!F174</f>
        <v>11</v>
      </c>
      <c r="G176" s="10">
        <v>14.04</v>
      </c>
      <c r="H176" s="10">
        <f t="shared" si="54"/>
        <v>18.340451999999999</v>
      </c>
      <c r="I176" s="15">
        <f t="shared" si="55"/>
        <v>201.74497199999999</v>
      </c>
      <c r="J176" s="285" t="s">
        <v>636</v>
      </c>
      <c r="K176" s="131"/>
      <c r="L176" s="98"/>
      <c r="N176" s="98"/>
    </row>
    <row r="177" spans="1:14" s="6" customFormat="1" ht="19.8" customHeight="1" x14ac:dyDescent="0.25">
      <c r="A177" s="45" t="s">
        <v>587</v>
      </c>
      <c r="B177" s="44" t="s">
        <v>725</v>
      </c>
      <c r="C177" s="547" t="s">
        <v>726</v>
      </c>
      <c r="D177" s="548"/>
      <c r="E177" s="134" t="s">
        <v>13</v>
      </c>
      <c r="F177" s="7">
        <f>'MC II'!F175</f>
        <v>9</v>
      </c>
      <c r="G177" s="10">
        <v>2.3199999999999998</v>
      </c>
      <c r="H177" s="10">
        <f t="shared" si="54"/>
        <v>3.0306159999999998</v>
      </c>
      <c r="I177" s="15">
        <f t="shared" si="55"/>
        <v>27.275543999999996</v>
      </c>
      <c r="J177" s="285" t="s">
        <v>636</v>
      </c>
      <c r="K177" s="131"/>
      <c r="L177" s="98"/>
      <c r="N177" s="98"/>
    </row>
    <row r="178" spans="1:14" s="6" customFormat="1" ht="19.8" customHeight="1" x14ac:dyDescent="0.25">
      <c r="A178" s="45" t="s">
        <v>588</v>
      </c>
      <c r="B178" s="44" t="s">
        <v>568</v>
      </c>
      <c r="C178" s="547" t="s">
        <v>569</v>
      </c>
      <c r="D178" s="548"/>
      <c r="E178" s="134" t="s">
        <v>12</v>
      </c>
      <c r="F178" s="7">
        <f>'MC II'!F176</f>
        <v>10</v>
      </c>
      <c r="G178" s="10">
        <v>6.39</v>
      </c>
      <c r="H178" s="10">
        <f t="shared" si="54"/>
        <v>8.347256999999999</v>
      </c>
      <c r="I178" s="15">
        <f t="shared" si="55"/>
        <v>83.47256999999999</v>
      </c>
      <c r="J178" s="285" t="s">
        <v>636</v>
      </c>
      <c r="K178" s="131"/>
      <c r="L178" s="98"/>
      <c r="N178" s="98"/>
    </row>
    <row r="179" spans="1:14" s="6" customFormat="1" ht="30" customHeight="1" x14ac:dyDescent="0.25">
      <c r="A179" s="45" t="s">
        <v>589</v>
      </c>
      <c r="B179" s="132" t="s">
        <v>729</v>
      </c>
      <c r="C179" s="547" t="s">
        <v>492</v>
      </c>
      <c r="D179" s="548"/>
      <c r="E179" s="134" t="s">
        <v>13</v>
      </c>
      <c r="F179" s="7">
        <f>'MC II'!F177</f>
        <v>2</v>
      </c>
      <c r="G179" s="10">
        <v>15.47</v>
      </c>
      <c r="H179" s="10">
        <f t="shared" si="54"/>
        <v>20.208461</v>
      </c>
      <c r="I179" s="15">
        <f t="shared" si="55"/>
        <v>40.416922</v>
      </c>
      <c r="J179" s="285" t="s">
        <v>636</v>
      </c>
      <c r="K179" s="131"/>
      <c r="L179" s="98"/>
      <c r="N179" s="98"/>
    </row>
    <row r="180" spans="1:14" s="6" customFormat="1" ht="19.8" customHeight="1" x14ac:dyDescent="0.25">
      <c r="A180" s="45" t="s">
        <v>590</v>
      </c>
      <c r="B180" s="44" t="s">
        <v>570</v>
      </c>
      <c r="C180" s="547" t="s">
        <v>571</v>
      </c>
      <c r="D180" s="548"/>
      <c r="E180" s="134" t="s">
        <v>13</v>
      </c>
      <c r="F180" s="7">
        <f>'MC II'!F178</f>
        <v>1</v>
      </c>
      <c r="G180" s="10">
        <v>2822.53</v>
      </c>
      <c r="H180" s="10">
        <f t="shared" si="54"/>
        <v>3687.0709390000002</v>
      </c>
      <c r="I180" s="15">
        <f t="shared" si="55"/>
        <v>3687.0709390000002</v>
      </c>
      <c r="J180" s="285" t="s">
        <v>636</v>
      </c>
      <c r="K180" s="131"/>
      <c r="L180" s="98"/>
      <c r="N180" s="98"/>
    </row>
    <row r="181" spans="1:14" s="6" customFormat="1" ht="19.8" customHeight="1" x14ac:dyDescent="0.25">
      <c r="A181" s="45" t="s">
        <v>727</v>
      </c>
      <c r="B181" s="44" t="s">
        <v>572</v>
      </c>
      <c r="C181" s="547" t="s">
        <v>573</v>
      </c>
      <c r="D181" s="548"/>
      <c r="E181" s="134" t="s">
        <v>574</v>
      </c>
      <c r="F181" s="7">
        <f>'MC II'!F179</f>
        <v>1</v>
      </c>
      <c r="G181" s="10">
        <v>966.15</v>
      </c>
      <c r="H181" s="10">
        <f t="shared" si="54"/>
        <v>1262.081745</v>
      </c>
      <c r="I181" s="15">
        <f t="shared" si="55"/>
        <v>1262.081745</v>
      </c>
      <c r="J181" s="285" t="s">
        <v>636</v>
      </c>
      <c r="K181" s="131"/>
      <c r="L181" s="98"/>
      <c r="N181" s="98"/>
    </row>
    <row r="182" spans="1:14" s="6" customFormat="1" ht="19.8" customHeight="1" x14ac:dyDescent="0.25">
      <c r="A182" s="45" t="s">
        <v>734</v>
      </c>
      <c r="B182" s="44" t="s">
        <v>575</v>
      </c>
      <c r="C182" s="547" t="s">
        <v>576</v>
      </c>
      <c r="D182" s="548"/>
      <c r="E182" s="134" t="s">
        <v>574</v>
      </c>
      <c r="F182" s="7">
        <f>'MC II'!F180</f>
        <v>3</v>
      </c>
      <c r="G182" s="10">
        <v>87.45</v>
      </c>
      <c r="H182" s="10">
        <f t="shared" si="54"/>
        <v>114.23593500000001</v>
      </c>
      <c r="I182" s="15">
        <f t="shared" si="55"/>
        <v>342.70780500000001</v>
      </c>
      <c r="J182" s="285" t="s">
        <v>636</v>
      </c>
      <c r="K182" s="131"/>
      <c r="L182" s="98"/>
      <c r="N182" s="98"/>
    </row>
    <row r="183" spans="1:14" s="6" customFormat="1" ht="30" customHeight="1" x14ac:dyDescent="0.25">
      <c r="A183" s="45" t="s">
        <v>735</v>
      </c>
      <c r="B183" s="132" t="s">
        <v>920</v>
      </c>
      <c r="C183" s="547" t="str">
        <f>'COMP.CUSTO'!C102</f>
        <v xml:space="preserve">SWITCH 10/100 16 PORTAS POE, PADRÃO IEEE 802.3AF, IEEE 802.3AT, SUPORTA ATÉ 30W POE POR PORTA, SUPORTA ATÉ A POTENCIA POE DE 130W NO TOTAL, CERTIFICAÇÃO CE, ROHS, FCC, UL. REFERENCIA: HIKIVISION DS-3E0318P-E/M(B) FORNECIMENTO E INSTALAÇÃO </v>
      </c>
      <c r="D183" s="548"/>
      <c r="E183" s="134" t="s">
        <v>13</v>
      </c>
      <c r="F183" s="7">
        <f>'MC II'!F181</f>
        <v>1</v>
      </c>
      <c r="G183" s="10">
        <f>'COMP.CUSTO'!G102</f>
        <v>1173.4416666666666</v>
      </c>
      <c r="H183" s="10">
        <f t="shared" si="54"/>
        <v>1532.8668491666667</v>
      </c>
      <c r="I183" s="15">
        <f t="shared" si="55"/>
        <v>1532.8668491666667</v>
      </c>
      <c r="J183" s="285" t="s">
        <v>636</v>
      </c>
      <c r="K183" s="131"/>
      <c r="L183" s="98"/>
      <c r="N183" s="98"/>
    </row>
    <row r="184" spans="1:14" s="6" customFormat="1" ht="50.4" customHeight="1" x14ac:dyDescent="0.25">
      <c r="A184" s="45" t="s">
        <v>736</v>
      </c>
      <c r="B184" s="132" t="s">
        <v>964</v>
      </c>
      <c r="C184" s="547" t="str">
        <f>'COMP.CUSTO'!C109</f>
        <v xml:space="preserve">CAMERA IP, BULLET 2MP, IR, LENTE FIXA 2,8MM, IP 67 (RESISTENTE A POEIRA E AGUA) SENSOR 1/2.9" PROGRESSIVE SCAN CMOS, COR: 0.01 LUX @ (F2.2, AGC ON),B/W: 0 LUX COM IR; TEMPO DO OBTURADOR: 1/3 S TO 1/100,000 S, LUZ IR SUPLEMENTAR ATÉ 30M (COMPRIMENTO DE ONDA IR 850NM), PORTA 1 RJ45 10/100, ALIMENTAÇÃO POE: IEEE 802.3AF, CLASS 3, MAX. 6.5 W, CONDIÇÃO DE OPERAÇÃO DE TEMPERATURA -30 °C TO 60 °C E 95% DE HUMIDADE DO AR OU MENOS. REFERÊNCIA: HIKIVISION DS-2CD1021G0-I(2,8MM)FORNECIMENTO E INSTALAÇÃO </v>
      </c>
      <c r="D184" s="548"/>
      <c r="E184" s="134" t="s">
        <v>13</v>
      </c>
      <c r="F184" s="7">
        <f>'MC II'!F182</f>
        <v>8</v>
      </c>
      <c r="G184" s="10">
        <f>'COMP.CUSTO'!G109</f>
        <v>316.18666666666667</v>
      </c>
      <c r="H184" s="10">
        <f t="shared" si="54"/>
        <v>413.03464266666668</v>
      </c>
      <c r="I184" s="15">
        <f t="shared" si="55"/>
        <v>3304.2771413333335</v>
      </c>
      <c r="J184" s="285" t="s">
        <v>636</v>
      </c>
      <c r="K184" s="131"/>
      <c r="L184" s="98"/>
      <c r="N184" s="98"/>
    </row>
    <row r="185" spans="1:14" s="6" customFormat="1" ht="41.4" customHeight="1" x14ac:dyDescent="0.25">
      <c r="A185" s="45" t="s">
        <v>737</v>
      </c>
      <c r="B185" s="132" t="s">
        <v>965</v>
      </c>
      <c r="C185" s="547" t="str">
        <f>'COMP.CUSTO'!C116</f>
        <v xml:space="preserve">NVR 16 CANAIS IP, SUPORTE AOS PROTOCOLOS ONVIF (PROFILE S/G); SDK; ISAPI/ H.265+/H.265/H.264+/H.264, COM ANALÍTICO INTELIGENTE, DETECÇÃO FACIAL, SENSOR DE MOVIMENTO, PROTEÇÃO DE PERÍMETRO, SUPORTE PARA GRAVAÇÃO DE VÍDEO E AUDIO, CERTIFICAÇÃO FCC PART 15, ANSI C63.4-2014, CE, FCC, ROHS. COM 1 HD DE 6TB WD PURPLE,  REFERÊNCIA: HIKIVISION DS-7616NI-Q1(C)FORNECIMENTO E INSTALAÇÃO </v>
      </c>
      <c r="D185" s="548"/>
      <c r="E185" s="134" t="s">
        <v>13</v>
      </c>
      <c r="F185" s="7">
        <f>'MC II'!F183</f>
        <v>1</v>
      </c>
      <c r="G185" s="10">
        <f>'COMP.CUSTO'!G116</f>
        <v>1757.5766666666666</v>
      </c>
      <c r="H185" s="10">
        <f t="shared" si="54"/>
        <v>2295.9223996666665</v>
      </c>
      <c r="I185" s="15">
        <f t="shared" si="55"/>
        <v>2295.9223996666665</v>
      </c>
      <c r="J185" s="285" t="s">
        <v>636</v>
      </c>
      <c r="K185" s="131"/>
      <c r="L185" s="98"/>
      <c r="N185" s="98"/>
    </row>
    <row r="186" spans="1:14" s="6" customFormat="1" ht="30" customHeight="1" x14ac:dyDescent="0.25">
      <c r="A186" s="45" t="s">
        <v>946</v>
      </c>
      <c r="B186" s="132" t="s">
        <v>966</v>
      </c>
      <c r="C186" s="547" t="str">
        <f>'COMP.CUSTO'!C123</f>
        <v xml:space="preserve">ACCESS POINT DE PAREDE, MU-MIMO, WIRELESS AC1200, ALIMENTADO VIA POE, WI-FI DUAL BAND: SIMULTÂNEO 300 MBPS EM 2.4 GHZ E 867 MBPS EM 5 GHZ TOTAL 1167 MBPS. REF.:EAP225-WALL TP LINK FORNECIMENTO E INSTALAÇÃO </v>
      </c>
      <c r="D186" s="548"/>
      <c r="E186" s="134" t="s">
        <v>13</v>
      </c>
      <c r="F186" s="7">
        <f>'MC II'!F184</f>
        <v>1</v>
      </c>
      <c r="G186" s="10">
        <f>'COMP.CUSTO'!G123</f>
        <v>671.99166666666667</v>
      </c>
      <c r="H186" s="10">
        <f t="shared" si="54"/>
        <v>877.82271416666663</v>
      </c>
      <c r="I186" s="15">
        <f t="shared" si="55"/>
        <v>877.82271416666663</v>
      </c>
      <c r="J186" s="285" t="s">
        <v>636</v>
      </c>
      <c r="K186" s="131"/>
      <c r="L186" s="98"/>
      <c r="N186" s="98"/>
    </row>
    <row r="187" spans="1:14" s="6" customFormat="1" ht="18" customHeight="1" x14ac:dyDescent="0.25">
      <c r="A187" s="40">
        <v>15</v>
      </c>
      <c r="B187" s="36"/>
      <c r="C187" s="135" t="s">
        <v>601</v>
      </c>
      <c r="D187" s="136"/>
      <c r="E187" s="36"/>
      <c r="F187" s="36"/>
      <c r="G187" s="36"/>
      <c r="H187" s="36"/>
      <c r="I187" s="41">
        <f>SUM(I188:I203)</f>
        <v>18337.548617619996</v>
      </c>
      <c r="K187" s="131"/>
      <c r="L187" s="98"/>
      <c r="N187" s="98"/>
    </row>
    <row r="188" spans="1:14" s="6" customFormat="1" ht="30" customHeight="1" x14ac:dyDescent="0.25">
      <c r="A188" s="45" t="s">
        <v>592</v>
      </c>
      <c r="B188" s="132" t="s">
        <v>602</v>
      </c>
      <c r="C188" s="547" t="s">
        <v>604</v>
      </c>
      <c r="D188" s="548"/>
      <c r="E188" s="133" t="s">
        <v>12</v>
      </c>
      <c r="F188" s="7">
        <f>'MC II'!F186</f>
        <v>90</v>
      </c>
      <c r="G188" s="10">
        <v>45.84</v>
      </c>
      <c r="H188" s="10">
        <f t="shared" ref="H188:H203" si="56">G188*$I$5+G188</f>
        <v>59.880792000000007</v>
      </c>
      <c r="I188" s="15">
        <f t="shared" ref="I188:I203" si="57">F188*H188</f>
        <v>5389.2712800000008</v>
      </c>
      <c r="J188" s="285" t="s">
        <v>636</v>
      </c>
      <c r="K188" s="131"/>
      <c r="L188" s="98"/>
      <c r="N188" s="98"/>
    </row>
    <row r="189" spans="1:14" s="6" customFormat="1" ht="19.8" customHeight="1" x14ac:dyDescent="0.25">
      <c r="A189" s="45" t="s">
        <v>593</v>
      </c>
      <c r="B189" s="44" t="s">
        <v>933</v>
      </c>
      <c r="C189" s="547" t="s">
        <v>934</v>
      </c>
      <c r="D189" s="548"/>
      <c r="E189" s="134" t="s">
        <v>13</v>
      </c>
      <c r="F189" s="7">
        <f>'MC II'!F187</f>
        <v>90</v>
      </c>
      <c r="G189" s="10">
        <v>2.83</v>
      </c>
      <c r="H189" s="10">
        <f t="shared" si="56"/>
        <v>3.6968290000000001</v>
      </c>
      <c r="I189" s="15">
        <f t="shared" si="57"/>
        <v>332.71460999999999</v>
      </c>
      <c r="J189" s="285" t="s">
        <v>636</v>
      </c>
      <c r="K189" s="131"/>
      <c r="L189" s="98"/>
      <c r="N189" s="98"/>
    </row>
    <row r="190" spans="1:14" s="6" customFormat="1" ht="30" customHeight="1" x14ac:dyDescent="0.25">
      <c r="A190" s="45" t="s">
        <v>594</v>
      </c>
      <c r="B190" s="132" t="s">
        <v>603</v>
      </c>
      <c r="C190" s="547" t="s">
        <v>605</v>
      </c>
      <c r="D190" s="548"/>
      <c r="E190" s="133" t="s">
        <v>12</v>
      </c>
      <c r="F190" s="7">
        <f>'MC II'!F188</f>
        <v>77</v>
      </c>
      <c r="G190" s="10">
        <v>58.76</v>
      </c>
      <c r="H190" s="10">
        <f t="shared" si="56"/>
        <v>76.75818799999999</v>
      </c>
      <c r="I190" s="15">
        <f t="shared" si="57"/>
        <v>5910.3804759999994</v>
      </c>
      <c r="J190" s="285" t="s">
        <v>636</v>
      </c>
      <c r="K190" s="131"/>
      <c r="L190" s="98"/>
      <c r="N190" s="98"/>
    </row>
    <row r="191" spans="1:14" s="6" customFormat="1" ht="19.8" customHeight="1" x14ac:dyDescent="0.25">
      <c r="A191" s="45" t="s">
        <v>595</v>
      </c>
      <c r="B191" s="44" t="s">
        <v>935</v>
      </c>
      <c r="C191" s="547" t="s">
        <v>936</v>
      </c>
      <c r="D191" s="548"/>
      <c r="E191" s="134" t="s">
        <v>13</v>
      </c>
      <c r="F191" s="7">
        <f>'MC II'!F189</f>
        <v>77</v>
      </c>
      <c r="G191" s="10">
        <v>1.06</v>
      </c>
      <c r="H191" s="10">
        <f t="shared" si="56"/>
        <v>1.3846780000000001</v>
      </c>
      <c r="I191" s="15">
        <f t="shared" si="57"/>
        <v>106.62020600000001</v>
      </c>
      <c r="J191" s="285" t="s">
        <v>636</v>
      </c>
      <c r="K191" s="131"/>
      <c r="L191" s="98"/>
      <c r="N191" s="98"/>
    </row>
    <row r="192" spans="1:14" s="6" customFormat="1" ht="30" customHeight="1" x14ac:dyDescent="0.25">
      <c r="A192" s="45" t="s">
        <v>596</v>
      </c>
      <c r="B192" s="132" t="s">
        <v>485</v>
      </c>
      <c r="C192" s="547" t="s">
        <v>486</v>
      </c>
      <c r="D192" s="548"/>
      <c r="E192" s="133" t="s">
        <v>12</v>
      </c>
      <c r="F192" s="7">
        <f>'MC II'!F190</f>
        <v>13</v>
      </c>
      <c r="G192" s="10">
        <v>18.239999999999998</v>
      </c>
      <c r="H192" s="10">
        <f t="shared" si="56"/>
        <v>23.826912</v>
      </c>
      <c r="I192" s="15">
        <f t="shared" si="57"/>
        <v>309.74985600000002</v>
      </c>
      <c r="J192" s="285" t="s">
        <v>636</v>
      </c>
      <c r="K192" s="131"/>
      <c r="L192" s="98"/>
      <c r="N192" s="98"/>
    </row>
    <row r="193" spans="1:14" s="6" customFormat="1" ht="19.8" customHeight="1" x14ac:dyDescent="0.25">
      <c r="A193" s="45" t="s">
        <v>597</v>
      </c>
      <c r="B193" s="44" t="s">
        <v>937</v>
      </c>
      <c r="C193" s="547" t="s">
        <v>938</v>
      </c>
      <c r="D193" s="548"/>
      <c r="E193" s="134" t="s">
        <v>13</v>
      </c>
      <c r="F193" s="7">
        <f>'MC II'!F191</f>
        <v>13</v>
      </c>
      <c r="G193" s="10">
        <v>1.83</v>
      </c>
      <c r="H193" s="10">
        <f t="shared" si="56"/>
        <v>2.3905289999999999</v>
      </c>
      <c r="I193" s="15">
        <f t="shared" si="57"/>
        <v>31.076877</v>
      </c>
      <c r="J193" s="285" t="s">
        <v>636</v>
      </c>
      <c r="K193" s="131"/>
      <c r="L193" s="98"/>
      <c r="N193" s="98"/>
    </row>
    <row r="194" spans="1:14" s="6" customFormat="1" ht="19.8" customHeight="1" x14ac:dyDescent="0.25">
      <c r="A194" s="45" t="s">
        <v>598</v>
      </c>
      <c r="B194" s="44" t="s">
        <v>607</v>
      </c>
      <c r="C194" s="547" t="s">
        <v>606</v>
      </c>
      <c r="D194" s="548"/>
      <c r="E194" s="134" t="s">
        <v>13</v>
      </c>
      <c r="F194" s="7">
        <f>'MC II'!F192</f>
        <v>16</v>
      </c>
      <c r="G194" s="10">
        <v>27.74</v>
      </c>
      <c r="H194" s="10">
        <f t="shared" si="56"/>
        <v>36.236761999999999</v>
      </c>
      <c r="I194" s="15">
        <f t="shared" si="57"/>
        <v>579.78819199999998</v>
      </c>
      <c r="J194" s="285" t="s">
        <v>636</v>
      </c>
      <c r="K194" s="131"/>
      <c r="L194" s="98"/>
      <c r="N194" s="98"/>
    </row>
    <row r="195" spans="1:14" s="6" customFormat="1" ht="19.8" customHeight="1" x14ac:dyDescent="0.25">
      <c r="A195" s="45" t="s">
        <v>599</v>
      </c>
      <c r="B195" s="44" t="s">
        <v>927</v>
      </c>
      <c r="C195" s="547" t="s">
        <v>928</v>
      </c>
      <c r="D195" s="548"/>
      <c r="E195" s="134" t="s">
        <v>13</v>
      </c>
      <c r="F195" s="7">
        <f>'MC II'!F193</f>
        <v>48</v>
      </c>
      <c r="G195" s="10">
        <v>0.3</v>
      </c>
      <c r="H195" s="10">
        <f t="shared" si="56"/>
        <v>0.39188999999999996</v>
      </c>
      <c r="I195" s="15">
        <f t="shared" si="57"/>
        <v>18.810719999999996</v>
      </c>
      <c r="J195" s="285" t="s">
        <v>636</v>
      </c>
      <c r="K195" s="131"/>
      <c r="L195" s="98"/>
      <c r="N195" s="98"/>
    </row>
    <row r="196" spans="1:14" s="6" customFormat="1" ht="19.8" customHeight="1" x14ac:dyDescent="0.25">
      <c r="A196" s="45" t="s">
        <v>600</v>
      </c>
      <c r="B196" s="44" t="s">
        <v>929</v>
      </c>
      <c r="C196" s="547" t="s">
        <v>930</v>
      </c>
      <c r="D196" s="548"/>
      <c r="E196" s="134" t="s">
        <v>13</v>
      </c>
      <c r="F196" s="7">
        <f>'MC II'!F194</f>
        <v>48</v>
      </c>
      <c r="G196" s="10">
        <v>0.36</v>
      </c>
      <c r="H196" s="10">
        <f t="shared" si="56"/>
        <v>0.47026800000000002</v>
      </c>
      <c r="I196" s="15">
        <f t="shared" si="57"/>
        <v>22.572864000000003</v>
      </c>
      <c r="J196" s="285" t="s">
        <v>636</v>
      </c>
      <c r="K196" s="131"/>
      <c r="L196" s="98"/>
      <c r="N196" s="98"/>
    </row>
    <row r="197" spans="1:14" s="6" customFormat="1" ht="19.8" customHeight="1" x14ac:dyDescent="0.25">
      <c r="A197" s="45" t="s">
        <v>926</v>
      </c>
      <c r="B197" s="44" t="s">
        <v>609</v>
      </c>
      <c r="C197" s="547" t="s">
        <v>608</v>
      </c>
      <c r="D197" s="548"/>
      <c r="E197" s="134" t="s">
        <v>13</v>
      </c>
      <c r="F197" s="7">
        <f>'MC II'!F195</f>
        <v>9</v>
      </c>
      <c r="G197" s="10">
        <v>262.49</v>
      </c>
      <c r="H197" s="10">
        <f t="shared" si="56"/>
        <v>342.89068700000001</v>
      </c>
      <c r="I197" s="15">
        <f t="shared" si="57"/>
        <v>3086.0161830000002</v>
      </c>
      <c r="J197" s="285" t="s">
        <v>636</v>
      </c>
      <c r="K197" s="131"/>
      <c r="L197" s="98"/>
      <c r="N197" s="98"/>
    </row>
    <row r="198" spans="1:14" s="6" customFormat="1" ht="30" customHeight="1" x14ac:dyDescent="0.25">
      <c r="A198" s="45" t="s">
        <v>931</v>
      </c>
      <c r="B198" s="132" t="s">
        <v>613</v>
      </c>
      <c r="C198" s="547" t="s">
        <v>612</v>
      </c>
      <c r="D198" s="548"/>
      <c r="E198" s="133" t="s">
        <v>13</v>
      </c>
      <c r="F198" s="7">
        <f>'MC II'!F196</f>
        <v>9</v>
      </c>
      <c r="G198" s="10">
        <v>130.47</v>
      </c>
      <c r="H198" s="10">
        <f t="shared" si="56"/>
        <v>170.43296100000001</v>
      </c>
      <c r="I198" s="15">
        <f t="shared" si="57"/>
        <v>1533.896649</v>
      </c>
      <c r="J198" s="285" t="s">
        <v>636</v>
      </c>
      <c r="K198" s="131"/>
      <c r="L198" s="98"/>
      <c r="N198" s="98"/>
    </row>
    <row r="199" spans="1:14" s="6" customFormat="1" ht="30" customHeight="1" x14ac:dyDescent="0.25">
      <c r="A199" s="45" t="s">
        <v>932</v>
      </c>
      <c r="B199" s="350" t="s">
        <v>924</v>
      </c>
      <c r="C199" s="547" t="s">
        <v>925</v>
      </c>
      <c r="D199" s="548"/>
      <c r="E199" s="133" t="s">
        <v>13</v>
      </c>
      <c r="F199" s="7">
        <f>'MC II'!F197</f>
        <v>9</v>
      </c>
      <c r="G199" s="10">
        <v>14.02</v>
      </c>
      <c r="H199" s="10">
        <f t="shared" si="56"/>
        <v>18.314326000000001</v>
      </c>
      <c r="I199" s="15">
        <f t="shared" si="57"/>
        <v>164.828934</v>
      </c>
      <c r="J199" s="285" t="s">
        <v>636</v>
      </c>
      <c r="K199" s="131"/>
      <c r="L199" s="98"/>
      <c r="N199" s="98"/>
    </row>
    <row r="200" spans="1:14" s="6" customFormat="1" ht="19.8" customHeight="1" x14ac:dyDescent="0.25">
      <c r="A200" s="45" t="s">
        <v>939</v>
      </c>
      <c r="B200" s="44" t="s">
        <v>611</v>
      </c>
      <c r="C200" s="547" t="s">
        <v>614</v>
      </c>
      <c r="D200" s="548"/>
      <c r="E200" s="134" t="s">
        <v>13</v>
      </c>
      <c r="F200" s="7">
        <f>'MC II'!F198</f>
        <v>5</v>
      </c>
      <c r="G200" s="10">
        <v>34.17</v>
      </c>
      <c r="H200" s="10">
        <f t="shared" si="56"/>
        <v>44.636271000000001</v>
      </c>
      <c r="I200" s="15">
        <f t="shared" si="57"/>
        <v>223.181355</v>
      </c>
      <c r="J200" s="285" t="s">
        <v>636</v>
      </c>
      <c r="K200" s="131"/>
      <c r="L200" s="98"/>
      <c r="N200" s="98"/>
    </row>
    <row r="201" spans="1:14" s="6" customFormat="1" ht="19.8" customHeight="1" x14ac:dyDescent="0.25">
      <c r="A201" s="45" t="s">
        <v>940</v>
      </c>
      <c r="B201" s="44" t="s">
        <v>610</v>
      </c>
      <c r="C201" s="547" t="s">
        <v>615</v>
      </c>
      <c r="D201" s="548"/>
      <c r="E201" s="134" t="s">
        <v>13</v>
      </c>
      <c r="F201" s="7">
        <f>'MC II'!F199</f>
        <v>4</v>
      </c>
      <c r="G201" s="10">
        <v>20.23</v>
      </c>
      <c r="H201" s="10">
        <f t="shared" si="56"/>
        <v>26.426449000000002</v>
      </c>
      <c r="I201" s="15">
        <f t="shared" si="57"/>
        <v>105.70579600000001</v>
      </c>
      <c r="J201" s="285" t="s">
        <v>636</v>
      </c>
      <c r="K201" s="131"/>
      <c r="L201" s="98"/>
      <c r="N201" s="98"/>
    </row>
    <row r="202" spans="1:14" s="6" customFormat="1" ht="19.8" customHeight="1" x14ac:dyDescent="0.25">
      <c r="A202" s="45" t="s">
        <v>941</v>
      </c>
      <c r="B202" s="44" t="s">
        <v>616</v>
      </c>
      <c r="C202" s="547" t="s">
        <v>617</v>
      </c>
      <c r="D202" s="548"/>
      <c r="E202" s="134" t="s">
        <v>13</v>
      </c>
      <c r="F202" s="7">
        <f>'MC II'!F200</f>
        <v>1</v>
      </c>
      <c r="G202" s="10">
        <v>326.64</v>
      </c>
      <c r="H202" s="10">
        <f t="shared" si="56"/>
        <v>426.68983199999997</v>
      </c>
      <c r="I202" s="15">
        <f t="shared" si="57"/>
        <v>426.68983199999997</v>
      </c>
      <c r="J202" s="285" t="s">
        <v>636</v>
      </c>
      <c r="K202" s="131"/>
      <c r="L202" s="98"/>
      <c r="N202" s="98"/>
    </row>
    <row r="203" spans="1:14" s="6" customFormat="1" ht="30" customHeight="1" x14ac:dyDescent="0.25">
      <c r="A203" s="45" t="s">
        <v>944</v>
      </c>
      <c r="B203" s="350" t="s">
        <v>942</v>
      </c>
      <c r="C203" s="547" t="s">
        <v>943</v>
      </c>
      <c r="D203" s="548"/>
      <c r="E203" s="134" t="s">
        <v>13</v>
      </c>
      <c r="F203" s="7">
        <f>'MC II'!F201</f>
        <v>2</v>
      </c>
      <c r="G203" s="10">
        <v>36.838700000000003</v>
      </c>
      <c r="H203" s="10">
        <f t="shared" si="56"/>
        <v>48.122393810000005</v>
      </c>
      <c r="I203" s="15">
        <f t="shared" si="57"/>
        <v>96.244787620000011</v>
      </c>
      <c r="J203" s="285" t="s">
        <v>636</v>
      </c>
      <c r="K203" s="131"/>
      <c r="L203" s="98"/>
      <c r="N203" s="98"/>
    </row>
    <row r="204" spans="1:14" s="6" customFormat="1" ht="18" customHeight="1" x14ac:dyDescent="0.25">
      <c r="A204" s="40">
        <v>16</v>
      </c>
      <c r="B204" s="36"/>
      <c r="C204" s="135" t="s">
        <v>76</v>
      </c>
      <c r="D204" s="136"/>
      <c r="E204" s="36"/>
      <c r="F204" s="36"/>
      <c r="G204" s="36"/>
      <c r="H204" s="36"/>
      <c r="I204" s="41">
        <f>SUM(I205:I206)</f>
        <v>5156.5530641333344</v>
      </c>
      <c r="K204" s="131"/>
      <c r="L204" s="98"/>
      <c r="N204" s="98"/>
    </row>
    <row r="205" spans="1:14" s="6" customFormat="1" ht="19.8" customHeight="1" x14ac:dyDescent="0.25">
      <c r="A205" s="45" t="s">
        <v>618</v>
      </c>
      <c r="B205" s="44" t="s">
        <v>43</v>
      </c>
      <c r="C205" s="547" t="s">
        <v>82</v>
      </c>
      <c r="D205" s="548"/>
      <c r="E205" s="134" t="s">
        <v>42</v>
      </c>
      <c r="F205" s="7">
        <f>'MC II'!F203</f>
        <v>1</v>
      </c>
      <c r="G205" s="10">
        <v>1110.8900000000001</v>
      </c>
      <c r="H205" s="10">
        <f>G205*$I$5+G205</f>
        <v>1451.1556070000001</v>
      </c>
      <c r="I205" s="15">
        <f>F205*H205</f>
        <v>1451.1556070000001</v>
      </c>
      <c r="J205" s="285" t="s">
        <v>636</v>
      </c>
      <c r="K205" s="131"/>
      <c r="L205" s="98"/>
      <c r="N205" s="98"/>
    </row>
    <row r="206" spans="1:14" s="6" customFormat="1" ht="19.8" customHeight="1" thickBot="1" x14ac:dyDescent="0.3">
      <c r="A206" s="45" t="s">
        <v>690</v>
      </c>
      <c r="B206" s="44" t="s">
        <v>980</v>
      </c>
      <c r="C206" s="547" t="str">
        <f>'COMP.CUSTO'!C130</f>
        <v xml:space="preserve">LETRA CAIXA EM AÇO ESCOVADO, DIMENSÃO 25CM, INCLUSIVE ILUMINAÇÃO EM LED FORNECIMENTO E INSTALAÇÃO </v>
      </c>
      <c r="D206" s="548"/>
      <c r="E206" s="134" t="s">
        <v>13</v>
      </c>
      <c r="F206" s="7">
        <f>'MC II'!F204</f>
        <v>23</v>
      </c>
      <c r="G206" s="10">
        <f>'COMP.CUSTO'!G130</f>
        <v>123.32866666666668</v>
      </c>
      <c r="H206" s="10">
        <f>G206*$I$5+G206</f>
        <v>161.1042372666667</v>
      </c>
      <c r="I206" s="15">
        <f>F206*H206</f>
        <v>3705.3974571333342</v>
      </c>
      <c r="J206" s="285" t="s">
        <v>636</v>
      </c>
      <c r="K206" s="131"/>
      <c r="L206" s="98"/>
      <c r="N206" s="98"/>
    </row>
    <row r="207" spans="1:14" ht="18" customHeight="1" thickBot="1" x14ac:dyDescent="0.3">
      <c r="A207" s="590" t="s">
        <v>29</v>
      </c>
      <c r="B207" s="591"/>
      <c r="C207" s="591"/>
      <c r="D207" s="591"/>
      <c r="E207" s="591"/>
      <c r="F207" s="591"/>
      <c r="G207" s="591"/>
      <c r="H207" s="591"/>
      <c r="I207" s="46">
        <f>I9+I14</f>
        <v>569250.42546462256</v>
      </c>
      <c r="J207" s="13">
        <v>569250.43000000005</v>
      </c>
    </row>
    <row r="208" spans="1:14" ht="13.8" customHeight="1" x14ac:dyDescent="0.25">
      <c r="A208" s="594"/>
      <c r="B208" s="595"/>
      <c r="C208" s="595"/>
      <c r="D208" s="595"/>
      <c r="E208" s="595"/>
      <c r="F208" s="595"/>
      <c r="G208" s="595"/>
      <c r="H208" s="595"/>
      <c r="I208" s="596"/>
    </row>
    <row r="209" spans="1:9" ht="11.25" customHeight="1" x14ac:dyDescent="0.25">
      <c r="A209" s="78"/>
      <c r="B209" s="593"/>
      <c r="C209" s="593"/>
      <c r="D209" s="74"/>
      <c r="E209" s="1"/>
      <c r="F209" s="597"/>
      <c r="G209" s="597"/>
      <c r="H209" s="11"/>
      <c r="I209" s="79"/>
    </row>
    <row r="210" spans="1:9" x14ac:dyDescent="0.25">
      <c r="A210" s="80"/>
      <c r="B210" s="8" t="s">
        <v>8</v>
      </c>
      <c r="C210" s="8"/>
      <c r="D210" s="8"/>
      <c r="E210" s="2"/>
      <c r="F210" s="592" t="s">
        <v>6</v>
      </c>
      <c r="G210" s="592"/>
      <c r="H210" s="12"/>
      <c r="I210" s="81"/>
    </row>
    <row r="211" spans="1:9" x14ac:dyDescent="0.25">
      <c r="A211" s="82"/>
      <c r="I211" s="83"/>
    </row>
    <row r="212" spans="1:9" ht="4.8" customHeight="1" x14ac:dyDescent="0.25">
      <c r="A212" s="78"/>
      <c r="B212" s="593"/>
      <c r="C212" s="593"/>
      <c r="D212" s="74"/>
      <c r="E212" s="1"/>
      <c r="F212" s="593"/>
      <c r="G212" s="593"/>
      <c r="H212" s="11"/>
      <c r="I212" s="79"/>
    </row>
    <row r="213" spans="1:9" x14ac:dyDescent="0.25">
      <c r="A213" s="80"/>
      <c r="B213" s="8" t="s">
        <v>11</v>
      </c>
      <c r="C213" s="8"/>
      <c r="D213" s="5"/>
      <c r="E213" s="2"/>
      <c r="F213" s="592"/>
      <c r="G213" s="592"/>
      <c r="H213" s="12"/>
      <c r="I213" s="81"/>
    </row>
    <row r="214" spans="1:9" ht="11.25" customHeight="1" x14ac:dyDescent="0.25">
      <c r="A214" s="82"/>
      <c r="I214" s="83"/>
    </row>
    <row r="215" spans="1:9" ht="9.6" customHeight="1" x14ac:dyDescent="0.25">
      <c r="A215" s="82"/>
      <c r="I215" s="83"/>
    </row>
    <row r="216" spans="1:9" ht="14.1" customHeight="1" thickBot="1" x14ac:dyDescent="0.3">
      <c r="A216" s="84"/>
      <c r="B216" s="85"/>
      <c r="C216" s="85"/>
      <c r="D216" s="85"/>
      <c r="E216" s="85"/>
      <c r="F216" s="85"/>
      <c r="G216" s="86"/>
      <c r="H216" s="86"/>
      <c r="I216" s="87"/>
    </row>
  </sheetData>
  <mergeCells count="206">
    <mergeCell ref="C193:D193"/>
    <mergeCell ref="C148:D148"/>
    <mergeCell ref="C149:D149"/>
    <mergeCell ref="C152:D152"/>
    <mergeCell ref="C156:D156"/>
    <mergeCell ref="C153:D153"/>
    <mergeCell ref="C179:D179"/>
    <mergeCell ref="C183:D183"/>
    <mergeCell ref="C184:D184"/>
    <mergeCell ref="C185:D185"/>
    <mergeCell ref="C154:D154"/>
    <mergeCell ref="C163:D163"/>
    <mergeCell ref="C165:D165"/>
    <mergeCell ref="C159:D159"/>
    <mergeCell ref="C164:D164"/>
    <mergeCell ref="C150:D150"/>
    <mergeCell ref="C167:D167"/>
    <mergeCell ref="C168:D168"/>
    <mergeCell ref="C114:D114"/>
    <mergeCell ref="C67:D67"/>
    <mergeCell ref="C109:D109"/>
    <mergeCell ref="C110:D110"/>
    <mergeCell ref="C77:D77"/>
    <mergeCell ref="C106:D106"/>
    <mergeCell ref="C107:D107"/>
    <mergeCell ref="C36:D36"/>
    <mergeCell ref="C37:D37"/>
    <mergeCell ref="C71:D71"/>
    <mergeCell ref="C70:D70"/>
    <mergeCell ref="C65:D65"/>
    <mergeCell ref="C39:D39"/>
    <mergeCell ref="C41:D41"/>
    <mergeCell ref="C42:D42"/>
    <mergeCell ref="C78:D78"/>
    <mergeCell ref="C101:D101"/>
    <mergeCell ref="C102:D102"/>
    <mergeCell ref="C103:D103"/>
    <mergeCell ref="C58:D58"/>
    <mergeCell ref="C69:D69"/>
    <mergeCell ref="C76:D76"/>
    <mergeCell ref="C75:D75"/>
    <mergeCell ref="C116:D116"/>
    <mergeCell ref="C24:D24"/>
    <mergeCell ref="C25:D25"/>
    <mergeCell ref="C26:D26"/>
    <mergeCell ref="C145:D145"/>
    <mergeCell ref="C38:D38"/>
    <mergeCell ref="C113:D113"/>
    <mergeCell ref="C22:D22"/>
    <mergeCell ref="C118:D118"/>
    <mergeCell ref="C119:D119"/>
    <mergeCell ref="C48:D48"/>
    <mergeCell ref="C124:D124"/>
    <mergeCell ref="C134:D134"/>
    <mergeCell ref="C83:D83"/>
    <mergeCell ref="C84:D84"/>
    <mergeCell ref="C85:D85"/>
    <mergeCell ref="C53:D53"/>
    <mergeCell ref="C61:D61"/>
    <mergeCell ref="C62:D62"/>
    <mergeCell ref="C137:D137"/>
    <mergeCell ref="C139:D139"/>
    <mergeCell ref="C133:D133"/>
    <mergeCell ref="C135:D135"/>
    <mergeCell ref="C86:D86"/>
    <mergeCell ref="C136:D136"/>
    <mergeCell ref="C127:D127"/>
    <mergeCell ref="C128:D128"/>
    <mergeCell ref="C79:D79"/>
    <mergeCell ref="C97:D97"/>
    <mergeCell ref="C89:D89"/>
    <mergeCell ref="C129:D129"/>
    <mergeCell ref="C130:D130"/>
    <mergeCell ref="C147:D147"/>
    <mergeCell ref="C132:D132"/>
    <mergeCell ref="C126:D126"/>
    <mergeCell ref="C122:D122"/>
    <mergeCell ref="C141:D141"/>
    <mergeCell ref="C117:D117"/>
    <mergeCell ref="C120:D120"/>
    <mergeCell ref="C108:D108"/>
    <mergeCell ref="C140:D140"/>
    <mergeCell ref="C125:D125"/>
    <mergeCell ref="C104:D104"/>
    <mergeCell ref="C123:D123"/>
    <mergeCell ref="C138:D138"/>
    <mergeCell ref="C98:D98"/>
    <mergeCell ref="C99:D99"/>
    <mergeCell ref="C115:D115"/>
    <mergeCell ref="F213:G213"/>
    <mergeCell ref="B212:C212"/>
    <mergeCell ref="F210:G210"/>
    <mergeCell ref="A208:I208"/>
    <mergeCell ref="F209:G209"/>
    <mergeCell ref="F212:G212"/>
    <mergeCell ref="B209:C209"/>
    <mergeCell ref="C142:D142"/>
    <mergeCell ref="C143:D143"/>
    <mergeCell ref="C144:D144"/>
    <mergeCell ref="C146:D146"/>
    <mergeCell ref="C206:D206"/>
    <mergeCell ref="C157:D157"/>
    <mergeCell ref="C161:D161"/>
    <mergeCell ref="C202:D202"/>
    <mergeCell ref="C205:D205"/>
    <mergeCell ref="C192:D192"/>
    <mergeCell ref="C158:D158"/>
    <mergeCell ref="C162:D162"/>
    <mergeCell ref="C194:D194"/>
    <mergeCell ref="C155:D155"/>
    <mergeCell ref="C177:D177"/>
    <mergeCell ref="C199:D199"/>
    <mergeCell ref="C195:D195"/>
    <mergeCell ref="A207:H207"/>
    <mergeCell ref="C173:D173"/>
    <mergeCell ref="C169:D169"/>
    <mergeCell ref="C170:D170"/>
    <mergeCell ref="C197:D197"/>
    <mergeCell ref="C198:D198"/>
    <mergeCell ref="C200:D200"/>
    <mergeCell ref="C201:D201"/>
    <mergeCell ref="C174:D174"/>
    <mergeCell ref="C175:D175"/>
    <mergeCell ref="C176:D176"/>
    <mergeCell ref="C178:D178"/>
    <mergeCell ref="C180:D180"/>
    <mergeCell ref="C181:D181"/>
    <mergeCell ref="C182:D182"/>
    <mergeCell ref="C188:D188"/>
    <mergeCell ref="C171:D171"/>
    <mergeCell ref="C190:D190"/>
    <mergeCell ref="C186:D186"/>
    <mergeCell ref="C172:D172"/>
    <mergeCell ref="C196:D196"/>
    <mergeCell ref="C203:D203"/>
    <mergeCell ref="C189:D189"/>
    <mergeCell ref="C191:D191"/>
    <mergeCell ref="C100:D100"/>
    <mergeCell ref="C46:D46"/>
    <mergeCell ref="C50:D50"/>
    <mergeCell ref="C51:D51"/>
    <mergeCell ref="C52:D52"/>
    <mergeCell ref="C54:D54"/>
    <mergeCell ref="C49:D49"/>
    <mergeCell ref="C95:D95"/>
    <mergeCell ref="C96:D96"/>
    <mergeCell ref="C68:D68"/>
    <mergeCell ref="C88:D88"/>
    <mergeCell ref="C55:D55"/>
    <mergeCell ref="C56:D56"/>
    <mergeCell ref="C59:D59"/>
    <mergeCell ref="C60:D60"/>
    <mergeCell ref="C80:D80"/>
    <mergeCell ref="C81:D81"/>
    <mergeCell ref="C82:D82"/>
    <mergeCell ref="C93:D93"/>
    <mergeCell ref="C74:D74"/>
    <mergeCell ref="C73:D73"/>
    <mergeCell ref="C72:D72"/>
    <mergeCell ref="C87:D87"/>
    <mergeCell ref="C112:D112"/>
    <mergeCell ref="C90:D90"/>
    <mergeCell ref="C91:D91"/>
    <mergeCell ref="C92:D92"/>
    <mergeCell ref="C94:D94"/>
    <mergeCell ref="A1:I1"/>
    <mergeCell ref="H3:I3"/>
    <mergeCell ref="A4:E4"/>
    <mergeCell ref="F2:I2"/>
    <mergeCell ref="A2:E2"/>
    <mergeCell ref="A3:E3"/>
    <mergeCell ref="F3:G3"/>
    <mergeCell ref="H5:H6"/>
    <mergeCell ref="I5:I6"/>
    <mergeCell ref="G5:G6"/>
    <mergeCell ref="C13:D13"/>
    <mergeCell ref="C16:D16"/>
    <mergeCell ref="A7:I7"/>
    <mergeCell ref="A6:E6"/>
    <mergeCell ref="A5:E5"/>
    <mergeCell ref="F5:F6"/>
    <mergeCell ref="C10:D10"/>
    <mergeCell ref="C63:D63"/>
    <mergeCell ref="C64:D64"/>
    <mergeCell ref="C43:D43"/>
    <mergeCell ref="C44:D44"/>
    <mergeCell ref="C45:D45"/>
    <mergeCell ref="C57:D57"/>
    <mergeCell ref="C21:D21"/>
    <mergeCell ref="C47:D47"/>
    <mergeCell ref="C8:D8"/>
    <mergeCell ref="C14:D14"/>
    <mergeCell ref="C20:D20"/>
    <mergeCell ref="C17:D17"/>
    <mergeCell ref="C11:D11"/>
    <mergeCell ref="C12:D12"/>
    <mergeCell ref="C9:D9"/>
    <mergeCell ref="C40:D40"/>
    <mergeCell ref="C28:D28"/>
    <mergeCell ref="C31:D31"/>
    <mergeCell ref="C19:D19"/>
    <mergeCell ref="C27:D27"/>
    <mergeCell ref="C34:D34"/>
    <mergeCell ref="C32:D32"/>
    <mergeCell ref="C33:D33"/>
    <mergeCell ref="C29:D29"/>
  </mergeCells>
  <phoneticPr fontId="7" type="noConversion"/>
  <printOptions horizontalCentered="1"/>
  <pageMargins left="0" right="0" top="0.19685039370078741" bottom="0" header="0" footer="0"/>
  <pageSetup paperSize="9" scale="72" orientation="landscape" r:id="rId1"/>
  <headerFooter alignWithMargins="0"/>
  <rowBreaks count="6" manualBreakCount="6">
    <brk id="34" max="8" man="1"/>
    <brk id="65" max="8" man="1"/>
    <brk id="98" max="8" man="1"/>
    <brk id="130" max="8" man="1"/>
    <brk id="159" max="8" man="1"/>
    <brk id="186"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4"/>
  <sheetViews>
    <sheetView view="pageBreakPreview" topLeftCell="A196" zoomScale="80" zoomScaleNormal="100" zoomScaleSheetLayoutView="80" workbookViewId="0">
      <selection activeCell="C212" sqref="C212"/>
    </sheetView>
  </sheetViews>
  <sheetFormatPr defaultRowHeight="13.2" x14ac:dyDescent="0.25"/>
  <cols>
    <col min="1" max="1" width="5.44140625" style="49" bestFit="1" customWidth="1"/>
    <col min="2" max="2" width="17.109375" style="49" customWidth="1"/>
    <col min="3" max="3" width="24.109375" style="49" customWidth="1"/>
    <col min="4" max="4" width="74.21875" style="49" customWidth="1"/>
    <col min="5" max="5" width="10.109375" style="49" customWidth="1"/>
    <col min="6" max="6" width="15.6640625" style="49" customWidth="1"/>
    <col min="7" max="7" width="59.21875" style="49" customWidth="1"/>
    <col min="8" max="8" width="8.88671875" style="49"/>
    <col min="9" max="9" width="65.33203125" style="49" customWidth="1"/>
    <col min="10" max="256" width="8.88671875" style="49"/>
    <col min="257" max="257" width="5.44140625" style="49" bestFit="1" customWidth="1"/>
    <col min="258" max="258" width="17.109375" style="49" customWidth="1"/>
    <col min="259" max="259" width="24.109375" style="49" customWidth="1"/>
    <col min="260" max="260" width="104.33203125" style="49" customWidth="1"/>
    <col min="261" max="261" width="10.109375" style="49" customWidth="1"/>
    <col min="262" max="262" width="15.6640625" style="49" customWidth="1"/>
    <col min="263" max="263" width="83" style="49" customWidth="1"/>
    <col min="264" max="264" width="8.88671875" style="49"/>
    <col min="265" max="265" width="65.33203125" style="49" customWidth="1"/>
    <col min="266" max="512" width="8.88671875" style="49"/>
    <col min="513" max="513" width="5.44140625" style="49" bestFit="1" customWidth="1"/>
    <col min="514" max="514" width="17.109375" style="49" customWidth="1"/>
    <col min="515" max="515" width="24.109375" style="49" customWidth="1"/>
    <col min="516" max="516" width="104.33203125" style="49" customWidth="1"/>
    <col min="517" max="517" width="10.109375" style="49" customWidth="1"/>
    <col min="518" max="518" width="15.6640625" style="49" customWidth="1"/>
    <col min="519" max="519" width="83" style="49" customWidth="1"/>
    <col min="520" max="520" width="8.88671875" style="49"/>
    <col min="521" max="521" width="65.33203125" style="49" customWidth="1"/>
    <col min="522" max="768" width="8.88671875" style="49"/>
    <col min="769" max="769" width="5.44140625" style="49" bestFit="1" customWidth="1"/>
    <col min="770" max="770" width="17.109375" style="49" customWidth="1"/>
    <col min="771" max="771" width="24.109375" style="49" customWidth="1"/>
    <col min="772" max="772" width="104.33203125" style="49" customWidth="1"/>
    <col min="773" max="773" width="10.109375" style="49" customWidth="1"/>
    <col min="774" max="774" width="15.6640625" style="49" customWidth="1"/>
    <col min="775" max="775" width="83" style="49" customWidth="1"/>
    <col min="776" max="776" width="8.88671875" style="49"/>
    <col min="777" max="777" width="65.33203125" style="49" customWidth="1"/>
    <col min="778" max="1024" width="8.88671875" style="49"/>
    <col min="1025" max="1025" width="5.44140625" style="49" bestFit="1" customWidth="1"/>
    <col min="1026" max="1026" width="17.109375" style="49" customWidth="1"/>
    <col min="1027" max="1027" width="24.109375" style="49" customWidth="1"/>
    <col min="1028" max="1028" width="104.33203125" style="49" customWidth="1"/>
    <col min="1029" max="1029" width="10.109375" style="49" customWidth="1"/>
    <col min="1030" max="1030" width="15.6640625" style="49" customWidth="1"/>
    <col min="1031" max="1031" width="83" style="49" customWidth="1"/>
    <col min="1032" max="1032" width="8.88671875" style="49"/>
    <col min="1033" max="1033" width="65.33203125" style="49" customWidth="1"/>
    <col min="1034" max="1280" width="8.88671875" style="49"/>
    <col min="1281" max="1281" width="5.44140625" style="49" bestFit="1" customWidth="1"/>
    <col min="1282" max="1282" width="17.109375" style="49" customWidth="1"/>
    <col min="1283" max="1283" width="24.109375" style="49" customWidth="1"/>
    <col min="1284" max="1284" width="104.33203125" style="49" customWidth="1"/>
    <col min="1285" max="1285" width="10.109375" style="49" customWidth="1"/>
    <col min="1286" max="1286" width="15.6640625" style="49" customWidth="1"/>
    <col min="1287" max="1287" width="83" style="49" customWidth="1"/>
    <col min="1288" max="1288" width="8.88671875" style="49"/>
    <col min="1289" max="1289" width="65.33203125" style="49" customWidth="1"/>
    <col min="1290" max="1536" width="8.88671875" style="49"/>
    <col min="1537" max="1537" width="5.44140625" style="49" bestFit="1" customWidth="1"/>
    <col min="1538" max="1538" width="17.109375" style="49" customWidth="1"/>
    <col min="1539" max="1539" width="24.109375" style="49" customWidth="1"/>
    <col min="1540" max="1540" width="104.33203125" style="49" customWidth="1"/>
    <col min="1541" max="1541" width="10.109375" style="49" customWidth="1"/>
    <col min="1542" max="1542" width="15.6640625" style="49" customWidth="1"/>
    <col min="1543" max="1543" width="83" style="49" customWidth="1"/>
    <col min="1544" max="1544" width="8.88671875" style="49"/>
    <col min="1545" max="1545" width="65.33203125" style="49" customWidth="1"/>
    <col min="1546" max="1792" width="8.88671875" style="49"/>
    <col min="1793" max="1793" width="5.44140625" style="49" bestFit="1" customWidth="1"/>
    <col min="1794" max="1794" width="17.109375" style="49" customWidth="1"/>
    <col min="1795" max="1795" width="24.109375" style="49" customWidth="1"/>
    <col min="1796" max="1796" width="104.33203125" style="49" customWidth="1"/>
    <col min="1797" max="1797" width="10.109375" style="49" customWidth="1"/>
    <col min="1798" max="1798" width="15.6640625" style="49" customWidth="1"/>
    <col min="1799" max="1799" width="83" style="49" customWidth="1"/>
    <col min="1800" max="1800" width="8.88671875" style="49"/>
    <col min="1801" max="1801" width="65.33203125" style="49" customWidth="1"/>
    <col min="1802" max="2048" width="8.88671875" style="49"/>
    <col min="2049" max="2049" width="5.44140625" style="49" bestFit="1" customWidth="1"/>
    <col min="2050" max="2050" width="17.109375" style="49" customWidth="1"/>
    <col min="2051" max="2051" width="24.109375" style="49" customWidth="1"/>
    <col min="2052" max="2052" width="104.33203125" style="49" customWidth="1"/>
    <col min="2053" max="2053" width="10.109375" style="49" customWidth="1"/>
    <col min="2054" max="2054" width="15.6640625" style="49" customWidth="1"/>
    <col min="2055" max="2055" width="83" style="49" customWidth="1"/>
    <col min="2056" max="2056" width="8.88671875" style="49"/>
    <col min="2057" max="2057" width="65.33203125" style="49" customWidth="1"/>
    <col min="2058" max="2304" width="8.88671875" style="49"/>
    <col min="2305" max="2305" width="5.44140625" style="49" bestFit="1" customWidth="1"/>
    <col min="2306" max="2306" width="17.109375" style="49" customWidth="1"/>
    <col min="2307" max="2307" width="24.109375" style="49" customWidth="1"/>
    <col min="2308" max="2308" width="104.33203125" style="49" customWidth="1"/>
    <col min="2309" max="2309" width="10.109375" style="49" customWidth="1"/>
    <col min="2310" max="2310" width="15.6640625" style="49" customWidth="1"/>
    <col min="2311" max="2311" width="83" style="49" customWidth="1"/>
    <col min="2312" max="2312" width="8.88671875" style="49"/>
    <col min="2313" max="2313" width="65.33203125" style="49" customWidth="1"/>
    <col min="2314" max="2560" width="8.88671875" style="49"/>
    <col min="2561" max="2561" width="5.44140625" style="49" bestFit="1" customWidth="1"/>
    <col min="2562" max="2562" width="17.109375" style="49" customWidth="1"/>
    <col min="2563" max="2563" width="24.109375" style="49" customWidth="1"/>
    <col min="2564" max="2564" width="104.33203125" style="49" customWidth="1"/>
    <col min="2565" max="2565" width="10.109375" style="49" customWidth="1"/>
    <col min="2566" max="2566" width="15.6640625" style="49" customWidth="1"/>
    <col min="2567" max="2567" width="83" style="49" customWidth="1"/>
    <col min="2568" max="2568" width="8.88671875" style="49"/>
    <col min="2569" max="2569" width="65.33203125" style="49" customWidth="1"/>
    <col min="2570" max="2816" width="8.88671875" style="49"/>
    <col min="2817" max="2817" width="5.44140625" style="49" bestFit="1" customWidth="1"/>
    <col min="2818" max="2818" width="17.109375" style="49" customWidth="1"/>
    <col min="2819" max="2819" width="24.109375" style="49" customWidth="1"/>
    <col min="2820" max="2820" width="104.33203125" style="49" customWidth="1"/>
    <col min="2821" max="2821" width="10.109375" style="49" customWidth="1"/>
    <col min="2822" max="2822" width="15.6640625" style="49" customWidth="1"/>
    <col min="2823" max="2823" width="83" style="49" customWidth="1"/>
    <col min="2824" max="2824" width="8.88671875" style="49"/>
    <col min="2825" max="2825" width="65.33203125" style="49" customWidth="1"/>
    <col min="2826" max="3072" width="8.88671875" style="49"/>
    <col min="3073" max="3073" width="5.44140625" style="49" bestFit="1" customWidth="1"/>
    <col min="3074" max="3074" width="17.109375" style="49" customWidth="1"/>
    <col min="3075" max="3075" width="24.109375" style="49" customWidth="1"/>
    <col min="3076" max="3076" width="104.33203125" style="49" customWidth="1"/>
    <col min="3077" max="3077" width="10.109375" style="49" customWidth="1"/>
    <col min="3078" max="3078" width="15.6640625" style="49" customWidth="1"/>
    <col min="3079" max="3079" width="83" style="49" customWidth="1"/>
    <col min="3080" max="3080" width="8.88671875" style="49"/>
    <col min="3081" max="3081" width="65.33203125" style="49" customWidth="1"/>
    <col min="3082" max="3328" width="8.88671875" style="49"/>
    <col min="3329" max="3329" width="5.44140625" style="49" bestFit="1" customWidth="1"/>
    <col min="3330" max="3330" width="17.109375" style="49" customWidth="1"/>
    <col min="3331" max="3331" width="24.109375" style="49" customWidth="1"/>
    <col min="3332" max="3332" width="104.33203125" style="49" customWidth="1"/>
    <col min="3333" max="3333" width="10.109375" style="49" customWidth="1"/>
    <col min="3334" max="3334" width="15.6640625" style="49" customWidth="1"/>
    <col min="3335" max="3335" width="83" style="49" customWidth="1"/>
    <col min="3336" max="3336" width="8.88671875" style="49"/>
    <col min="3337" max="3337" width="65.33203125" style="49" customWidth="1"/>
    <col min="3338" max="3584" width="8.88671875" style="49"/>
    <col min="3585" max="3585" width="5.44140625" style="49" bestFit="1" customWidth="1"/>
    <col min="3586" max="3586" width="17.109375" style="49" customWidth="1"/>
    <col min="3587" max="3587" width="24.109375" style="49" customWidth="1"/>
    <col min="3588" max="3588" width="104.33203125" style="49" customWidth="1"/>
    <col min="3589" max="3589" width="10.109375" style="49" customWidth="1"/>
    <col min="3590" max="3590" width="15.6640625" style="49" customWidth="1"/>
    <col min="3591" max="3591" width="83" style="49" customWidth="1"/>
    <col min="3592" max="3592" width="8.88671875" style="49"/>
    <col min="3593" max="3593" width="65.33203125" style="49" customWidth="1"/>
    <col min="3594" max="3840" width="8.88671875" style="49"/>
    <col min="3841" max="3841" width="5.44140625" style="49" bestFit="1" customWidth="1"/>
    <col min="3842" max="3842" width="17.109375" style="49" customWidth="1"/>
    <col min="3843" max="3843" width="24.109375" style="49" customWidth="1"/>
    <col min="3844" max="3844" width="104.33203125" style="49" customWidth="1"/>
    <col min="3845" max="3845" width="10.109375" style="49" customWidth="1"/>
    <col min="3846" max="3846" width="15.6640625" style="49" customWidth="1"/>
    <col min="3847" max="3847" width="83" style="49" customWidth="1"/>
    <col min="3848" max="3848" width="8.88671875" style="49"/>
    <col min="3849" max="3849" width="65.33203125" style="49" customWidth="1"/>
    <col min="3850" max="4096" width="8.88671875" style="49"/>
    <col min="4097" max="4097" width="5.44140625" style="49" bestFit="1" customWidth="1"/>
    <col min="4098" max="4098" width="17.109375" style="49" customWidth="1"/>
    <col min="4099" max="4099" width="24.109375" style="49" customWidth="1"/>
    <col min="4100" max="4100" width="104.33203125" style="49" customWidth="1"/>
    <col min="4101" max="4101" width="10.109375" style="49" customWidth="1"/>
    <col min="4102" max="4102" width="15.6640625" style="49" customWidth="1"/>
    <col min="4103" max="4103" width="83" style="49" customWidth="1"/>
    <col min="4104" max="4104" width="8.88671875" style="49"/>
    <col min="4105" max="4105" width="65.33203125" style="49" customWidth="1"/>
    <col min="4106" max="4352" width="8.88671875" style="49"/>
    <col min="4353" max="4353" width="5.44140625" style="49" bestFit="1" customWidth="1"/>
    <col min="4354" max="4354" width="17.109375" style="49" customWidth="1"/>
    <col min="4355" max="4355" width="24.109375" style="49" customWidth="1"/>
    <col min="4356" max="4356" width="104.33203125" style="49" customWidth="1"/>
    <col min="4357" max="4357" width="10.109375" style="49" customWidth="1"/>
    <col min="4358" max="4358" width="15.6640625" style="49" customWidth="1"/>
    <col min="4359" max="4359" width="83" style="49" customWidth="1"/>
    <col min="4360" max="4360" width="8.88671875" style="49"/>
    <col min="4361" max="4361" width="65.33203125" style="49" customWidth="1"/>
    <col min="4362" max="4608" width="8.88671875" style="49"/>
    <col min="4609" max="4609" width="5.44140625" style="49" bestFit="1" customWidth="1"/>
    <col min="4610" max="4610" width="17.109375" style="49" customWidth="1"/>
    <col min="4611" max="4611" width="24.109375" style="49" customWidth="1"/>
    <col min="4612" max="4612" width="104.33203125" style="49" customWidth="1"/>
    <col min="4613" max="4613" width="10.109375" style="49" customWidth="1"/>
    <col min="4614" max="4614" width="15.6640625" style="49" customWidth="1"/>
    <col min="4615" max="4615" width="83" style="49" customWidth="1"/>
    <col min="4616" max="4616" width="8.88671875" style="49"/>
    <col min="4617" max="4617" width="65.33203125" style="49" customWidth="1"/>
    <col min="4618" max="4864" width="8.88671875" style="49"/>
    <col min="4865" max="4865" width="5.44140625" style="49" bestFit="1" customWidth="1"/>
    <col min="4866" max="4866" width="17.109375" style="49" customWidth="1"/>
    <col min="4867" max="4867" width="24.109375" style="49" customWidth="1"/>
    <col min="4868" max="4868" width="104.33203125" style="49" customWidth="1"/>
    <col min="4869" max="4869" width="10.109375" style="49" customWidth="1"/>
    <col min="4870" max="4870" width="15.6640625" style="49" customWidth="1"/>
    <col min="4871" max="4871" width="83" style="49" customWidth="1"/>
    <col min="4872" max="4872" width="8.88671875" style="49"/>
    <col min="4873" max="4873" width="65.33203125" style="49" customWidth="1"/>
    <col min="4874" max="5120" width="8.88671875" style="49"/>
    <col min="5121" max="5121" width="5.44140625" style="49" bestFit="1" customWidth="1"/>
    <col min="5122" max="5122" width="17.109375" style="49" customWidth="1"/>
    <col min="5123" max="5123" width="24.109375" style="49" customWidth="1"/>
    <col min="5124" max="5124" width="104.33203125" style="49" customWidth="1"/>
    <col min="5125" max="5125" width="10.109375" style="49" customWidth="1"/>
    <col min="5126" max="5126" width="15.6640625" style="49" customWidth="1"/>
    <col min="5127" max="5127" width="83" style="49" customWidth="1"/>
    <col min="5128" max="5128" width="8.88671875" style="49"/>
    <col min="5129" max="5129" width="65.33203125" style="49" customWidth="1"/>
    <col min="5130" max="5376" width="8.88671875" style="49"/>
    <col min="5377" max="5377" width="5.44140625" style="49" bestFit="1" customWidth="1"/>
    <col min="5378" max="5378" width="17.109375" style="49" customWidth="1"/>
    <col min="5379" max="5379" width="24.109375" style="49" customWidth="1"/>
    <col min="5380" max="5380" width="104.33203125" style="49" customWidth="1"/>
    <col min="5381" max="5381" width="10.109375" style="49" customWidth="1"/>
    <col min="5382" max="5382" width="15.6640625" style="49" customWidth="1"/>
    <col min="5383" max="5383" width="83" style="49" customWidth="1"/>
    <col min="5384" max="5384" width="8.88671875" style="49"/>
    <col min="5385" max="5385" width="65.33203125" style="49" customWidth="1"/>
    <col min="5386" max="5632" width="8.88671875" style="49"/>
    <col min="5633" max="5633" width="5.44140625" style="49" bestFit="1" customWidth="1"/>
    <col min="5634" max="5634" width="17.109375" style="49" customWidth="1"/>
    <col min="5635" max="5635" width="24.109375" style="49" customWidth="1"/>
    <col min="5636" max="5636" width="104.33203125" style="49" customWidth="1"/>
    <col min="5637" max="5637" width="10.109375" style="49" customWidth="1"/>
    <col min="5638" max="5638" width="15.6640625" style="49" customWidth="1"/>
    <col min="5639" max="5639" width="83" style="49" customWidth="1"/>
    <col min="5640" max="5640" width="8.88671875" style="49"/>
    <col min="5641" max="5641" width="65.33203125" style="49" customWidth="1"/>
    <col min="5642" max="5888" width="8.88671875" style="49"/>
    <col min="5889" max="5889" width="5.44140625" style="49" bestFit="1" customWidth="1"/>
    <col min="5890" max="5890" width="17.109375" style="49" customWidth="1"/>
    <col min="5891" max="5891" width="24.109375" style="49" customWidth="1"/>
    <col min="5892" max="5892" width="104.33203125" style="49" customWidth="1"/>
    <col min="5893" max="5893" width="10.109375" style="49" customWidth="1"/>
    <col min="5894" max="5894" width="15.6640625" style="49" customWidth="1"/>
    <col min="5895" max="5895" width="83" style="49" customWidth="1"/>
    <col min="5896" max="5896" width="8.88671875" style="49"/>
    <col min="5897" max="5897" width="65.33203125" style="49" customWidth="1"/>
    <col min="5898" max="6144" width="8.88671875" style="49"/>
    <col min="6145" max="6145" width="5.44140625" style="49" bestFit="1" customWidth="1"/>
    <col min="6146" max="6146" width="17.109375" style="49" customWidth="1"/>
    <col min="6147" max="6147" width="24.109375" style="49" customWidth="1"/>
    <col min="6148" max="6148" width="104.33203125" style="49" customWidth="1"/>
    <col min="6149" max="6149" width="10.109375" style="49" customWidth="1"/>
    <col min="6150" max="6150" width="15.6640625" style="49" customWidth="1"/>
    <col min="6151" max="6151" width="83" style="49" customWidth="1"/>
    <col min="6152" max="6152" width="8.88671875" style="49"/>
    <col min="6153" max="6153" width="65.33203125" style="49" customWidth="1"/>
    <col min="6154" max="6400" width="8.88671875" style="49"/>
    <col min="6401" max="6401" width="5.44140625" style="49" bestFit="1" customWidth="1"/>
    <col min="6402" max="6402" width="17.109375" style="49" customWidth="1"/>
    <col min="6403" max="6403" width="24.109375" style="49" customWidth="1"/>
    <col min="6404" max="6404" width="104.33203125" style="49" customWidth="1"/>
    <col min="6405" max="6405" width="10.109375" style="49" customWidth="1"/>
    <col min="6406" max="6406" width="15.6640625" style="49" customWidth="1"/>
    <col min="6407" max="6407" width="83" style="49" customWidth="1"/>
    <col min="6408" max="6408" width="8.88671875" style="49"/>
    <col min="6409" max="6409" width="65.33203125" style="49" customWidth="1"/>
    <col min="6410" max="6656" width="8.88671875" style="49"/>
    <col min="6657" max="6657" width="5.44140625" style="49" bestFit="1" customWidth="1"/>
    <col min="6658" max="6658" width="17.109375" style="49" customWidth="1"/>
    <col min="6659" max="6659" width="24.109375" style="49" customWidth="1"/>
    <col min="6660" max="6660" width="104.33203125" style="49" customWidth="1"/>
    <col min="6661" max="6661" width="10.109375" style="49" customWidth="1"/>
    <col min="6662" max="6662" width="15.6640625" style="49" customWidth="1"/>
    <col min="6663" max="6663" width="83" style="49" customWidth="1"/>
    <col min="6664" max="6664" width="8.88671875" style="49"/>
    <col min="6665" max="6665" width="65.33203125" style="49" customWidth="1"/>
    <col min="6666" max="6912" width="8.88671875" style="49"/>
    <col min="6913" max="6913" width="5.44140625" style="49" bestFit="1" customWidth="1"/>
    <col min="6914" max="6914" width="17.109375" style="49" customWidth="1"/>
    <col min="6915" max="6915" width="24.109375" style="49" customWidth="1"/>
    <col min="6916" max="6916" width="104.33203125" style="49" customWidth="1"/>
    <col min="6917" max="6917" width="10.109375" style="49" customWidth="1"/>
    <col min="6918" max="6918" width="15.6640625" style="49" customWidth="1"/>
    <col min="6919" max="6919" width="83" style="49" customWidth="1"/>
    <col min="6920" max="6920" width="8.88671875" style="49"/>
    <col min="6921" max="6921" width="65.33203125" style="49" customWidth="1"/>
    <col min="6922" max="7168" width="8.88671875" style="49"/>
    <col min="7169" max="7169" width="5.44140625" style="49" bestFit="1" customWidth="1"/>
    <col min="7170" max="7170" width="17.109375" style="49" customWidth="1"/>
    <col min="7171" max="7171" width="24.109375" style="49" customWidth="1"/>
    <col min="7172" max="7172" width="104.33203125" style="49" customWidth="1"/>
    <col min="7173" max="7173" width="10.109375" style="49" customWidth="1"/>
    <col min="7174" max="7174" width="15.6640625" style="49" customWidth="1"/>
    <col min="7175" max="7175" width="83" style="49" customWidth="1"/>
    <col min="7176" max="7176" width="8.88671875" style="49"/>
    <col min="7177" max="7177" width="65.33203125" style="49" customWidth="1"/>
    <col min="7178" max="7424" width="8.88671875" style="49"/>
    <col min="7425" max="7425" width="5.44140625" style="49" bestFit="1" customWidth="1"/>
    <col min="7426" max="7426" width="17.109375" style="49" customWidth="1"/>
    <col min="7427" max="7427" width="24.109375" style="49" customWidth="1"/>
    <col min="7428" max="7428" width="104.33203125" style="49" customWidth="1"/>
    <col min="7429" max="7429" width="10.109375" style="49" customWidth="1"/>
    <col min="7430" max="7430" width="15.6640625" style="49" customWidth="1"/>
    <col min="7431" max="7431" width="83" style="49" customWidth="1"/>
    <col min="7432" max="7432" width="8.88671875" style="49"/>
    <col min="7433" max="7433" width="65.33203125" style="49" customWidth="1"/>
    <col min="7434" max="7680" width="8.88671875" style="49"/>
    <col min="7681" max="7681" width="5.44140625" style="49" bestFit="1" customWidth="1"/>
    <col min="7682" max="7682" width="17.109375" style="49" customWidth="1"/>
    <col min="7683" max="7683" width="24.109375" style="49" customWidth="1"/>
    <col min="7684" max="7684" width="104.33203125" style="49" customWidth="1"/>
    <col min="7685" max="7685" width="10.109375" style="49" customWidth="1"/>
    <col min="7686" max="7686" width="15.6640625" style="49" customWidth="1"/>
    <col min="7687" max="7687" width="83" style="49" customWidth="1"/>
    <col min="7688" max="7688" width="8.88671875" style="49"/>
    <col min="7689" max="7689" width="65.33203125" style="49" customWidth="1"/>
    <col min="7690" max="7936" width="8.88671875" style="49"/>
    <col min="7937" max="7937" width="5.44140625" style="49" bestFit="1" customWidth="1"/>
    <col min="7938" max="7938" width="17.109375" style="49" customWidth="1"/>
    <col min="7939" max="7939" width="24.109375" style="49" customWidth="1"/>
    <col min="7940" max="7940" width="104.33203125" style="49" customWidth="1"/>
    <col min="7941" max="7941" width="10.109375" style="49" customWidth="1"/>
    <col min="7942" max="7942" width="15.6640625" style="49" customWidth="1"/>
    <col min="7943" max="7943" width="83" style="49" customWidth="1"/>
    <col min="7944" max="7944" width="8.88671875" style="49"/>
    <col min="7945" max="7945" width="65.33203125" style="49" customWidth="1"/>
    <col min="7946" max="8192" width="8.88671875" style="49"/>
    <col min="8193" max="8193" width="5.44140625" style="49" bestFit="1" customWidth="1"/>
    <col min="8194" max="8194" width="17.109375" style="49" customWidth="1"/>
    <col min="8195" max="8195" width="24.109375" style="49" customWidth="1"/>
    <col min="8196" max="8196" width="104.33203125" style="49" customWidth="1"/>
    <col min="8197" max="8197" width="10.109375" style="49" customWidth="1"/>
    <col min="8198" max="8198" width="15.6640625" style="49" customWidth="1"/>
    <col min="8199" max="8199" width="83" style="49" customWidth="1"/>
    <col min="8200" max="8200" width="8.88671875" style="49"/>
    <col min="8201" max="8201" width="65.33203125" style="49" customWidth="1"/>
    <col min="8202" max="8448" width="8.88671875" style="49"/>
    <col min="8449" max="8449" width="5.44140625" style="49" bestFit="1" customWidth="1"/>
    <col min="8450" max="8450" width="17.109375" style="49" customWidth="1"/>
    <col min="8451" max="8451" width="24.109375" style="49" customWidth="1"/>
    <col min="8452" max="8452" width="104.33203125" style="49" customWidth="1"/>
    <col min="8453" max="8453" width="10.109375" style="49" customWidth="1"/>
    <col min="8454" max="8454" width="15.6640625" style="49" customWidth="1"/>
    <col min="8455" max="8455" width="83" style="49" customWidth="1"/>
    <col min="8456" max="8456" width="8.88671875" style="49"/>
    <col min="8457" max="8457" width="65.33203125" style="49" customWidth="1"/>
    <col min="8458" max="8704" width="8.88671875" style="49"/>
    <col min="8705" max="8705" width="5.44140625" style="49" bestFit="1" customWidth="1"/>
    <col min="8706" max="8706" width="17.109375" style="49" customWidth="1"/>
    <col min="8707" max="8707" width="24.109375" style="49" customWidth="1"/>
    <col min="8708" max="8708" width="104.33203125" style="49" customWidth="1"/>
    <col min="8709" max="8709" width="10.109375" style="49" customWidth="1"/>
    <col min="8710" max="8710" width="15.6640625" style="49" customWidth="1"/>
    <col min="8711" max="8711" width="83" style="49" customWidth="1"/>
    <col min="8712" max="8712" width="8.88671875" style="49"/>
    <col min="8713" max="8713" width="65.33203125" style="49" customWidth="1"/>
    <col min="8714" max="8960" width="8.88671875" style="49"/>
    <col min="8961" max="8961" width="5.44140625" style="49" bestFit="1" customWidth="1"/>
    <col min="8962" max="8962" width="17.109375" style="49" customWidth="1"/>
    <col min="8963" max="8963" width="24.109375" style="49" customWidth="1"/>
    <col min="8964" max="8964" width="104.33203125" style="49" customWidth="1"/>
    <col min="8965" max="8965" width="10.109375" style="49" customWidth="1"/>
    <col min="8966" max="8966" width="15.6640625" style="49" customWidth="1"/>
    <col min="8967" max="8967" width="83" style="49" customWidth="1"/>
    <col min="8968" max="8968" width="8.88671875" style="49"/>
    <col min="8969" max="8969" width="65.33203125" style="49" customWidth="1"/>
    <col min="8970" max="9216" width="8.88671875" style="49"/>
    <col min="9217" max="9217" width="5.44140625" style="49" bestFit="1" customWidth="1"/>
    <col min="9218" max="9218" width="17.109375" style="49" customWidth="1"/>
    <col min="9219" max="9219" width="24.109375" style="49" customWidth="1"/>
    <col min="9220" max="9220" width="104.33203125" style="49" customWidth="1"/>
    <col min="9221" max="9221" width="10.109375" style="49" customWidth="1"/>
    <col min="9222" max="9222" width="15.6640625" style="49" customWidth="1"/>
    <col min="9223" max="9223" width="83" style="49" customWidth="1"/>
    <col min="9224" max="9224" width="8.88671875" style="49"/>
    <col min="9225" max="9225" width="65.33203125" style="49" customWidth="1"/>
    <col min="9226" max="9472" width="8.88671875" style="49"/>
    <col min="9473" max="9473" width="5.44140625" style="49" bestFit="1" customWidth="1"/>
    <col min="9474" max="9474" width="17.109375" style="49" customWidth="1"/>
    <col min="9475" max="9475" width="24.109375" style="49" customWidth="1"/>
    <col min="9476" max="9476" width="104.33203125" style="49" customWidth="1"/>
    <col min="9477" max="9477" width="10.109375" style="49" customWidth="1"/>
    <col min="9478" max="9478" width="15.6640625" style="49" customWidth="1"/>
    <col min="9479" max="9479" width="83" style="49" customWidth="1"/>
    <col min="9480" max="9480" width="8.88671875" style="49"/>
    <col min="9481" max="9481" width="65.33203125" style="49" customWidth="1"/>
    <col min="9482" max="9728" width="8.88671875" style="49"/>
    <col min="9729" max="9729" width="5.44140625" style="49" bestFit="1" customWidth="1"/>
    <col min="9730" max="9730" width="17.109375" style="49" customWidth="1"/>
    <col min="9731" max="9731" width="24.109375" style="49" customWidth="1"/>
    <col min="9732" max="9732" width="104.33203125" style="49" customWidth="1"/>
    <col min="9733" max="9733" width="10.109375" style="49" customWidth="1"/>
    <col min="9734" max="9734" width="15.6640625" style="49" customWidth="1"/>
    <col min="9735" max="9735" width="83" style="49" customWidth="1"/>
    <col min="9736" max="9736" width="8.88671875" style="49"/>
    <col min="9737" max="9737" width="65.33203125" style="49" customWidth="1"/>
    <col min="9738" max="9984" width="8.88671875" style="49"/>
    <col min="9985" max="9985" width="5.44140625" style="49" bestFit="1" customWidth="1"/>
    <col min="9986" max="9986" width="17.109375" style="49" customWidth="1"/>
    <col min="9987" max="9987" width="24.109375" style="49" customWidth="1"/>
    <col min="9988" max="9988" width="104.33203125" style="49" customWidth="1"/>
    <col min="9989" max="9989" width="10.109375" style="49" customWidth="1"/>
    <col min="9990" max="9990" width="15.6640625" style="49" customWidth="1"/>
    <col min="9991" max="9991" width="83" style="49" customWidth="1"/>
    <col min="9992" max="9992" width="8.88671875" style="49"/>
    <col min="9993" max="9993" width="65.33203125" style="49" customWidth="1"/>
    <col min="9994" max="10240" width="8.88671875" style="49"/>
    <col min="10241" max="10241" width="5.44140625" style="49" bestFit="1" customWidth="1"/>
    <col min="10242" max="10242" width="17.109375" style="49" customWidth="1"/>
    <col min="10243" max="10243" width="24.109375" style="49" customWidth="1"/>
    <col min="10244" max="10244" width="104.33203125" style="49" customWidth="1"/>
    <col min="10245" max="10245" width="10.109375" style="49" customWidth="1"/>
    <col min="10246" max="10246" width="15.6640625" style="49" customWidth="1"/>
    <col min="10247" max="10247" width="83" style="49" customWidth="1"/>
    <col min="10248" max="10248" width="8.88671875" style="49"/>
    <col min="10249" max="10249" width="65.33203125" style="49" customWidth="1"/>
    <col min="10250" max="10496" width="8.88671875" style="49"/>
    <col min="10497" max="10497" width="5.44140625" style="49" bestFit="1" customWidth="1"/>
    <col min="10498" max="10498" width="17.109375" style="49" customWidth="1"/>
    <col min="10499" max="10499" width="24.109375" style="49" customWidth="1"/>
    <col min="10500" max="10500" width="104.33203125" style="49" customWidth="1"/>
    <col min="10501" max="10501" width="10.109375" style="49" customWidth="1"/>
    <col min="10502" max="10502" width="15.6640625" style="49" customWidth="1"/>
    <col min="10503" max="10503" width="83" style="49" customWidth="1"/>
    <col min="10504" max="10504" width="8.88671875" style="49"/>
    <col min="10505" max="10505" width="65.33203125" style="49" customWidth="1"/>
    <col min="10506" max="10752" width="8.88671875" style="49"/>
    <col min="10753" max="10753" width="5.44140625" style="49" bestFit="1" customWidth="1"/>
    <col min="10754" max="10754" width="17.109375" style="49" customWidth="1"/>
    <col min="10755" max="10755" width="24.109375" style="49" customWidth="1"/>
    <col min="10756" max="10756" width="104.33203125" style="49" customWidth="1"/>
    <col min="10757" max="10757" width="10.109375" style="49" customWidth="1"/>
    <col min="10758" max="10758" width="15.6640625" style="49" customWidth="1"/>
    <col min="10759" max="10759" width="83" style="49" customWidth="1"/>
    <col min="10760" max="10760" width="8.88671875" style="49"/>
    <col min="10761" max="10761" width="65.33203125" style="49" customWidth="1"/>
    <col min="10762" max="11008" width="8.88671875" style="49"/>
    <col min="11009" max="11009" width="5.44140625" style="49" bestFit="1" customWidth="1"/>
    <col min="11010" max="11010" width="17.109375" style="49" customWidth="1"/>
    <col min="11011" max="11011" width="24.109375" style="49" customWidth="1"/>
    <col min="11012" max="11012" width="104.33203125" style="49" customWidth="1"/>
    <col min="11013" max="11013" width="10.109375" style="49" customWidth="1"/>
    <col min="11014" max="11014" width="15.6640625" style="49" customWidth="1"/>
    <col min="11015" max="11015" width="83" style="49" customWidth="1"/>
    <col min="11016" max="11016" width="8.88671875" style="49"/>
    <col min="11017" max="11017" width="65.33203125" style="49" customWidth="1"/>
    <col min="11018" max="11264" width="8.88671875" style="49"/>
    <col min="11265" max="11265" width="5.44140625" style="49" bestFit="1" customWidth="1"/>
    <col min="11266" max="11266" width="17.109375" style="49" customWidth="1"/>
    <col min="11267" max="11267" width="24.109375" style="49" customWidth="1"/>
    <col min="11268" max="11268" width="104.33203125" style="49" customWidth="1"/>
    <col min="11269" max="11269" width="10.109375" style="49" customWidth="1"/>
    <col min="11270" max="11270" width="15.6640625" style="49" customWidth="1"/>
    <col min="11271" max="11271" width="83" style="49" customWidth="1"/>
    <col min="11272" max="11272" width="8.88671875" style="49"/>
    <col min="11273" max="11273" width="65.33203125" style="49" customWidth="1"/>
    <col min="11274" max="11520" width="8.88671875" style="49"/>
    <col min="11521" max="11521" width="5.44140625" style="49" bestFit="1" customWidth="1"/>
    <col min="11522" max="11522" width="17.109375" style="49" customWidth="1"/>
    <col min="11523" max="11523" width="24.109375" style="49" customWidth="1"/>
    <col min="11524" max="11524" width="104.33203125" style="49" customWidth="1"/>
    <col min="11525" max="11525" width="10.109375" style="49" customWidth="1"/>
    <col min="11526" max="11526" width="15.6640625" style="49" customWidth="1"/>
    <col min="11527" max="11527" width="83" style="49" customWidth="1"/>
    <col min="11528" max="11528" width="8.88671875" style="49"/>
    <col min="11529" max="11529" width="65.33203125" style="49" customWidth="1"/>
    <col min="11530" max="11776" width="8.88671875" style="49"/>
    <col min="11777" max="11777" width="5.44140625" style="49" bestFit="1" customWidth="1"/>
    <col min="11778" max="11778" width="17.109375" style="49" customWidth="1"/>
    <col min="11779" max="11779" width="24.109375" style="49" customWidth="1"/>
    <col min="11780" max="11780" width="104.33203125" style="49" customWidth="1"/>
    <col min="11781" max="11781" width="10.109375" style="49" customWidth="1"/>
    <col min="11782" max="11782" width="15.6640625" style="49" customWidth="1"/>
    <col min="11783" max="11783" width="83" style="49" customWidth="1"/>
    <col min="11784" max="11784" width="8.88671875" style="49"/>
    <col min="11785" max="11785" width="65.33203125" style="49" customWidth="1"/>
    <col min="11786" max="12032" width="8.88671875" style="49"/>
    <col min="12033" max="12033" width="5.44140625" style="49" bestFit="1" customWidth="1"/>
    <col min="12034" max="12034" width="17.109375" style="49" customWidth="1"/>
    <col min="12035" max="12035" width="24.109375" style="49" customWidth="1"/>
    <col min="12036" max="12036" width="104.33203125" style="49" customWidth="1"/>
    <col min="12037" max="12037" width="10.109375" style="49" customWidth="1"/>
    <col min="12038" max="12038" width="15.6640625" style="49" customWidth="1"/>
    <col min="12039" max="12039" width="83" style="49" customWidth="1"/>
    <col min="12040" max="12040" width="8.88671875" style="49"/>
    <col min="12041" max="12041" width="65.33203125" style="49" customWidth="1"/>
    <col min="12042" max="12288" width="8.88671875" style="49"/>
    <col min="12289" max="12289" width="5.44140625" style="49" bestFit="1" customWidth="1"/>
    <col min="12290" max="12290" width="17.109375" style="49" customWidth="1"/>
    <col min="12291" max="12291" width="24.109375" style="49" customWidth="1"/>
    <col min="12292" max="12292" width="104.33203125" style="49" customWidth="1"/>
    <col min="12293" max="12293" width="10.109375" style="49" customWidth="1"/>
    <col min="12294" max="12294" width="15.6640625" style="49" customWidth="1"/>
    <col min="12295" max="12295" width="83" style="49" customWidth="1"/>
    <col min="12296" max="12296" width="8.88671875" style="49"/>
    <col min="12297" max="12297" width="65.33203125" style="49" customWidth="1"/>
    <col min="12298" max="12544" width="8.88671875" style="49"/>
    <col min="12545" max="12545" width="5.44140625" style="49" bestFit="1" customWidth="1"/>
    <col min="12546" max="12546" width="17.109375" style="49" customWidth="1"/>
    <col min="12547" max="12547" width="24.109375" style="49" customWidth="1"/>
    <col min="12548" max="12548" width="104.33203125" style="49" customWidth="1"/>
    <col min="12549" max="12549" width="10.109375" style="49" customWidth="1"/>
    <col min="12550" max="12550" width="15.6640625" style="49" customWidth="1"/>
    <col min="12551" max="12551" width="83" style="49" customWidth="1"/>
    <col min="12552" max="12552" width="8.88671875" style="49"/>
    <col min="12553" max="12553" width="65.33203125" style="49" customWidth="1"/>
    <col min="12554" max="12800" width="8.88671875" style="49"/>
    <col min="12801" max="12801" width="5.44140625" style="49" bestFit="1" customWidth="1"/>
    <col min="12802" max="12802" width="17.109375" style="49" customWidth="1"/>
    <col min="12803" max="12803" width="24.109375" style="49" customWidth="1"/>
    <col min="12804" max="12804" width="104.33203125" style="49" customWidth="1"/>
    <col min="12805" max="12805" width="10.109375" style="49" customWidth="1"/>
    <col min="12806" max="12806" width="15.6640625" style="49" customWidth="1"/>
    <col min="12807" max="12807" width="83" style="49" customWidth="1"/>
    <col min="12808" max="12808" width="8.88671875" style="49"/>
    <col min="12809" max="12809" width="65.33203125" style="49" customWidth="1"/>
    <col min="12810" max="13056" width="8.88671875" style="49"/>
    <col min="13057" max="13057" width="5.44140625" style="49" bestFit="1" customWidth="1"/>
    <col min="13058" max="13058" width="17.109375" style="49" customWidth="1"/>
    <col min="13059" max="13059" width="24.109375" style="49" customWidth="1"/>
    <col min="13060" max="13060" width="104.33203125" style="49" customWidth="1"/>
    <col min="13061" max="13061" width="10.109375" style="49" customWidth="1"/>
    <col min="13062" max="13062" width="15.6640625" style="49" customWidth="1"/>
    <col min="13063" max="13063" width="83" style="49" customWidth="1"/>
    <col min="13064" max="13064" width="8.88671875" style="49"/>
    <col min="13065" max="13065" width="65.33203125" style="49" customWidth="1"/>
    <col min="13066" max="13312" width="8.88671875" style="49"/>
    <col min="13313" max="13313" width="5.44140625" style="49" bestFit="1" customWidth="1"/>
    <col min="13314" max="13314" width="17.109375" style="49" customWidth="1"/>
    <col min="13315" max="13315" width="24.109375" style="49" customWidth="1"/>
    <col min="13316" max="13316" width="104.33203125" style="49" customWidth="1"/>
    <col min="13317" max="13317" width="10.109375" style="49" customWidth="1"/>
    <col min="13318" max="13318" width="15.6640625" style="49" customWidth="1"/>
    <col min="13319" max="13319" width="83" style="49" customWidth="1"/>
    <col min="13320" max="13320" width="8.88671875" style="49"/>
    <col min="13321" max="13321" width="65.33203125" style="49" customWidth="1"/>
    <col min="13322" max="13568" width="8.88671875" style="49"/>
    <col min="13569" max="13569" width="5.44140625" style="49" bestFit="1" customWidth="1"/>
    <col min="13570" max="13570" width="17.109375" style="49" customWidth="1"/>
    <col min="13571" max="13571" width="24.109375" style="49" customWidth="1"/>
    <col min="13572" max="13572" width="104.33203125" style="49" customWidth="1"/>
    <col min="13573" max="13573" width="10.109375" style="49" customWidth="1"/>
    <col min="13574" max="13574" width="15.6640625" style="49" customWidth="1"/>
    <col min="13575" max="13575" width="83" style="49" customWidth="1"/>
    <col min="13576" max="13576" width="8.88671875" style="49"/>
    <col min="13577" max="13577" width="65.33203125" style="49" customWidth="1"/>
    <col min="13578" max="13824" width="8.88671875" style="49"/>
    <col min="13825" max="13825" width="5.44140625" style="49" bestFit="1" customWidth="1"/>
    <col min="13826" max="13826" width="17.109375" style="49" customWidth="1"/>
    <col min="13827" max="13827" width="24.109375" style="49" customWidth="1"/>
    <col min="13828" max="13828" width="104.33203125" style="49" customWidth="1"/>
    <col min="13829" max="13829" width="10.109375" style="49" customWidth="1"/>
    <col min="13830" max="13830" width="15.6640625" style="49" customWidth="1"/>
    <col min="13831" max="13831" width="83" style="49" customWidth="1"/>
    <col min="13832" max="13832" width="8.88671875" style="49"/>
    <col min="13833" max="13833" width="65.33203125" style="49" customWidth="1"/>
    <col min="13834" max="14080" width="8.88671875" style="49"/>
    <col min="14081" max="14081" width="5.44140625" style="49" bestFit="1" customWidth="1"/>
    <col min="14082" max="14082" width="17.109375" style="49" customWidth="1"/>
    <col min="14083" max="14083" width="24.109375" style="49" customWidth="1"/>
    <col min="14084" max="14084" width="104.33203125" style="49" customWidth="1"/>
    <col min="14085" max="14085" width="10.109375" style="49" customWidth="1"/>
    <col min="14086" max="14086" width="15.6640625" style="49" customWidth="1"/>
    <col min="14087" max="14087" width="83" style="49" customWidth="1"/>
    <col min="14088" max="14088" width="8.88671875" style="49"/>
    <col min="14089" max="14089" width="65.33203125" style="49" customWidth="1"/>
    <col min="14090" max="14336" width="8.88671875" style="49"/>
    <col min="14337" max="14337" width="5.44140625" style="49" bestFit="1" customWidth="1"/>
    <col min="14338" max="14338" width="17.109375" style="49" customWidth="1"/>
    <col min="14339" max="14339" width="24.109375" style="49" customWidth="1"/>
    <col min="14340" max="14340" width="104.33203125" style="49" customWidth="1"/>
    <col min="14341" max="14341" width="10.109375" style="49" customWidth="1"/>
    <col min="14342" max="14342" width="15.6640625" style="49" customWidth="1"/>
    <col min="14343" max="14343" width="83" style="49" customWidth="1"/>
    <col min="14344" max="14344" width="8.88671875" style="49"/>
    <col min="14345" max="14345" width="65.33203125" style="49" customWidth="1"/>
    <col min="14346" max="14592" width="8.88671875" style="49"/>
    <col min="14593" max="14593" width="5.44140625" style="49" bestFit="1" customWidth="1"/>
    <col min="14594" max="14594" width="17.109375" style="49" customWidth="1"/>
    <col min="14595" max="14595" width="24.109375" style="49" customWidth="1"/>
    <col min="14596" max="14596" width="104.33203125" style="49" customWidth="1"/>
    <col min="14597" max="14597" width="10.109375" style="49" customWidth="1"/>
    <col min="14598" max="14598" width="15.6640625" style="49" customWidth="1"/>
    <col min="14599" max="14599" width="83" style="49" customWidth="1"/>
    <col min="14600" max="14600" width="8.88671875" style="49"/>
    <col min="14601" max="14601" width="65.33203125" style="49" customWidth="1"/>
    <col min="14602" max="14848" width="8.88671875" style="49"/>
    <col min="14849" max="14849" width="5.44140625" style="49" bestFit="1" customWidth="1"/>
    <col min="14850" max="14850" width="17.109375" style="49" customWidth="1"/>
    <col min="14851" max="14851" width="24.109375" style="49" customWidth="1"/>
    <col min="14852" max="14852" width="104.33203125" style="49" customWidth="1"/>
    <col min="14853" max="14853" width="10.109375" style="49" customWidth="1"/>
    <col min="14854" max="14854" width="15.6640625" style="49" customWidth="1"/>
    <col min="14855" max="14855" width="83" style="49" customWidth="1"/>
    <col min="14856" max="14856" width="8.88671875" style="49"/>
    <col min="14857" max="14857" width="65.33203125" style="49" customWidth="1"/>
    <col min="14858" max="15104" width="8.88671875" style="49"/>
    <col min="15105" max="15105" width="5.44140625" style="49" bestFit="1" customWidth="1"/>
    <col min="15106" max="15106" width="17.109375" style="49" customWidth="1"/>
    <col min="15107" max="15107" width="24.109375" style="49" customWidth="1"/>
    <col min="15108" max="15108" width="104.33203125" style="49" customWidth="1"/>
    <col min="15109" max="15109" width="10.109375" style="49" customWidth="1"/>
    <col min="15110" max="15110" width="15.6640625" style="49" customWidth="1"/>
    <col min="15111" max="15111" width="83" style="49" customWidth="1"/>
    <col min="15112" max="15112" width="8.88671875" style="49"/>
    <col min="15113" max="15113" width="65.33203125" style="49" customWidth="1"/>
    <col min="15114" max="15360" width="8.88671875" style="49"/>
    <col min="15361" max="15361" width="5.44140625" style="49" bestFit="1" customWidth="1"/>
    <col min="15362" max="15362" width="17.109375" style="49" customWidth="1"/>
    <col min="15363" max="15363" width="24.109375" style="49" customWidth="1"/>
    <col min="15364" max="15364" width="104.33203125" style="49" customWidth="1"/>
    <col min="15365" max="15365" width="10.109375" style="49" customWidth="1"/>
    <col min="15366" max="15366" width="15.6640625" style="49" customWidth="1"/>
    <col min="15367" max="15367" width="83" style="49" customWidth="1"/>
    <col min="15368" max="15368" width="8.88671875" style="49"/>
    <col min="15369" max="15369" width="65.33203125" style="49" customWidth="1"/>
    <col min="15370" max="15616" width="8.88671875" style="49"/>
    <col min="15617" max="15617" width="5.44140625" style="49" bestFit="1" customWidth="1"/>
    <col min="15618" max="15618" width="17.109375" style="49" customWidth="1"/>
    <col min="15619" max="15619" width="24.109375" style="49" customWidth="1"/>
    <col min="15620" max="15620" width="104.33203125" style="49" customWidth="1"/>
    <col min="15621" max="15621" width="10.109375" style="49" customWidth="1"/>
    <col min="15622" max="15622" width="15.6640625" style="49" customWidth="1"/>
    <col min="15623" max="15623" width="83" style="49" customWidth="1"/>
    <col min="15624" max="15624" width="8.88671875" style="49"/>
    <col min="15625" max="15625" width="65.33203125" style="49" customWidth="1"/>
    <col min="15626" max="15872" width="8.88671875" style="49"/>
    <col min="15873" max="15873" width="5.44140625" style="49" bestFit="1" customWidth="1"/>
    <col min="15874" max="15874" width="17.109375" style="49" customWidth="1"/>
    <col min="15875" max="15875" width="24.109375" style="49" customWidth="1"/>
    <col min="15876" max="15876" width="104.33203125" style="49" customWidth="1"/>
    <col min="15877" max="15877" width="10.109375" style="49" customWidth="1"/>
    <col min="15878" max="15878" width="15.6640625" style="49" customWidth="1"/>
    <col min="15879" max="15879" width="83" style="49" customWidth="1"/>
    <col min="15880" max="15880" width="8.88671875" style="49"/>
    <col min="15881" max="15881" width="65.33203125" style="49" customWidth="1"/>
    <col min="15882" max="16128" width="8.88671875" style="49"/>
    <col min="16129" max="16129" width="5.44140625" style="49" bestFit="1" customWidth="1"/>
    <col min="16130" max="16130" width="17.109375" style="49" customWidth="1"/>
    <col min="16131" max="16131" width="24.109375" style="49" customWidth="1"/>
    <col min="16132" max="16132" width="104.33203125" style="49" customWidth="1"/>
    <col min="16133" max="16133" width="10.109375" style="49" customWidth="1"/>
    <col min="16134" max="16134" width="15.6640625" style="49" customWidth="1"/>
    <col min="16135" max="16135" width="83" style="49" customWidth="1"/>
    <col min="16136" max="16136" width="8.88671875" style="49"/>
    <col min="16137" max="16137" width="65.33203125" style="49" customWidth="1"/>
    <col min="16138" max="16384" width="8.88671875" style="49"/>
  </cols>
  <sheetData>
    <row r="1" spans="1:7" ht="20.100000000000001" customHeight="1" x14ac:dyDescent="0.25">
      <c r="A1" s="608" t="s">
        <v>46</v>
      </c>
      <c r="B1" s="609"/>
      <c r="C1" s="609"/>
      <c r="D1" s="609"/>
      <c r="E1" s="609"/>
      <c r="F1" s="609"/>
      <c r="G1" s="610"/>
    </row>
    <row r="2" spans="1:7" ht="18" customHeight="1" x14ac:dyDescent="0.25">
      <c r="A2" s="611" t="str">
        <f>'PLANILHA ORÇAMENTARIA'!A2:E2</f>
        <v>PREFEITURA: Prefeitura Municipal de Bom Jardim de Minas - MG</v>
      </c>
      <c r="B2" s="612"/>
      <c r="C2" s="612"/>
      <c r="D2" s="612"/>
      <c r="E2" s="612"/>
      <c r="F2" s="612"/>
      <c r="G2" s="613"/>
    </row>
    <row r="3" spans="1:7" ht="18" customHeight="1" x14ac:dyDescent="0.25">
      <c r="A3" s="611" t="str">
        <f>'PLANILHA ORÇAMENTARIA'!A3:E3</f>
        <v>OBRA: CONSTRUÇÃO DA SEDE  DO SERVIÇO DE ATENDIMENTO MOVEL - SAMU</v>
      </c>
      <c r="B3" s="612"/>
      <c r="C3" s="612"/>
      <c r="D3" s="612"/>
      <c r="E3" s="612"/>
      <c r="F3" s="612"/>
      <c r="G3" s="613"/>
    </row>
    <row r="4" spans="1:7" ht="18" customHeight="1" thickBot="1" x14ac:dyDescent="0.3">
      <c r="A4" s="614" t="str">
        <f>'PLANILHA ORÇAMENTARIA'!A4:E4</f>
        <v>LOCAL:  Rua José Nogueira de Paula  - Lt nº 115, Bairro Hospital - Bom Jardim de Minas / MG</v>
      </c>
      <c r="B4" s="615"/>
      <c r="C4" s="615"/>
      <c r="D4" s="615"/>
      <c r="E4" s="615"/>
      <c r="F4" s="615"/>
      <c r="G4" s="616"/>
    </row>
    <row r="5" spans="1:7" ht="13.8" thickBot="1" x14ac:dyDescent="0.3">
      <c r="A5" s="67" t="s">
        <v>0</v>
      </c>
      <c r="B5" s="50" t="s">
        <v>4</v>
      </c>
      <c r="C5" s="51" t="s">
        <v>1</v>
      </c>
      <c r="D5" s="52"/>
      <c r="E5" s="50" t="s">
        <v>3</v>
      </c>
      <c r="F5" s="50" t="s">
        <v>2</v>
      </c>
      <c r="G5" s="68" t="s">
        <v>47</v>
      </c>
    </row>
    <row r="6" spans="1:7" ht="8.1" customHeight="1" x14ac:dyDescent="0.25">
      <c r="A6" s="69"/>
      <c r="B6" s="53"/>
      <c r="C6" s="53"/>
      <c r="D6" s="53"/>
      <c r="E6" s="53"/>
      <c r="F6" s="53"/>
      <c r="G6" s="70"/>
    </row>
    <row r="7" spans="1:7" ht="19.95" customHeight="1" x14ac:dyDescent="0.25">
      <c r="A7" s="126">
        <v>1</v>
      </c>
      <c r="B7" s="43"/>
      <c r="C7" s="606" t="str">
        <f>'PLANILHA ORÇAMENTARIA'!C9:D9</f>
        <v xml:space="preserve"> INSTALAÇÕES INICIAIS DA OBRA</v>
      </c>
      <c r="D7" s="607"/>
      <c r="E7" s="54"/>
      <c r="F7" s="54"/>
      <c r="G7" s="71"/>
    </row>
    <row r="8" spans="1:7" ht="42" customHeight="1" x14ac:dyDescent="0.25">
      <c r="A8" s="45" t="s">
        <v>10</v>
      </c>
      <c r="B8" s="132" t="s">
        <v>84</v>
      </c>
      <c r="C8" s="602" t="str">
        <f>'PLANILHA ORÇAMENTARIA'!C10:D10</f>
        <v>FORNECIMENTO E COLOCAÇÃO DE PLACA DE OBRA EM CHAPA GALVANIZADA #26, ESP. 0,45MM, DIMENSÃO (3X1,5)M, PLOTADA COM ADESIVO VINÍLICO, AFIXADA COM REBITES 4,8X40MM, EM ESTRUTURA METÁLICA DE METALON 20X20MM, ESP. 1,25MM, INCLUSIVE SUPORTE EM EUCALIPTO AUTOCLAVADO PINTADO COM TINTA PVA DUAS (2) DEMÃOS</v>
      </c>
      <c r="D8" s="603"/>
      <c r="E8" s="55" t="str">
        <f>'PLANILHA ORÇAMENTARIA'!E10</f>
        <v>UNID.</v>
      </c>
      <c r="F8" s="7">
        <v>1</v>
      </c>
      <c r="G8" s="535" t="s">
        <v>87</v>
      </c>
    </row>
    <row r="9" spans="1:7" ht="34.950000000000003" customHeight="1" x14ac:dyDescent="0.25">
      <c r="A9" s="45" t="s">
        <v>406</v>
      </c>
      <c r="B9" s="132" t="s">
        <v>407</v>
      </c>
      <c r="C9" s="602" t="s">
        <v>408</v>
      </c>
      <c r="D9" s="603"/>
      <c r="E9" s="55" t="s">
        <v>9</v>
      </c>
      <c r="F9" s="7">
        <f>12</f>
        <v>12</v>
      </c>
      <c r="G9" s="535" t="s">
        <v>412</v>
      </c>
    </row>
    <row r="10" spans="1:7" ht="42" customHeight="1" x14ac:dyDescent="0.25">
      <c r="A10" s="45" t="s">
        <v>411</v>
      </c>
      <c r="B10" s="132" t="s">
        <v>409</v>
      </c>
      <c r="C10" s="602" t="s">
        <v>410</v>
      </c>
      <c r="D10" s="603"/>
      <c r="E10" s="55" t="s">
        <v>9</v>
      </c>
      <c r="F10" s="7">
        <f>(18+20+20)*2.2</f>
        <v>127.60000000000001</v>
      </c>
      <c r="G10" s="535" t="s">
        <v>413</v>
      </c>
    </row>
    <row r="11" spans="1:7" ht="34.950000000000003" customHeight="1" x14ac:dyDescent="0.25">
      <c r="A11" s="45" t="s">
        <v>881</v>
      </c>
      <c r="B11" s="132" t="s">
        <v>879</v>
      </c>
      <c r="C11" s="602" t="str">
        <f>'PLANILHA ORÇAMENTARIA'!C13:D13</f>
        <v>PORTÃO PARA TAPUME FIXO DE PROTEÇÃO COM FECHAMENTO DE OBRA EM CHAPA DE COMPENSADO, ESP. 12MM, COM MÓDULO NA DIMENSÃO DE (110X220)CM, INCLUSIVE FERRAGENS E PINTURA LÁTEX (PVA) COM DUAS (2) DEMÃOS</v>
      </c>
      <c r="D11" s="603"/>
      <c r="E11" s="55" t="s">
        <v>9</v>
      </c>
      <c r="F11" s="7">
        <f>1.1*2.2</f>
        <v>2.4200000000000004</v>
      </c>
      <c r="G11" s="535" t="s">
        <v>882</v>
      </c>
    </row>
    <row r="12" spans="1:7" s="96" customFormat="1" ht="19.95" customHeight="1" x14ac:dyDescent="0.25">
      <c r="A12" s="93"/>
      <c r="B12" s="94"/>
      <c r="C12" s="617" t="str">
        <f>'PLANILHA ORÇAMENTARIA'!C14:D14</f>
        <v>BASE DESCENTRALIZADA SAMU</v>
      </c>
      <c r="D12" s="618"/>
      <c r="E12" s="94"/>
      <c r="F12" s="94"/>
      <c r="G12" s="95"/>
    </row>
    <row r="13" spans="1:7" ht="19.95" customHeight="1" x14ac:dyDescent="0.25">
      <c r="A13" s="126">
        <v>2</v>
      </c>
      <c r="B13" s="43"/>
      <c r="C13" s="606" t="str">
        <f>'PLANILHA ORÇAMENTARIA'!C15:D15</f>
        <v xml:space="preserve">DEMOLIÇÕES E REMOÇÕES </v>
      </c>
      <c r="D13" s="607"/>
      <c r="E13" s="54"/>
      <c r="F13" s="54"/>
      <c r="G13" s="71"/>
    </row>
    <row r="14" spans="1:7" ht="34.950000000000003" customHeight="1" x14ac:dyDescent="0.25">
      <c r="A14" s="45" t="s">
        <v>38</v>
      </c>
      <c r="B14" s="132" t="s">
        <v>415</v>
      </c>
      <c r="C14" s="602" t="s">
        <v>416</v>
      </c>
      <c r="D14" s="603"/>
      <c r="E14" s="55" t="s">
        <v>33</v>
      </c>
      <c r="F14" s="7">
        <f>20*2.2*0.15</f>
        <v>6.6</v>
      </c>
      <c r="G14" s="535" t="s">
        <v>417</v>
      </c>
    </row>
    <row r="15" spans="1:7" ht="25.05" customHeight="1" x14ac:dyDescent="0.25">
      <c r="A15" s="45" t="s">
        <v>41</v>
      </c>
      <c r="B15" s="44" t="s">
        <v>93</v>
      </c>
      <c r="C15" s="547" t="s">
        <v>94</v>
      </c>
      <c r="D15" s="548"/>
      <c r="E15" s="134" t="s">
        <v>9</v>
      </c>
      <c r="F15" s="7">
        <v>360</v>
      </c>
      <c r="G15" s="535" t="s">
        <v>630</v>
      </c>
    </row>
    <row r="16" spans="1:7" ht="19.95" customHeight="1" x14ac:dyDescent="0.25">
      <c r="A16" s="126">
        <v>3</v>
      </c>
      <c r="B16" s="43"/>
      <c r="C16" s="606" t="str">
        <f>'PLANILHA ORÇAMENTARIA'!C18:D18</f>
        <v>MOVIMENTAÇÃO DE TERRA</v>
      </c>
      <c r="D16" s="607"/>
      <c r="E16" s="54"/>
      <c r="F16" s="54"/>
      <c r="G16" s="71"/>
    </row>
    <row r="17" spans="1:8" ht="45" customHeight="1" x14ac:dyDescent="0.25">
      <c r="A17" s="45" t="s">
        <v>135</v>
      </c>
      <c r="B17" s="132" t="s">
        <v>637</v>
      </c>
      <c r="C17" s="602" t="str">
        <f>'PLANILHA ORÇAMENTARIA'!C19</f>
        <v>EXECUÇÃO E COMPACTAÇÃO DE CORPO DE ATERRO DE ATERRO (95% DE ENERGIA DO PROCTOR NORMAL) COM SOLO PREDOMINANTEMENTE ARGILOSO ESPESSURA 15 CM - EXCLUSIVE MATERIAL, ESCAVAÇÃO, CARGA E TRANSPORTE. AF_09/2024 (A SER FORNECIDO PELA PREFEITURA MUNICIPAL</v>
      </c>
      <c r="D17" s="603"/>
      <c r="E17" s="55" t="str">
        <f>'PLANILHA ORÇAMENTARIA'!E19</f>
        <v>M3</v>
      </c>
      <c r="F17" s="7">
        <f>((18*10.5)*((1.3+0.5)/2))+((7.5*12.45)*((2.5+1.3)/2))</f>
        <v>347.51249999999999</v>
      </c>
      <c r="G17" s="535" t="s">
        <v>851</v>
      </c>
    </row>
    <row r="18" spans="1:8" ht="34.950000000000003" customHeight="1" x14ac:dyDescent="0.25">
      <c r="A18" s="45" t="s">
        <v>136</v>
      </c>
      <c r="B18" s="132" t="s">
        <v>79</v>
      </c>
      <c r="C18" s="602" t="str">
        <f>'PLANILHA ORÇAMENTARIA'!C20:D20</f>
        <v>REGULARIZAÇÃO MANUAL E COMPACTAÇÃO MECANIZADA DE TERRENO COM PLACA VIBRATÓRIA, EXCLUSIVE DESMATAMENTO, DESTOCAMENTO, LIMPEZA/ROÇADA DO TERRENO</v>
      </c>
      <c r="D18" s="603"/>
      <c r="E18" s="55" t="str">
        <f>'PLANILHA ORÇAMENTARIA'!E20</f>
        <v>M2</v>
      </c>
      <c r="F18" s="7">
        <f>(18*10.5)+(7.5*12.45)</f>
        <v>282.375</v>
      </c>
      <c r="G18" s="535" t="s">
        <v>852</v>
      </c>
    </row>
    <row r="19" spans="1:8" ht="25.05" customHeight="1" x14ac:dyDescent="0.25">
      <c r="A19" s="348" t="s">
        <v>137</v>
      </c>
      <c r="B19" s="56" t="s">
        <v>51</v>
      </c>
      <c r="C19" s="549" t="str">
        <f>'PLANILHA ORÇAMENTARIA'!C21:D21</f>
        <v>ESCAVAÇÃO MANUAL DE VALA EM MATERIAL DE 1ª CATEGORIA NA PROFUNDIDADE DE 0 A 1,50 M</v>
      </c>
      <c r="D19" s="550"/>
      <c r="E19" s="298" t="str">
        <f>'PLANILHA ORÇAMENTARIA'!E21</f>
        <v>M3</v>
      </c>
      <c r="F19" s="299">
        <f>'ANEXO MC ESTRUTURA COMPLEMENTAR'!A80</f>
        <v>35.788875000000004</v>
      </c>
      <c r="G19" s="536" t="s">
        <v>196</v>
      </c>
    </row>
    <row r="20" spans="1:8" ht="30" customHeight="1" x14ac:dyDescent="0.25">
      <c r="A20" s="348" t="s">
        <v>639</v>
      </c>
      <c r="B20" s="56" t="s">
        <v>54</v>
      </c>
      <c r="C20" s="600" t="str">
        <f>'PLANILHA ORÇAMENTARIA'!C22:D22</f>
        <v>REATERRO MANUAL DE VALA, INCLUSIVE ESPALHAMENTO E COMPACTAÇÃO MECANIZADA COM PLACA VIBRATÓRIA</v>
      </c>
      <c r="D20" s="601"/>
      <c r="E20" s="490" t="str">
        <f>'PLANILHA ORÇAMENTARIA'!E22</f>
        <v>M3</v>
      </c>
      <c r="F20" s="299">
        <f>F19-(11.74+7.31)</f>
        <v>16.738875000000004</v>
      </c>
      <c r="G20" s="536" t="s">
        <v>870</v>
      </c>
    </row>
    <row r="21" spans="1:8" ht="19.95" customHeight="1" x14ac:dyDescent="0.25">
      <c r="A21" s="126">
        <v>4</v>
      </c>
      <c r="B21" s="43"/>
      <c r="C21" s="606" t="str">
        <f>'PLANILHA ORÇAMENTARIA'!C23:D23</f>
        <v>FUNDAÇÃO E SUPERESTRUTURA</v>
      </c>
      <c r="D21" s="607"/>
      <c r="E21" s="54"/>
      <c r="F21" s="54"/>
      <c r="G21" s="71"/>
    </row>
    <row r="22" spans="1:8" ht="25.05" customHeight="1" x14ac:dyDescent="0.25">
      <c r="A22" s="348" t="s">
        <v>269</v>
      </c>
      <c r="B22" s="56" t="s">
        <v>65</v>
      </c>
      <c r="C22" s="549" t="str">
        <f>'PLANILHA ORÇAMENTARIA'!C24:D24</f>
        <v>LASTRO DE CONCRETO MAGRO, INCLUSIVE TRANSPORTE, LANÇAMENTO E ADENSAMENTO</v>
      </c>
      <c r="D22" s="550"/>
      <c r="E22" s="298" t="str">
        <f>'PLANILHA ORÇAMENTARIA'!E24</f>
        <v>M3</v>
      </c>
      <c r="F22" s="299">
        <f>'ANEXO MC ESTRUTURA COMPLEMENTAR'!B80</f>
        <v>2.1857500000000001</v>
      </c>
      <c r="G22" s="536" t="s">
        <v>196</v>
      </c>
    </row>
    <row r="23" spans="1:8" ht="30" customHeight="1" x14ac:dyDescent="0.25">
      <c r="A23" s="348" t="s">
        <v>418</v>
      </c>
      <c r="B23" s="56" t="s">
        <v>56</v>
      </c>
      <c r="C23" s="600" t="str">
        <f>'PLANILHA ORÇAMENTARIA'!C25:D25</f>
        <v>FORNECIMENTO DE CONCRETO ESTRUTURAL, USINADO BOMBEADO, COM FCK 25 MPA, INCLUSIVE LANÇAMENTO, ADENSAMENTO E ACABAMENTO</v>
      </c>
      <c r="D23" s="601"/>
      <c r="E23" s="490" t="str">
        <f>'PLANILHA ORÇAMENTARIA'!E25</f>
        <v>M3</v>
      </c>
      <c r="F23" s="299">
        <f>'ANEXO MC ESTRUTURA COMPLEMENTAR'!C80</f>
        <v>35.173625000000001</v>
      </c>
      <c r="G23" s="536" t="str">
        <f>G29</f>
        <v>DADOS RETIRADOS DE ANEXO V - ANEXO À MEMORIAL DE CÁLCULO</v>
      </c>
    </row>
    <row r="24" spans="1:8" ht="25.05" customHeight="1" x14ac:dyDescent="0.25">
      <c r="A24" s="348" t="s">
        <v>419</v>
      </c>
      <c r="B24" s="56" t="s">
        <v>57</v>
      </c>
      <c r="C24" s="549" t="str">
        <f>'PLANILHA ORÇAMENTARIA'!C26:D26</f>
        <v>CORTE, DOBRA E MONTAGEM DE AÇO CA-50 DIÂMETRO (6,3MM A 12,5MM)</v>
      </c>
      <c r="D24" s="550"/>
      <c r="E24" s="298" t="str">
        <f>'PLANILHA ORÇAMENTARIA'!E26</f>
        <v>KG</v>
      </c>
      <c r="F24" s="299">
        <f>'ANEXO MC ESTRUTURA COMPLEMENTAR'!E80</f>
        <v>1616.1698000000001</v>
      </c>
      <c r="G24" s="536" t="str">
        <f>G29</f>
        <v>DADOS RETIRADOS DE ANEXO V - ANEXO À MEMORIAL DE CÁLCULO</v>
      </c>
    </row>
    <row r="25" spans="1:8" ht="25.05" customHeight="1" x14ac:dyDescent="0.25">
      <c r="A25" s="348" t="s">
        <v>424</v>
      </c>
      <c r="B25" s="56" t="s">
        <v>60</v>
      </c>
      <c r="C25" s="549" t="str">
        <f>'PLANILHA ORÇAMENTARIA'!C27:D27</f>
        <v>CORTE, DOBRA E MONTAGEM DE AÇO CA-60 DIÂMETRO (4,2MM A 5,0MM)</v>
      </c>
      <c r="D25" s="550"/>
      <c r="E25" s="298" t="str">
        <f>'PLANILHA ORÇAMENTARIA'!E27</f>
        <v>KG</v>
      </c>
      <c r="F25" s="299">
        <f>'ANEXO MC ESTRUTURA COMPLEMENTAR'!D80</f>
        <v>554.59096</v>
      </c>
      <c r="G25" s="536" t="str">
        <f>G29</f>
        <v>DADOS RETIRADOS DE ANEXO V - ANEXO À MEMORIAL DE CÁLCULO</v>
      </c>
    </row>
    <row r="26" spans="1:8" ht="25.05" customHeight="1" x14ac:dyDescent="0.25">
      <c r="A26" s="348" t="s">
        <v>425</v>
      </c>
      <c r="B26" s="56" t="s">
        <v>62</v>
      </c>
      <c r="C26" s="549" t="str">
        <f>'PLANILHA ORÇAMENTARIA'!C28:D28</f>
        <v>FORMA E DESFORMA DE TÁBUA E SARRAFO, REAPROVEITAMENTO (5X), EXCLUSIVE ESCORAMENTO</v>
      </c>
      <c r="D26" s="550"/>
      <c r="E26" s="298" t="str">
        <f>'PLANILHA ORÇAMENTARIA'!E28</f>
        <v>M2</v>
      </c>
      <c r="F26" s="299">
        <f>'ANEXO MC ESTRUTURA COMPLEMENTAR'!F80</f>
        <v>403.15000000000003</v>
      </c>
      <c r="G26" s="536" t="str">
        <f>G29</f>
        <v>DADOS RETIRADOS DE ANEXO V - ANEXO À MEMORIAL DE CÁLCULO</v>
      </c>
    </row>
    <row r="27" spans="1:8" ht="85.05" customHeight="1" x14ac:dyDescent="0.25">
      <c r="A27" s="348" t="s">
        <v>426</v>
      </c>
      <c r="B27" s="56" t="s">
        <v>256</v>
      </c>
      <c r="C27" s="600" t="str">
        <f>'PLANILHA ORÇAMENTARIA'!C29:D29</f>
        <v>LAJE 10 CM MACIÇA DE CONCRETO 20 MPa, COM ARMAÇÃO, FÔRMA RESINADA, ESCORAMENTO E DESFORMA</v>
      </c>
      <c r="D27" s="601"/>
      <c r="E27" s="490" t="str">
        <f>'PLANILHA ORÇAMENTARIA'!E29</f>
        <v>M2</v>
      </c>
      <c r="F27" s="299">
        <f>11.55 + 11.38 + 3.74 + 3.91 + 4.5 + 2.3+11.55 +11.38+13.13 + 13.13 + 11.38 + 11.38 + 15.76 + 9.63 + 9.63 + 9.76 + 8.25 + 8.25 + 9.8 + 9.8 + 9.94 + 8.4 + 8.4 + 3.5 + 3.5 + 3.55 + 1.4 + 3.23+3.23</f>
        <v>235.36</v>
      </c>
      <c r="G27" s="536" t="s">
        <v>996</v>
      </c>
      <c r="H27" s="49">
        <v>70.61</v>
      </c>
    </row>
    <row r="28" spans="1:8" ht="19.95" customHeight="1" x14ac:dyDescent="0.25">
      <c r="A28" s="40">
        <v>5</v>
      </c>
      <c r="B28" s="36"/>
      <c r="C28" s="606" t="str">
        <f>'PLANILHA ORÇAMENTARIA'!C30:D30</f>
        <v>ALVENARIA</v>
      </c>
      <c r="D28" s="607"/>
      <c r="E28" s="54"/>
      <c r="F28" s="54"/>
      <c r="G28" s="71"/>
    </row>
    <row r="29" spans="1:8" ht="34.950000000000003" customHeight="1" x14ac:dyDescent="0.25">
      <c r="A29" s="348" t="s">
        <v>270</v>
      </c>
      <c r="B29" s="132" t="s">
        <v>138</v>
      </c>
      <c r="C29" s="600" t="str">
        <f>'PLANILHA ORÇAMENTARIA'!C31:D31</f>
        <v>ALVENARIA DE VEDAÇÃO COM TIJOLO CERÂMICO FURADO, ESP.14CM, PARA REVESTIMENTO, INCLUSIVE ARGAMASSA PARA ASSENTAMENTO</v>
      </c>
      <c r="D29" s="601"/>
      <c r="E29" s="490" t="str">
        <f>'PLANILHA ORÇAMENTARIA'!E31</f>
        <v>M2</v>
      </c>
      <c r="F29" s="299">
        <f>'ANEXO MC ESTRUTURA COMPLEMENTAR'!F129</f>
        <v>259.15099999999995</v>
      </c>
      <c r="G29" s="536" t="s">
        <v>196</v>
      </c>
    </row>
    <row r="30" spans="1:8" ht="34.950000000000003" customHeight="1" x14ac:dyDescent="0.25">
      <c r="A30" s="45" t="s">
        <v>311</v>
      </c>
      <c r="B30" s="132" t="s">
        <v>420</v>
      </c>
      <c r="C30" s="602" t="str">
        <f>'PLANILHA ORÇAMENTARIA'!C32:D32</f>
        <v>VERGA OU CONTRAVERGA EM CONCRETO ESTRUTURAL PARA VÃOS ACIMA DE 150CM, PREPARADO EM OBRA COM BETONEIRA, CONTROLE "A", COM FCK 20 MPA, MOLDADA IN LOCO, INCLUSIVE ARMAÇÃO</v>
      </c>
      <c r="D30" s="603"/>
      <c r="E30" s="55" t="s">
        <v>33</v>
      </c>
      <c r="F30" s="7">
        <f>'ANEXO MC ESTRUTURA COMPLEMENTAR'!G129</f>
        <v>0.43199999999999994</v>
      </c>
      <c r="G30" s="535" t="s">
        <v>196</v>
      </c>
    </row>
    <row r="31" spans="1:8" ht="34.950000000000003" customHeight="1" x14ac:dyDescent="0.25">
      <c r="A31" s="45" t="s">
        <v>312</v>
      </c>
      <c r="B31" s="132" t="s">
        <v>421</v>
      </c>
      <c r="C31" s="602" t="str">
        <f>'PLANILHA ORÇAMENTARIA'!C33:D33</f>
        <v>VERGA OU CONTRAVERGA EM CONCRETO ESTRUTURAL PARA VÃOS DE ATÉ 150CM, PREPARADO EM OBRA COM BETONEIRA, CONTROLE "A", COM FCK 20 MPA, MOLDADA IN LOCO, INCLUSIVE ARMAÇÃO</v>
      </c>
      <c r="D31" s="603"/>
      <c r="E31" s="55" t="s">
        <v>33</v>
      </c>
      <c r="F31" s="7">
        <f>'ANEXO MC ESTRUTURA COMPLEMENTAR'!H129</f>
        <v>0.55035000000000001</v>
      </c>
      <c r="G31" s="535" t="s">
        <v>196</v>
      </c>
    </row>
    <row r="32" spans="1:8" ht="48" customHeight="1" x14ac:dyDescent="0.25">
      <c r="A32" s="45" t="s">
        <v>658</v>
      </c>
      <c r="B32" s="132" t="s">
        <v>659</v>
      </c>
      <c r="C32" s="602" t="str">
        <f>'PLANILHA ORÇAMENTARIA'!C34:D34</f>
        <v>MURO DIVISÓRIO EM BLOCO DE CONCRETO COM ACABAMENTO REVESTIDO, ESP.15CM, ALTURA DE 220CM, COM SAPATA EM CONCRETO ARMADO , DIMENSÃO (50X55)CM, FORMA EM CONTRA BARRANCO, INCLUSIVE ESCAVAÇÃO COM TRANSPORTE E RETIRADA DO MATERIAL ESCAVADO (EM CAÇAMBA), PINGADEIRA EM CONCRETO, CHAPISCO/REBOCO COM ARGAMASSA (CIMENTO E AREIA) E PINTURA EM DUAS (2) DEMÃOS</v>
      </c>
      <c r="D32" s="603"/>
      <c r="E32" s="55" t="s">
        <v>12</v>
      </c>
      <c r="F32" s="7">
        <v>20</v>
      </c>
      <c r="G32" s="535" t="s">
        <v>708</v>
      </c>
    </row>
    <row r="33" spans="1:7" ht="19.95" customHeight="1" x14ac:dyDescent="0.25">
      <c r="A33" s="40">
        <v>6</v>
      </c>
      <c r="B33" s="36"/>
      <c r="C33" s="606" t="str">
        <f>'PLANILHA ORÇAMENTARIA'!C35:D35</f>
        <v>PONTOS DE INSTALAÇÕES HIDROSSANITÁRIAS</v>
      </c>
      <c r="D33" s="607"/>
      <c r="E33" s="54"/>
      <c r="F33" s="54"/>
      <c r="G33" s="71"/>
    </row>
    <row r="34" spans="1:7" ht="34.950000000000003" customHeight="1" x14ac:dyDescent="0.25">
      <c r="A34" s="45" t="s">
        <v>271</v>
      </c>
      <c r="B34" s="132" t="s">
        <v>344</v>
      </c>
      <c r="C34" s="602" t="str">
        <f>'PLANILHA ORÇAMENTARIA'!C36:D36</f>
        <v>TUBO, PVC, SOLDÁVEL, DN 20MM, INSTALADO EM RAMAL DE DISTRIBUIÇÃO DE ÁGUA - FORNECIMENTO E INSTALAÇÃO. AF_12/2014</v>
      </c>
      <c r="D34" s="603"/>
      <c r="E34" s="55" t="str">
        <f>'PLANILHA ORÇAMENTARIA'!E36</f>
        <v>M</v>
      </c>
      <c r="F34" s="7">
        <v>62</v>
      </c>
      <c r="G34" s="535" t="s">
        <v>356</v>
      </c>
    </row>
    <row r="35" spans="1:7" ht="34.950000000000003" customHeight="1" x14ac:dyDescent="0.25">
      <c r="A35" s="45" t="s">
        <v>303</v>
      </c>
      <c r="B35" s="132" t="s">
        <v>346</v>
      </c>
      <c r="C35" s="602" t="str">
        <f>'PLANILHA ORÇAMENTARIA'!C37:D37</f>
        <v>TUBO, PVC, SOLDÁVEL, DN 25MM, INSTALADO EM RAMAL DE DISTRIBUIÇÃO DE ÁGUA - FORNECIMENTO E INSTALAÇÃO. AF_06/2022</v>
      </c>
      <c r="D35" s="603"/>
      <c r="E35" s="55" t="str">
        <f>'PLANILHA ORÇAMENTARIA'!E37</f>
        <v>M</v>
      </c>
      <c r="F35" s="7">
        <v>9</v>
      </c>
      <c r="G35" s="535" t="str">
        <f t="shared" ref="G35:G43" si="0">G34</f>
        <v>DADOS RETIRADOS DE PROJETO HIDROSSANITÁRIO</v>
      </c>
    </row>
    <row r="36" spans="1:7" ht="34.950000000000003" customHeight="1" x14ac:dyDescent="0.25">
      <c r="A36" s="45" t="s">
        <v>304</v>
      </c>
      <c r="B36" s="132" t="s">
        <v>354</v>
      </c>
      <c r="C36" s="602" t="str">
        <f>'PLANILHA ORÇAMENTARIA'!C38:D38</f>
        <v>TUBO, PVC, SOLDÁVEL, DN 32MM, INSTALADO EM RAMAL DE DISTRIBUIÇÃO DE ÁGUA - FORNECIMENTO E INSTALAÇÃO. AF_06/2022</v>
      </c>
      <c r="D36" s="603"/>
      <c r="E36" s="55" t="str">
        <f>'PLANILHA ORÇAMENTARIA'!E38</f>
        <v>M</v>
      </c>
      <c r="F36" s="7">
        <v>1</v>
      </c>
      <c r="G36" s="535" t="str">
        <f t="shared" si="0"/>
        <v>DADOS RETIRADOS DE PROJETO HIDROSSANITÁRIO</v>
      </c>
    </row>
    <row r="37" spans="1:7" ht="34.950000000000003" customHeight="1" x14ac:dyDescent="0.25">
      <c r="A37" s="45" t="s">
        <v>305</v>
      </c>
      <c r="B37" s="132" t="s">
        <v>348</v>
      </c>
      <c r="C37" s="602" t="str">
        <f>'PLANILHA ORÇAMENTARIA'!C39:D39</f>
        <v>TUBO PVC, SERIE NORMAL, ESGOTO PREDIAL, DN 40 MM, FORNECIDO E INSTALADO EM RAMAL DE DESCARGA OU RAMAL DE ESGOTO SANITÁRIO. AF_12/2014</v>
      </c>
      <c r="D37" s="603"/>
      <c r="E37" s="55" t="str">
        <f>'PLANILHA ORÇAMENTARIA'!E39</f>
        <v>M</v>
      </c>
      <c r="F37" s="7">
        <v>34</v>
      </c>
      <c r="G37" s="535" t="str">
        <f t="shared" si="0"/>
        <v>DADOS RETIRADOS DE PROJETO HIDROSSANITÁRIO</v>
      </c>
    </row>
    <row r="38" spans="1:7" ht="34.950000000000003" customHeight="1" x14ac:dyDescent="0.25">
      <c r="A38" s="45" t="s">
        <v>306</v>
      </c>
      <c r="B38" s="132" t="s">
        <v>355</v>
      </c>
      <c r="C38" s="602" t="str">
        <f>'PLANILHA ORÇAMENTARIA'!C40:D40</f>
        <v>TUBO PVC, SERIE NORMAL, ESGOTO PREDIAL, DN 50 MM, FORNECIDO E INSTALADO EM RAMAL DE DESCARGA OU RAMAL DE ESGOTO SANITÁRIO. AF_08/2022</v>
      </c>
      <c r="D38" s="603"/>
      <c r="E38" s="55" t="str">
        <f>'PLANILHA ORÇAMENTARIA'!E40</f>
        <v>M</v>
      </c>
      <c r="F38" s="7">
        <v>21</v>
      </c>
      <c r="G38" s="535" t="str">
        <f t="shared" si="0"/>
        <v>DADOS RETIRADOS DE PROJETO HIDROSSANITÁRIO</v>
      </c>
    </row>
    <row r="39" spans="1:7" ht="34.950000000000003" customHeight="1" x14ac:dyDescent="0.25">
      <c r="A39" s="45" t="s">
        <v>307</v>
      </c>
      <c r="B39" s="132" t="s">
        <v>350</v>
      </c>
      <c r="C39" s="602" t="str">
        <f>'PLANILHA ORÇAMENTARIA'!C41:D41</f>
        <v>TUBO PVC, SERIE NORMAL, ESGOTO PREDIAL, DN 100 MM, FORNECIDO E INSTALADO EM RAMAL DE DESCARGA OU RAMAL DE ESGOTO SANITÁRIO. AF_12/2014</v>
      </c>
      <c r="D39" s="603"/>
      <c r="E39" s="55" t="str">
        <f>'PLANILHA ORÇAMENTARIA'!E41</f>
        <v>M</v>
      </c>
      <c r="F39" s="7">
        <v>18</v>
      </c>
      <c r="G39" s="535" t="str">
        <f t="shared" si="0"/>
        <v>DADOS RETIRADOS DE PROJETO HIDROSSANITÁRIO</v>
      </c>
    </row>
    <row r="40" spans="1:7" ht="34.950000000000003" customHeight="1" x14ac:dyDescent="0.25">
      <c r="A40" s="45" t="s">
        <v>308</v>
      </c>
      <c r="B40" s="132" t="s">
        <v>357</v>
      </c>
      <c r="C40" s="602" t="str">
        <f>'PLANILHA ORÇAMENTARIA'!C42:D42</f>
        <v>JOELHO 90 GRAUS, PVC, SOLDÁVEL, DN 20MM, INSTALADO EM RAMAL OU SUB-RAM UN CR JOELHO 90 GRAUS, PVC, SOLDÁVEL, DN 20MM, INSTALADO EM RAMAL OU SUB-RAMAL DE ÁGUA - FORNECIMENTO E INSTALAÇÃO. AF_12/2014</v>
      </c>
      <c r="D40" s="603"/>
      <c r="E40" s="55" t="str">
        <f>'PLANILHA ORÇAMENTARIA'!E42</f>
        <v>UNID.</v>
      </c>
      <c r="F40" s="7">
        <v>26</v>
      </c>
      <c r="G40" s="535" t="str">
        <f t="shared" si="0"/>
        <v>DADOS RETIRADOS DE PROJETO HIDROSSANITÁRIO</v>
      </c>
    </row>
    <row r="41" spans="1:7" ht="34.950000000000003" customHeight="1" x14ac:dyDescent="0.25">
      <c r="A41" s="45" t="s">
        <v>309</v>
      </c>
      <c r="B41" s="132" t="s">
        <v>359</v>
      </c>
      <c r="C41" s="602" t="str">
        <f>'PLANILHA ORÇAMENTARIA'!C43:D43</f>
        <v>JOELHO 90 GRAUS, PVC, SOLDÁVEL, DN 25MM, INSTALADO EM RAMAL OU SUB-RAMAL DE ÁGUA - FORNECIMENTO E INSTALAÇÃO. AF_12/2014</v>
      </c>
      <c r="D41" s="603"/>
      <c r="E41" s="55" t="str">
        <f>'PLANILHA ORÇAMENTARIA'!E43</f>
        <v>UNID.</v>
      </c>
      <c r="F41" s="7">
        <v>5</v>
      </c>
      <c r="G41" s="535" t="str">
        <f t="shared" si="0"/>
        <v>DADOS RETIRADOS DE PROJETO HIDROSSANITÁRIO</v>
      </c>
    </row>
    <row r="42" spans="1:7" ht="34.950000000000003" customHeight="1" x14ac:dyDescent="0.25">
      <c r="A42" s="45" t="s">
        <v>310</v>
      </c>
      <c r="B42" s="132" t="s">
        <v>361</v>
      </c>
      <c r="C42" s="602" t="str">
        <f>'PLANILHA ORÇAMENTARIA'!C44:D44</f>
        <v>TÊ DE REDUÇÃO, PVC, SOLDÁVEL, DN 32MM X 25MM, INSTALADO EM RAMAL OU SUB-RAMAL DE ÁGUA - FORNECIMENTO E INSTALAÇÃO. AF_06/2022</v>
      </c>
      <c r="D42" s="603"/>
      <c r="E42" s="55" t="str">
        <f>'PLANILHA ORÇAMENTARIA'!E44</f>
        <v>UNID.</v>
      </c>
      <c r="F42" s="7">
        <v>1</v>
      </c>
      <c r="G42" s="535" t="str">
        <f t="shared" si="0"/>
        <v>DADOS RETIRADOS DE PROJETO HIDROSSANITÁRIO</v>
      </c>
    </row>
    <row r="43" spans="1:7" ht="34.950000000000003" customHeight="1" x14ac:dyDescent="0.25">
      <c r="A43" s="45" t="s">
        <v>429</v>
      </c>
      <c r="B43" s="132" t="s">
        <v>363</v>
      </c>
      <c r="C43" s="602" t="str">
        <f>'PLANILHA ORÇAMENTARIA'!C45:D45</f>
        <v>TE, PVC, SOLDÁVEL, DN 20MM, INSTALADO EM RAMAL DE DISTRIBUIÇÃO DE ÁGUA - FORNECIMENTO E INSTALAÇÃO. AF_06/2022</v>
      </c>
      <c r="D43" s="603"/>
      <c r="E43" s="55" t="str">
        <f>'PLANILHA ORÇAMENTARIA'!E45</f>
        <v>UNID.</v>
      </c>
      <c r="F43" s="7">
        <v>11</v>
      </c>
      <c r="G43" s="535" t="str">
        <f t="shared" si="0"/>
        <v>DADOS RETIRADOS DE PROJETO HIDROSSANITÁRIO</v>
      </c>
    </row>
    <row r="44" spans="1:7" ht="34.950000000000003" customHeight="1" x14ac:dyDescent="0.25">
      <c r="A44" s="45" t="s">
        <v>430</v>
      </c>
      <c r="B44" s="132" t="s">
        <v>365</v>
      </c>
      <c r="C44" s="602" t="str">
        <f>'PLANILHA ORÇAMENTARIA'!C46:D46</f>
        <v>JOELHO 45 GRAUS, PVC, SERIE NORMAL, ESGOTO PREDIAL, DN 40 MM, JUNTA SOLDÁVEL, FORNECIDO E INSTALADO EM RAMAL DE DESCARGA OU RAMAL DE ESGOTO SANITÁRIO. AF_08/2022</v>
      </c>
      <c r="D44" s="603"/>
      <c r="E44" s="55" t="str">
        <f>'PLANILHA ORÇAMENTARIA'!E46</f>
        <v>UNID.</v>
      </c>
      <c r="F44" s="7">
        <v>2</v>
      </c>
      <c r="G44" s="535" t="str">
        <f t="shared" ref="G44:G49" si="1">G43</f>
        <v>DADOS RETIRADOS DE PROJETO HIDROSSANITÁRIO</v>
      </c>
    </row>
    <row r="45" spans="1:7" ht="34.950000000000003" customHeight="1" x14ac:dyDescent="0.25">
      <c r="A45" s="45" t="s">
        <v>431</v>
      </c>
      <c r="B45" s="132" t="s">
        <v>374</v>
      </c>
      <c r="C45" s="602" t="str">
        <f>'PLANILHA ORÇAMENTARIA'!C47:D47</f>
        <v>JOELHO 45 GRAUS, PVC, SERIE NORMAL, ESGOTO PREDIAL, DN 50 MM, JUNTA ELÁSTICA, FORNECIDO E INSTALADO EM RAMAL DE DESCARGA OU RAMAL DE ESGOTO SANITÁRIO. AF_08/2022</v>
      </c>
      <c r="D45" s="603"/>
      <c r="E45" s="55" t="str">
        <f>'PLANILHA ORÇAMENTARIA'!E47</f>
        <v>UNID.</v>
      </c>
      <c r="F45" s="7">
        <v>1</v>
      </c>
      <c r="G45" s="535" t="str">
        <f t="shared" si="1"/>
        <v>DADOS RETIRADOS DE PROJETO HIDROSSANITÁRIO</v>
      </c>
    </row>
    <row r="46" spans="1:7" ht="34.950000000000003" customHeight="1" x14ac:dyDescent="0.25">
      <c r="A46" s="45" t="s">
        <v>432</v>
      </c>
      <c r="B46" s="132" t="s">
        <v>801</v>
      </c>
      <c r="C46" s="602" t="str">
        <f>'PLANILHA ORÇAMENTARIA'!C48:D48</f>
        <v>JOELHO 45 GRAUS, PVC, SERIE NORMAL, ESGOTO PREDIAL, DN 100 MM, JUNTA ELÁSTICA, FORNECIDO E INSTALADO EM RAMAL DE DESCARGA OU RAMAL DE ESGOTO SANITÁRIO. AF_08/2022</v>
      </c>
      <c r="D46" s="603"/>
      <c r="E46" s="55" t="str">
        <f>'PLANILHA ORÇAMENTARIA'!E49</f>
        <v>UNID.</v>
      </c>
      <c r="F46" s="7">
        <v>2</v>
      </c>
      <c r="G46" s="535" t="str">
        <f t="shared" si="1"/>
        <v>DADOS RETIRADOS DE PROJETO HIDROSSANITÁRIO</v>
      </c>
    </row>
    <row r="47" spans="1:7" ht="34.950000000000003" customHeight="1" x14ac:dyDescent="0.25">
      <c r="A47" s="45" t="s">
        <v>433</v>
      </c>
      <c r="B47" s="132" t="s">
        <v>367</v>
      </c>
      <c r="C47" s="602" t="str">
        <f>'PLANILHA ORÇAMENTARIA'!C49:D49</f>
        <v>JOELHO 90 GRAUS, PVC, SERIE NORMAL, ESGOTO PREDIAL, DN 40 MM, JUNTA SOLDÁVEL, FORNECIDO E INSTALADO EM RAMAL DE DESCARGA OU RAMAL DE ESGOTO SANITÁRIO. AF_12/2014</v>
      </c>
      <c r="D47" s="603"/>
      <c r="E47" s="55" t="str">
        <f>'PLANILHA ORÇAMENTARIA'!E49</f>
        <v>UNID.</v>
      </c>
      <c r="F47" s="7">
        <v>17</v>
      </c>
      <c r="G47" s="535" t="str">
        <f>G45</f>
        <v>DADOS RETIRADOS DE PROJETO HIDROSSANITÁRIO</v>
      </c>
    </row>
    <row r="48" spans="1:7" ht="34.950000000000003" customHeight="1" x14ac:dyDescent="0.25">
      <c r="A48" s="45" t="s">
        <v>434</v>
      </c>
      <c r="B48" s="132" t="s">
        <v>369</v>
      </c>
      <c r="C48" s="602" t="str">
        <f>'PLANILHA ORÇAMENTARIA'!C50:D50</f>
        <v>JOELHO 90 GRAUS, PVC, SERIE NORMAL, ESGOTO PREDIAL, DN 50 MM, JUNTA ELÁSTICA, FORNECIDO E INSTALADO EM RAMAL DE DESCARGA OU RAMAL DE ESGOTO SANITÁRIO. AF_08/2022</v>
      </c>
      <c r="D48" s="603"/>
      <c r="E48" s="55" t="str">
        <f>'PLANILHA ORÇAMENTARIA'!E50</f>
        <v>UNID.</v>
      </c>
      <c r="F48" s="7">
        <v>8</v>
      </c>
      <c r="G48" s="535" t="str">
        <f t="shared" si="1"/>
        <v>DADOS RETIRADOS DE PROJETO HIDROSSANITÁRIO</v>
      </c>
    </row>
    <row r="49" spans="1:7" ht="34.950000000000003" customHeight="1" x14ac:dyDescent="0.25">
      <c r="A49" s="45" t="s">
        <v>435</v>
      </c>
      <c r="B49" s="132" t="s">
        <v>371</v>
      </c>
      <c r="C49" s="602" t="str">
        <f>'PLANILHA ORÇAMENTARIA'!C51:D51</f>
        <v>JOELHO 90 GRAUS, PVC, SERIE NORMAL, ESGOTO PREDIAL, DN 100 MM, JUNTA ELÁSTICA, FORNECIDO E INSTALADO EM RAMAL DE DESCARGA OU RAMAL DE ESGOTO SANITÁRIO. AF_12/2014</v>
      </c>
      <c r="D49" s="603"/>
      <c r="E49" s="55" t="str">
        <f>'PLANILHA ORÇAMENTARIA'!E51</f>
        <v>UNID.</v>
      </c>
      <c r="F49" s="7">
        <v>2</v>
      </c>
      <c r="G49" s="535" t="str">
        <f t="shared" si="1"/>
        <v>DADOS RETIRADOS DE PROJETO HIDROSSANITÁRIO</v>
      </c>
    </row>
    <row r="50" spans="1:7" ht="34.950000000000003" customHeight="1" x14ac:dyDescent="0.25">
      <c r="A50" s="45" t="s">
        <v>436</v>
      </c>
      <c r="B50" s="132" t="s">
        <v>376</v>
      </c>
      <c r="C50" s="602" t="str">
        <f>'PLANILHA ORÇAMENTARIA'!C52:D52</f>
        <v>JUNÇÃO DE REDUÇÃO INVERTIDA, PVC, SÉRIE NORMAL, ESGOTO PREDIAL, DN 100 X 50 MM, JUNTA ELÁSTICA, FORNECIDO E INSTALADO EM RAMAL DE DESCARGA OU RAMAL DE ESGOTO SANITÁRIO. AF_08/2022</v>
      </c>
      <c r="D50" s="603"/>
      <c r="E50" s="55" t="str">
        <f>'PLANILHA ORÇAMENTARIA'!E52</f>
        <v>UNID.</v>
      </c>
      <c r="F50" s="7">
        <v>2</v>
      </c>
      <c r="G50" s="535" t="str">
        <f t="shared" ref="G50:G56" si="2">G49</f>
        <v>DADOS RETIRADOS DE PROJETO HIDROSSANITÁRIO</v>
      </c>
    </row>
    <row r="51" spans="1:7" ht="34.950000000000003" customHeight="1" x14ac:dyDescent="0.25">
      <c r="A51" s="45" t="s">
        <v>437</v>
      </c>
      <c r="B51" s="132" t="s">
        <v>804</v>
      </c>
      <c r="C51" s="602" t="str">
        <f>'PLANILHA ORÇAMENTARIA'!C53:D53</f>
        <v>JUNÇÃO SIMPLES DE PVC, 45 GRAUS, SÉRIE NORMAL, PARA ESGOTO PREDIAL, DN 100 MM, INSTALADA EM DRENO - FORNECIMENTO E INSTALAÇÃO. AF_07/2021</v>
      </c>
      <c r="D51" s="603"/>
      <c r="E51" s="55" t="str">
        <f>'PLANILHA ORÇAMENTARIA'!E53</f>
        <v>UNID.</v>
      </c>
      <c r="F51" s="7">
        <v>1</v>
      </c>
      <c r="G51" s="535" t="str">
        <f t="shared" si="2"/>
        <v>DADOS RETIRADOS DE PROJETO HIDROSSANITÁRIO</v>
      </c>
    </row>
    <row r="52" spans="1:7" ht="34.950000000000003" customHeight="1" x14ac:dyDescent="0.25">
      <c r="A52" s="45" t="s">
        <v>438</v>
      </c>
      <c r="B52" s="132" t="s">
        <v>377</v>
      </c>
      <c r="C52" s="602" t="str">
        <f>'PLANILHA ORÇAMENTARIA'!C54:D54</f>
        <v>LUVA SIMPLES, PVC, SERIE NORMAL, ESGOTO PREDIAL, DN 50 MM, JUNTA ELÁSTICA, FORNECIDO E INSTALADO EM RAMAL DE DESCARGA OU RAMAL DE ESGOTO SANITÁRIO. AF_08/2022</v>
      </c>
      <c r="D52" s="603"/>
      <c r="E52" s="55" t="str">
        <f>'PLANILHA ORÇAMENTARIA'!E54</f>
        <v>UNID.</v>
      </c>
      <c r="F52" s="7">
        <v>11</v>
      </c>
      <c r="G52" s="535" t="str">
        <f>G50</f>
        <v>DADOS RETIRADOS DE PROJETO HIDROSSANITÁRIO</v>
      </c>
    </row>
    <row r="53" spans="1:7" ht="34.950000000000003" customHeight="1" x14ac:dyDescent="0.25">
      <c r="A53" s="45" t="s">
        <v>439</v>
      </c>
      <c r="B53" s="132" t="s">
        <v>379</v>
      </c>
      <c r="C53" s="602" t="str">
        <f>'PLANILHA ORÇAMENTARIA'!C55:D55</f>
        <v xml:space="preserve"> LUVA SIMPLES, PVC, SERIE NORMAL, ESGOTO PREDIAL, DN 100 MM, JUNTA ELÁSTICA, FORNECIDO E INSTALADO EM RAMAL DE DESCARGA OU RAMAL DE ESGOTO SANITÁRIO. AF_08/2022</v>
      </c>
      <c r="D53" s="603"/>
      <c r="E53" s="55" t="str">
        <f>'PLANILHA ORÇAMENTARIA'!E55</f>
        <v>UNID.</v>
      </c>
      <c r="F53" s="7">
        <v>9</v>
      </c>
      <c r="G53" s="535" t="str">
        <f t="shared" si="2"/>
        <v>DADOS RETIRADOS DE PROJETO HIDROSSANITÁRIO</v>
      </c>
    </row>
    <row r="54" spans="1:7" ht="34.950000000000003" customHeight="1" x14ac:dyDescent="0.25">
      <c r="A54" s="45" t="s">
        <v>440</v>
      </c>
      <c r="B54" s="132" t="s">
        <v>805</v>
      </c>
      <c r="C54" s="602" t="str">
        <f>'PLANILHA ORÇAMENTARIA'!C56:D56</f>
        <v>TE, PVC, SERIE NORMAL, ESGOTO PREDIAL, DN 100 X 100 MM, JUNTA ELÁSTICA , FORNECIDO E INSTALADO EM RAMAL DE DESCARGA OU RAMAL DE ESGOTO SANITÁRIO. AF_08/2022</v>
      </c>
      <c r="D54" s="603"/>
      <c r="E54" s="55" t="str">
        <f>'PLANILHA ORÇAMENTARIA'!E56</f>
        <v>UNID.</v>
      </c>
      <c r="F54" s="7">
        <v>1</v>
      </c>
      <c r="G54" s="535" t="str">
        <f t="shared" si="2"/>
        <v>DADOS RETIRADOS DE PROJETO HIDROSSANITÁRIO</v>
      </c>
    </row>
    <row r="55" spans="1:7" ht="34.950000000000003" customHeight="1" x14ac:dyDescent="0.25">
      <c r="A55" s="45" t="s">
        <v>441</v>
      </c>
      <c r="B55" s="132" t="s">
        <v>381</v>
      </c>
      <c r="C55" s="602" t="str">
        <f>'PLANILHA ORÇAMENTARIA'!C57:D57</f>
        <v>TE, PVC, SERIE NORMAL, ESGOTO PREDIAL, DN 50 X 50 MM, JUNTA ELÁSTICA, FORNECIDO E INSTALADO EM RAMAL DE DESCARGA OU RAMAL DE ESGOTO SANITÁRIO. AF_08/2022</v>
      </c>
      <c r="D55" s="603"/>
      <c r="E55" s="55" t="str">
        <f>'PLANILHA ORÇAMENTARIA'!E57</f>
        <v>UNID.</v>
      </c>
      <c r="F55" s="7">
        <v>1</v>
      </c>
      <c r="G55" s="535" t="str">
        <f t="shared" si="2"/>
        <v>DADOS RETIRADOS DE PROJETO HIDROSSANITÁRIO</v>
      </c>
    </row>
    <row r="56" spans="1:7" ht="34.950000000000003" customHeight="1" x14ac:dyDescent="0.25">
      <c r="A56" s="45" t="s">
        <v>442</v>
      </c>
      <c r="B56" s="132" t="s">
        <v>992</v>
      </c>
      <c r="C56" s="602" t="str">
        <f>'PLANILHA ORÇAMENTARIA'!C58:D58</f>
        <v>TE, PVC, SERIE NORMAL, ESGOTO PREDIAL, DN 40 X 40 MM, JUNTA SOLDÁVEL, FORNECIDO E INSTALADO EM RAMAL DE DESCARGA OU RAMAL DE ESGOTO SANITÁRIO. AF_08/2022</v>
      </c>
      <c r="D56" s="603"/>
      <c r="E56" s="55" t="str">
        <f>'PLANILHA ORÇAMENTARIA'!E58</f>
        <v>UNID.</v>
      </c>
      <c r="F56" s="7">
        <v>2</v>
      </c>
      <c r="G56" s="535" t="str">
        <f t="shared" si="2"/>
        <v>DADOS RETIRADOS DE PROJETO HIDROSSANITÁRIO</v>
      </c>
    </row>
    <row r="57" spans="1:7" ht="34.950000000000003" customHeight="1" x14ac:dyDescent="0.25">
      <c r="A57" s="45" t="s">
        <v>443</v>
      </c>
      <c r="B57" s="132" t="s">
        <v>383</v>
      </c>
      <c r="C57" s="602" t="str">
        <f>'PLANILHA ORÇAMENTARIA'!C59:D59</f>
        <v>CAIXA SIFONADA, COM GRELHA QUADRADA, PVC, DN 150 X 150 X 50 MM, JUNTA SOLDÁVEL, FORNECIDA E INSTALADA EM RAMAL DE DESCARGA OU EM RAMAL DE ESGOTO SANITÁRIO. AF_08/2022</v>
      </c>
      <c r="D57" s="603"/>
      <c r="E57" s="55" t="str">
        <f>'PLANILHA ORÇAMENTARIA'!E59</f>
        <v>UNID.</v>
      </c>
      <c r="F57" s="7">
        <v>8</v>
      </c>
      <c r="G57" s="535" t="str">
        <f>G55</f>
        <v>DADOS RETIRADOS DE PROJETO HIDROSSANITÁRIO</v>
      </c>
    </row>
    <row r="58" spans="1:7" ht="34.950000000000003" customHeight="1" x14ac:dyDescent="0.25">
      <c r="A58" s="45" t="s">
        <v>800</v>
      </c>
      <c r="B58" s="132" t="s">
        <v>385</v>
      </c>
      <c r="C58" s="602" t="str">
        <f>'PLANILHA ORÇAMENTARIA'!C60:D60</f>
        <v>CAIXA ENTERRADA HIDRÁULICA RETANGULAR EM ALVENARIA COM TIJOLOS CERÂMICOS MACIÇOS, DIMENSÕES INTERNAS: 0,8X0,8X0,6 M PARA REDE DE ESGOTO. AF_ 12/2020</v>
      </c>
      <c r="D58" s="603"/>
      <c r="E58" s="55" t="str">
        <f>'PLANILHA ORÇAMENTARIA'!E60</f>
        <v>UNID.</v>
      </c>
      <c r="F58" s="7">
        <v>4</v>
      </c>
      <c r="G58" s="535" t="str">
        <f t="shared" ref="G58:G63" si="3">G57</f>
        <v>DADOS RETIRADOS DE PROJETO HIDROSSANITÁRIO</v>
      </c>
    </row>
    <row r="59" spans="1:7" ht="34.950000000000003" customHeight="1" x14ac:dyDescent="0.25">
      <c r="A59" s="45" t="s">
        <v>807</v>
      </c>
      <c r="B59" s="44" t="s">
        <v>809</v>
      </c>
      <c r="C59" s="602" t="str">
        <f>'PLANILHA ORÇAMENTARIA'!C61:D61</f>
        <v>REGISTRO DE GAVETA BRUTO, LATÃO, ROSCÁVEL, 1/2", COM ACABAMENTO E CANOPLA CROMADOS - FORNECIMENTO E INSTALAÇÃO. AF_08/2021</v>
      </c>
      <c r="D59" s="603"/>
      <c r="E59" s="55" t="str">
        <f>'PLANILHA ORÇAMENTARIA'!E61</f>
        <v>UNID.</v>
      </c>
      <c r="F59" s="7">
        <v>4</v>
      </c>
      <c r="G59" s="535" t="str">
        <f t="shared" si="3"/>
        <v>DADOS RETIRADOS DE PROJETO HIDROSSANITÁRIO</v>
      </c>
    </row>
    <row r="60" spans="1:7" ht="34.950000000000003" customHeight="1" x14ac:dyDescent="0.25">
      <c r="A60" s="45" t="s">
        <v>808</v>
      </c>
      <c r="B60" s="44" t="s">
        <v>811</v>
      </c>
      <c r="C60" s="602" t="str">
        <f>'PLANILHA ORÇAMENTARIA'!C62:D62</f>
        <v>REGISTRO DE PRESSÃO BRUTO, LATÃO, ROSCÁVEL, 1/2", COM ACABAMENTO E CANOPLA CROMADOS - FORNECIMENTO E INSTALAÇÃO. AF_08/2021</v>
      </c>
      <c r="D60" s="603"/>
      <c r="E60" s="55" t="str">
        <f>'PLANILHA ORÇAMENTARIA'!E62</f>
        <v>UNID.</v>
      </c>
      <c r="F60" s="7">
        <v>2</v>
      </c>
      <c r="G60" s="535" t="str">
        <f t="shared" si="3"/>
        <v>DADOS RETIRADOS DE PROJETO HIDROSSANITÁRIO</v>
      </c>
    </row>
    <row r="61" spans="1:7" ht="25.05" customHeight="1" x14ac:dyDescent="0.25">
      <c r="A61" s="348" t="s">
        <v>815</v>
      </c>
      <c r="B61" s="56" t="s">
        <v>387</v>
      </c>
      <c r="C61" s="549" t="str">
        <f>'PLANILHA ORÇAMENTARIA'!C63:D63</f>
        <v>REGISTRO DE ESFERA, TIPO PVC SOLDÁVEL DN 20MM (1/2"),  INCLUSIVE VOLANTE PARA ACIONAMENTO</v>
      </c>
      <c r="D61" s="550"/>
      <c r="E61" s="298" t="str">
        <f>'PLANILHA ORÇAMENTARIA'!E63</f>
        <v>UNID.</v>
      </c>
      <c r="F61" s="299">
        <v>2</v>
      </c>
      <c r="G61" s="536" t="str">
        <f>G58</f>
        <v>DADOS RETIRADOS DE PROJETO HIDROSSANITÁRIO</v>
      </c>
    </row>
    <row r="62" spans="1:7" ht="34.950000000000003" customHeight="1" x14ac:dyDescent="0.25">
      <c r="A62" s="45" t="s">
        <v>816</v>
      </c>
      <c r="B62" s="132" t="s">
        <v>389</v>
      </c>
      <c r="C62" s="602" t="str">
        <f>'PLANILHA ORÇAMENTARIA'!C64:D64</f>
        <v>CAIXA D´ÁGUA DE POLIETILENO, CAPACIDADE DE 1.000L, INCLUSIVE TAMPA, TORNEIRA DE BOIA, EXTRAVASOR, TUBO DE LIMPEZA E ACESSÓRIOS, EXCLUSIVE TUBULAÇÃO DE ENTRADA/ SAÍDA DE ÁGUA</v>
      </c>
      <c r="D62" s="603"/>
      <c r="E62" s="55" t="str">
        <f>'PLANILHA ORÇAMENTARIA'!E64</f>
        <v>UNID.</v>
      </c>
      <c r="F62" s="7">
        <v>1</v>
      </c>
      <c r="G62" s="535" t="str">
        <f t="shared" si="3"/>
        <v>DADOS RETIRADOS DE PROJETO HIDROSSANITÁRIO</v>
      </c>
    </row>
    <row r="63" spans="1:7" ht="49.05" customHeight="1" x14ac:dyDescent="0.25">
      <c r="A63" s="45" t="s">
        <v>989</v>
      </c>
      <c r="B63" s="132" t="s">
        <v>813</v>
      </c>
      <c r="C63" s="602" t="str">
        <f>'PLANILHA ORÇAMENTARIA'!C65:D65</f>
        <v>CANALETA PARA DRENAGEM, EM CONCRETO COM FCK 15MPA, MOLDADA IN LOCO, SEÇÃO 30X30CM, FORMA EM MADEIRA, COM GRELHA EM BARRA REDONDA DN 12,5MM (1/2") E REQUADRO EM BARRA REDONDA DN 20MM (3/4") COM UMA (1) DEMÃO DE FUNDO ANTICORROSIVO E DUAS (2) DEMÃOS DE PINTURA ESMALTE, INCLUSIVE ESCAVAÇÃO, REATERRO COM TRANSPORTE E RETIRADA DO MATERIAL ESCAVADO (EM CAÇAMBA</v>
      </c>
      <c r="D63" s="603"/>
      <c r="E63" s="55" t="s">
        <v>12</v>
      </c>
      <c r="F63" s="7">
        <v>3.5</v>
      </c>
      <c r="G63" s="535" t="str">
        <f t="shared" si="3"/>
        <v>DADOS RETIRADOS DE PROJETO HIDROSSANITÁRIO</v>
      </c>
    </row>
    <row r="64" spans="1:7" ht="19.95" customHeight="1" x14ac:dyDescent="0.25">
      <c r="A64" s="126">
        <v>7</v>
      </c>
      <c r="B64" s="43"/>
      <c r="C64" s="606" t="str">
        <f>'PLANILHA ORÇAMENTARIA'!C66:D66</f>
        <v>PONTOS DE INSTALAÇÕES ELÉTRICAS</v>
      </c>
      <c r="D64" s="607"/>
      <c r="E64" s="54"/>
      <c r="F64" s="54"/>
      <c r="G64" s="71"/>
    </row>
    <row r="65" spans="1:7" s="351" customFormat="1" ht="34.950000000000003" customHeight="1" x14ac:dyDescent="0.25">
      <c r="A65" s="45" t="s">
        <v>272</v>
      </c>
      <c r="B65" s="350" t="s">
        <v>718</v>
      </c>
      <c r="C65" s="602" t="str">
        <f>'PLANILHA ORÇAMENTARIA'!C67:D67</f>
        <v>ENTRADA DE ENERGIA AÉREA, TIPO C2, PADRÃO CEMIG, CARGA INSTALADA DE 15,1KVA ATÉ 23KVA, TRIFÁSICO, COM SAÍDA SUBTERRÂNEA, INCLUSIVE POSTE, CAIXA PARA MEDIDOR, DISJUNTOR, BARRAMENTO, ATERRAMENTO E ACESSÓRIOS</v>
      </c>
      <c r="D65" s="603"/>
      <c r="E65" s="55" t="str">
        <f>'PLANILHA ORÇAMENTARIA'!E67</f>
        <v>UNID.</v>
      </c>
      <c r="F65" s="7">
        <v>1</v>
      </c>
      <c r="G65" s="535" t="s">
        <v>545</v>
      </c>
    </row>
    <row r="66" spans="1:7" s="351" customFormat="1" ht="34.950000000000003" customHeight="1" x14ac:dyDescent="0.25">
      <c r="A66" s="45" t="s">
        <v>299</v>
      </c>
      <c r="B66" s="350" t="s">
        <v>475</v>
      </c>
      <c r="C66" s="602" t="str">
        <f>'PLANILHA ORÇAMENTARIA'!C68:D68</f>
        <v>QUADRO DE DISTRIBUIÇÃO DE ENERGIA EM CHAPA DE AÇO GALVANIZADO, DE EMBUTIR, COM BARRAMENTO TRIFÁSICO, PARA 40 DISJUNTORES DIN 100A - FORNECIMENTO E INSTALAÇÃO. AF_10/2020</v>
      </c>
      <c r="D66" s="603"/>
      <c r="E66" s="55" t="str">
        <f>'PLANILHA ORÇAMENTARIA'!E68</f>
        <v>UNID.</v>
      </c>
      <c r="F66" s="7">
        <v>1</v>
      </c>
      <c r="G66" s="535" t="s">
        <v>545</v>
      </c>
    </row>
    <row r="67" spans="1:7" s="351" customFormat="1" ht="34.950000000000003" customHeight="1" x14ac:dyDescent="0.25">
      <c r="A67" s="45" t="s">
        <v>300</v>
      </c>
      <c r="B67" s="44" t="s">
        <v>499</v>
      </c>
      <c r="C67" s="602" t="str">
        <f>'PLANILHA ORÇAMENTARIA'!C69:D69</f>
        <v>DISJUNTOR TRIPOLAR TIPO DIN, CORRENTE NOMINAL DE 63A, FORNECIMENTO E INSTALAÇÃO, INCLUSIVE TERMINAL ILHÓS</v>
      </c>
      <c r="D67" s="603"/>
      <c r="E67" s="55" t="str">
        <f>'PLANILHA ORÇAMENTARIA'!E74</f>
        <v>UNID.</v>
      </c>
      <c r="F67" s="7">
        <v>1</v>
      </c>
      <c r="G67" s="535" t="s">
        <v>545</v>
      </c>
    </row>
    <row r="68" spans="1:7" ht="25.05" customHeight="1" x14ac:dyDescent="0.25">
      <c r="A68" s="348" t="s">
        <v>301</v>
      </c>
      <c r="B68" s="56" t="s">
        <v>501</v>
      </c>
      <c r="C68" s="549" t="str">
        <f>'PLANILHA ORÇAMENTARIA'!C70:D70</f>
        <v>DISJUNTOR BIPOLAR TIPO DIN, CORRENTE NOMINAL DE 32A, FORNECIMENTO E INSTALAÇÃO, INCLUSIVE TERMINAL ILHÓS</v>
      </c>
      <c r="D68" s="550"/>
      <c r="E68" s="298" t="str">
        <f>'PLANILHA ORÇAMENTARIA'!E73</f>
        <v>UNID.</v>
      </c>
      <c r="F68" s="299">
        <v>2</v>
      </c>
      <c r="G68" s="536" t="s">
        <v>545</v>
      </c>
    </row>
    <row r="69" spans="1:7" ht="25.05" customHeight="1" x14ac:dyDescent="0.25">
      <c r="A69" s="348" t="s">
        <v>302</v>
      </c>
      <c r="B69" s="56" t="s">
        <v>503</v>
      </c>
      <c r="C69" s="549" t="str">
        <f>'PLANILHA ORÇAMENTARIA'!C71:D71</f>
        <v>DISJUNTOR BIPOLAR TIPO DIN, CORRENTE NOMINAL DE 16A,FORNECIMENTO E INSTALAÇÃO, INCLUSIVE TERMINAL ILHÓS</v>
      </c>
      <c r="D69" s="550"/>
      <c r="E69" s="298" t="str">
        <f>'PLANILHA ORÇAMENTARIA'!E72</f>
        <v>UNID.</v>
      </c>
      <c r="F69" s="299">
        <v>4</v>
      </c>
      <c r="G69" s="536" t="s">
        <v>545</v>
      </c>
    </row>
    <row r="70" spans="1:7" s="351" customFormat="1" ht="34.950000000000003" customHeight="1" x14ac:dyDescent="0.25">
      <c r="A70" s="45" t="s">
        <v>444</v>
      </c>
      <c r="B70" s="44" t="s">
        <v>505</v>
      </c>
      <c r="C70" s="602" t="str">
        <f>'PLANILHA ORÇAMENTARIA'!C72:D72</f>
        <v>DISJUNTOR MONOPOLAR TIPO DIN, CORRENTE NOMINAL DE 25A, FORNECIMENTO E INSTALAÇÃO, INCLUSIVE TERMINAL ILHÓS</v>
      </c>
      <c r="D70" s="603"/>
      <c r="E70" s="55" t="str">
        <f>'PLANILHA ORÇAMENTARIA'!E71</f>
        <v>UNID.</v>
      </c>
      <c r="F70" s="7">
        <v>1</v>
      </c>
      <c r="G70" s="535" t="s">
        <v>545</v>
      </c>
    </row>
    <row r="71" spans="1:7" s="351" customFormat="1" ht="34.950000000000003" customHeight="1" x14ac:dyDescent="0.25">
      <c r="A71" s="45" t="s">
        <v>445</v>
      </c>
      <c r="B71" s="44" t="s">
        <v>507</v>
      </c>
      <c r="C71" s="602" t="str">
        <f>'PLANILHA ORÇAMENTARIA'!C73:D73</f>
        <v>DISJUNTOR MONOPOLAR TIPO DIN, CORRENTE NOMINAL DE 20A, FORNECIMENTO E INSTALAÇÃO, INCLUSIVE TERMINAL ILHÓS</v>
      </c>
      <c r="D71" s="603"/>
      <c r="E71" s="55" t="str">
        <f>'PLANILHA ORÇAMENTARIA'!E70</f>
        <v>UNID.</v>
      </c>
      <c r="F71" s="7">
        <v>1</v>
      </c>
      <c r="G71" s="535" t="s">
        <v>545</v>
      </c>
    </row>
    <row r="72" spans="1:7" s="351" customFormat="1" ht="34.950000000000003" customHeight="1" x14ac:dyDescent="0.25">
      <c r="A72" s="45" t="s">
        <v>446</v>
      </c>
      <c r="B72" s="44" t="s">
        <v>509</v>
      </c>
      <c r="C72" s="602" t="str">
        <f>'PLANILHA ORÇAMENTARIA'!C74:D74</f>
        <v>DISJUNTOR MONOPOLAR TIPO DIN, CORRENTE NOMINAL DE 16A, FORNECIMENTO E INSTALAÇÃO, INCLUSIVE TERMINAL ILHÓS</v>
      </c>
      <c r="D72" s="603"/>
      <c r="E72" s="55" t="str">
        <f>'PLANILHA ORÇAMENTARIA'!E69</f>
        <v>UNID.</v>
      </c>
      <c r="F72" s="7">
        <v>8</v>
      </c>
      <c r="G72" s="535" t="s">
        <v>545</v>
      </c>
    </row>
    <row r="73" spans="1:7" s="351" customFormat="1" ht="34.950000000000003" customHeight="1" x14ac:dyDescent="0.25">
      <c r="A73" s="45" t="s">
        <v>447</v>
      </c>
      <c r="B73" s="350" t="s">
        <v>513</v>
      </c>
      <c r="C73" s="602" t="str">
        <f>'PLANILHA ORÇAMENTARIA'!C75:D75</f>
        <v>DISJUNTOR DE PROTEÇÃO DIFERENCIAL RESIDUAL (DR), BIPOLAR TIPO DIN, CORRENTE NOMINAL DE 40A, SENSIBILIDADE DE 30MA, FORNECIMENTO E INSTALAÇÃO, INCLUSIVE TERMINAL ILHÓS</v>
      </c>
      <c r="D73" s="603"/>
      <c r="E73" s="55" t="str">
        <f>'PLANILHA ORÇAMENTARIA'!E75</f>
        <v>UNID.</v>
      </c>
      <c r="F73" s="7">
        <v>1</v>
      </c>
      <c r="G73" s="535" t="s">
        <v>545</v>
      </c>
    </row>
    <row r="74" spans="1:7" s="351" customFormat="1" ht="34.950000000000003" customHeight="1" x14ac:dyDescent="0.25">
      <c r="A74" s="45" t="s">
        <v>524</v>
      </c>
      <c r="B74" s="350" t="s">
        <v>511</v>
      </c>
      <c r="C74" s="602" t="str">
        <f>'PLANILHA ORÇAMENTARIA'!C76:D76</f>
        <v>DISJUNTOR DE PROTEÇÃO DIFERENCIAL RESIDUAL (DR), BIPOLAR TIPO DIN, CORRENTE NOMINAL DE 25A, SENSIBILIDADE DE 30MA, FORNECIMENTO E INSTALAÇÃO, INCLUSIVE TERMINAL ILHÓS</v>
      </c>
      <c r="D74" s="603"/>
      <c r="E74" s="55" t="str">
        <f>'PLANILHA ORÇAMENTARIA'!E76</f>
        <v>UNID.</v>
      </c>
      <c r="F74" s="7">
        <v>2</v>
      </c>
      <c r="G74" s="535" t="s">
        <v>545</v>
      </c>
    </row>
    <row r="75" spans="1:7" s="351" customFormat="1" ht="34.950000000000003" customHeight="1" x14ac:dyDescent="0.25">
      <c r="A75" s="45" t="s">
        <v>525</v>
      </c>
      <c r="B75" s="350" t="s">
        <v>266</v>
      </c>
      <c r="C75" s="602" t="str">
        <f>'PLANILHA ORÇAMENTARIA'!C77:D77</f>
        <v>CAIXA DE LIGAÇÃO/PASSAGEM EM PVC RÍGIDO PARA ELETRODUTO, DIMENSÕES 4"X2", EMBUTIDA EM ALVENARIA - FORNECIMENTO E INSTALAÇÃO</v>
      </c>
      <c r="D75" s="603"/>
      <c r="E75" s="55" t="str">
        <f>'PLANILHA ORÇAMENTARIA'!E77</f>
        <v>UNID.</v>
      </c>
      <c r="F75" s="7">
        <v>42</v>
      </c>
      <c r="G75" s="535" t="s">
        <v>545</v>
      </c>
    </row>
    <row r="76" spans="1:7" s="351" customFormat="1" ht="34.950000000000003" customHeight="1" x14ac:dyDescent="0.25">
      <c r="A76" s="45" t="s">
        <v>526</v>
      </c>
      <c r="B76" s="350" t="s">
        <v>477</v>
      </c>
      <c r="C76" s="602" t="str">
        <f>'PLANILHA ORÇAMENTARIA'!C78:D78</f>
        <v>CAIXA DE LIGAÇÃO/PASSAGEM EM PVC RÍGIDO PARA ELETRODUTO, OCTOGONAL COM FUNDO FIXO REFORÇADO, DIMENSÕES 4"X4", EMBUTIDA EM LAJE - FORNECIMENTO E INSTALAÇÃO</v>
      </c>
      <c r="D76" s="603"/>
      <c r="E76" s="55" t="str">
        <f>'PLANILHA ORÇAMENTARIA'!E78</f>
        <v>UNID.</v>
      </c>
      <c r="F76" s="7">
        <v>20</v>
      </c>
      <c r="G76" s="535" t="s">
        <v>545</v>
      </c>
    </row>
    <row r="77" spans="1:7" s="351" customFormat="1" ht="34.950000000000003" customHeight="1" x14ac:dyDescent="0.25">
      <c r="A77" s="45" t="s">
        <v>527</v>
      </c>
      <c r="B77" s="132" t="s">
        <v>909</v>
      </c>
      <c r="C77" s="602" t="str">
        <f>'PLANILHA ORÇAMENTARIA'!C79:D79</f>
        <v>CAIXA DE LIGAÇÃO/PASSAGEM EM PVC RÍGIDO PARA ELETRODUTO, OCTOGONAL COM ANEL DESLIZANTE, DIMENSÕES 3"X3", EMBUTIDA EM LAJE - FORNECIMENTO E INSTALAÇÃO</v>
      </c>
      <c r="D77" s="603"/>
      <c r="E77" s="55" t="str">
        <f>'PLANILHA ORÇAMENTARIA'!E79</f>
        <v>UNID.</v>
      </c>
      <c r="F77" s="7">
        <v>3</v>
      </c>
      <c r="G77" s="535" t="s">
        <v>545</v>
      </c>
    </row>
    <row r="78" spans="1:7" ht="25.05" customHeight="1" x14ac:dyDescent="0.25">
      <c r="A78" s="348" t="s">
        <v>528</v>
      </c>
      <c r="B78" s="56" t="s">
        <v>520</v>
      </c>
      <c r="C78" s="549" t="str">
        <f>'PLANILHA ORÇAMENTARIA'!C80:D80</f>
        <v>ELETRODUTO FLEXÍVEL CORRUGADO, PVC, ANTI-CHAMA, DN25MM (3/4"), APLICADO EM ALVENARIA, INCLUSIVE RASGO</v>
      </c>
      <c r="D78" s="550"/>
      <c r="E78" s="298" t="str">
        <f>'PLANILHA ORÇAMENTARIA'!E80</f>
        <v>M</v>
      </c>
      <c r="F78" s="299">
        <v>165</v>
      </c>
      <c r="G78" s="536" t="s">
        <v>545</v>
      </c>
    </row>
    <row r="79" spans="1:7" s="351" customFormat="1" ht="34.950000000000003" customHeight="1" x14ac:dyDescent="0.25">
      <c r="A79" s="45" t="s">
        <v>529</v>
      </c>
      <c r="B79" s="44" t="s">
        <v>720</v>
      </c>
      <c r="C79" s="602" t="str">
        <f>'PLANILHA ORÇAMENTARIA'!C81:D81</f>
        <v>ELETRODUTO FLEXÍVEL LISO, PEAD, DN 32 MM (1"), PARA CIRCUITOS TERMINAIS, INSTALADO EM LAJE - FORNECIMENTO E INSTALAÇÃO. AF_03/2023</v>
      </c>
      <c r="D79" s="603"/>
      <c r="E79" s="55" t="str">
        <f>'PLANILHA ORÇAMENTARIA'!E81</f>
        <v>M</v>
      </c>
      <c r="F79" s="7">
        <f>12+11</f>
        <v>23</v>
      </c>
      <c r="G79" s="535" t="s">
        <v>945</v>
      </c>
    </row>
    <row r="80" spans="1:7" s="351" customFormat="1" ht="34.950000000000003" customHeight="1" x14ac:dyDescent="0.25">
      <c r="A80" s="45" t="s">
        <v>530</v>
      </c>
      <c r="B80" s="350" t="s">
        <v>722</v>
      </c>
      <c r="C80" s="602" t="str">
        <f>'PLANILHA ORÇAMENTARIA'!C82:D82</f>
        <v>CABO DE COBRE FLEXÍVEL, CLASSE 5, ISOLAMENTO TIPO LSHF/ATOX, NÃO HALOGENADO, ANTICHAMA, TERMOPLÁSTICO, UNIPOLAR, SEÇÃO 1,5 MM2, 70°C, 450/750V</v>
      </c>
      <c r="D80" s="603"/>
      <c r="E80" s="55" t="str">
        <f>'PLANILHA ORÇAMENTARIA'!E82</f>
        <v>M</v>
      </c>
      <c r="F80" s="7">
        <v>24</v>
      </c>
      <c r="G80" s="535" t="s">
        <v>545</v>
      </c>
    </row>
    <row r="81" spans="1:7" ht="34.950000000000003" customHeight="1" x14ac:dyDescent="0.25">
      <c r="A81" s="45" t="s">
        <v>531</v>
      </c>
      <c r="B81" s="132" t="s">
        <v>479</v>
      </c>
      <c r="C81" s="602" t="str">
        <f>'PLANILHA ORÇAMENTARIA'!C83:D83</f>
        <v>CABO DE COBRE FLEXÍVEL, CLASSE 5, ISOLAMENTO TIPO LSHF/ ATOX, NÃO HALOGENADO, ANTICHAMA, TERMOPLÁSTICO, UNIPOLAR, SEÇÃO 2,5 MM2, 70°C, 450/750V</v>
      </c>
      <c r="D81" s="603"/>
      <c r="E81" s="55" t="str">
        <f>'PLANILHA ORÇAMENTARIA'!E83</f>
        <v>M</v>
      </c>
      <c r="F81" s="7">
        <v>825</v>
      </c>
      <c r="G81" s="535" t="s">
        <v>545</v>
      </c>
    </row>
    <row r="82" spans="1:7" ht="34.950000000000003" customHeight="1" x14ac:dyDescent="0.25">
      <c r="A82" s="45" t="s">
        <v>532</v>
      </c>
      <c r="B82" s="132" t="s">
        <v>481</v>
      </c>
      <c r="C82" s="602" t="str">
        <f>'PLANILHA ORÇAMENTARIA'!C84:D84</f>
        <v>CABO DE COBRE FLEXÍVEL, CLASSE 5, ISOLAMENTO TIPO LSHF/ ATOX, NÃO HALOGENADO, ANTICHAMA, TERMOPLÁSTICO, UNIPOLAR, SEÇÃO 4 MM2, 70°C, 450/750V</v>
      </c>
      <c r="D82" s="603"/>
      <c r="E82" s="55" t="str">
        <f>'PLANILHA ORÇAMENTARIA'!E84</f>
        <v>M</v>
      </c>
      <c r="F82" s="7">
        <f>24+24+24</f>
        <v>72</v>
      </c>
      <c r="G82" s="535" t="s">
        <v>545</v>
      </c>
    </row>
    <row r="83" spans="1:7" ht="34.950000000000003" customHeight="1" x14ac:dyDescent="0.25">
      <c r="A83" s="45" t="s">
        <v>533</v>
      </c>
      <c r="B83" s="132" t="s">
        <v>483</v>
      </c>
      <c r="C83" s="602" t="str">
        <f>'PLANILHA ORÇAMENTARIA'!C85:D85</f>
        <v>CABO DE COBRE FLEXÍVEL, CLASSE 5, ISOLAMENTO TIPO LSHF/ ATOX, NÃO HALOGENADO, ANTICHAMA, TERMOPLÁSTICO, UNIPOLAR, SEÇÃO 6 MM2, 70°C, 450/750V</v>
      </c>
      <c r="D83" s="603"/>
      <c r="E83" s="55" t="str">
        <f>'PLANILHA ORÇAMENTARIA'!E85</f>
        <v>M</v>
      </c>
      <c r="F83" s="7">
        <v>84</v>
      </c>
      <c r="G83" s="535" t="s">
        <v>545</v>
      </c>
    </row>
    <row r="84" spans="1:7" ht="34.950000000000003" customHeight="1" x14ac:dyDescent="0.25">
      <c r="A84" s="45" t="s">
        <v>534</v>
      </c>
      <c r="B84" s="132" t="s">
        <v>485</v>
      </c>
      <c r="C84" s="602" t="str">
        <f>'PLANILHA ORÇAMENTARIA'!C86:D86</f>
        <v>CABO DE COBRE FLEXÍVEL, CLASSE 5, ISOLAMENTO TIPO LSHF/ ATOX, NÃO HALOGENADO, ANTICHAMA, TERMOPLÁSTICO, UNIPOLAR, SEÇÃO 16 MM2, 70°C, 450/750V</v>
      </c>
      <c r="D84" s="603"/>
      <c r="E84" s="55" t="str">
        <f>'PLANILHA ORÇAMENTARIA'!E86</f>
        <v>M</v>
      </c>
      <c r="F84" s="7">
        <f>30+10+10</f>
        <v>50</v>
      </c>
      <c r="G84" s="535" t="s">
        <v>545</v>
      </c>
    </row>
    <row r="85" spans="1:7" ht="34.950000000000003" customHeight="1" x14ac:dyDescent="0.25">
      <c r="A85" s="45" t="s">
        <v>535</v>
      </c>
      <c r="B85" s="132" t="s">
        <v>487</v>
      </c>
      <c r="C85" s="602" t="str">
        <f>'PLANILHA ORÇAMENTARIA'!C87:D87</f>
        <v>CONJUNTO DE UM (1) INTERRUPTOR SIMPLES, CORRENTE 10A, TENSÃO 250V, (10A-250V), COM PLACA 4"X2" DE UM (1) POSTO, INCLUSIVE FORNECIMENTO, INSTALAÇÃO, SUPORTE, MÓDULO E PLACA</v>
      </c>
      <c r="D85" s="603"/>
      <c r="E85" s="55" t="str">
        <f>'PLANILHA ORÇAMENTARIA'!E87</f>
        <v>UNID.</v>
      </c>
      <c r="F85" s="7">
        <v>8</v>
      </c>
      <c r="G85" s="535" t="s">
        <v>545</v>
      </c>
    </row>
    <row r="86" spans="1:7" ht="34.950000000000003" customHeight="1" x14ac:dyDescent="0.25">
      <c r="A86" s="45" t="s">
        <v>536</v>
      </c>
      <c r="B86" s="132" t="s">
        <v>489</v>
      </c>
      <c r="C86" s="602" t="str">
        <f>'PLANILHA ORÇAMENTARIA'!C88:D88</f>
        <v>CONJUNTO DE TRÊS (3) INTERRUPTORES SIMPLES, CORRENTE 10A, TENSÃO 250V, (10A-250V), COM PLACA 4"X2" DE TRÊS (3) POSTOS, INCLUSIVE FORNECIMENTO, INSTALAÇÃO, SUPORTE, MÓDULO E PLACA</v>
      </c>
      <c r="D86" s="603"/>
      <c r="E86" s="55" t="str">
        <f>'PLANILHA ORÇAMENTARIA'!E88</f>
        <v>UNID.</v>
      </c>
      <c r="F86" s="7">
        <v>1</v>
      </c>
      <c r="G86" s="535" t="s">
        <v>545</v>
      </c>
    </row>
    <row r="87" spans="1:7" ht="48.6" customHeight="1" x14ac:dyDescent="0.25">
      <c r="A87" s="45" t="s">
        <v>537</v>
      </c>
      <c r="B87" s="132" t="s">
        <v>921</v>
      </c>
      <c r="C87" s="600" t="str">
        <f>'PLANILHA ORÇAMENTARIA'!C89:D89</f>
        <v>CONJUNTO DE UM (1) INTERRUPTOR SIMPLES, CORRENTE 10A, TENSÃO 250V, (10A-250V) E UM (1) INTERRUPTOR PARALELO, CORRENTE 10A, TENSÃO 250V, (10A-250V), COM PLACA 4"X2" DE DOIS (2) POSTOS, INCLUSIVE FORNECIMENTO, INSTALAÇÃO, SUPORTE, MÓDULO E PLACA</v>
      </c>
      <c r="D87" s="601"/>
      <c r="E87" s="490" t="str">
        <f>'PLANILHA ORÇAMENTARIA'!E89</f>
        <v>UNID.</v>
      </c>
      <c r="F87" s="299">
        <v>2</v>
      </c>
      <c r="G87" s="535" t="s">
        <v>545</v>
      </c>
    </row>
    <row r="88" spans="1:7" ht="34.950000000000003" customHeight="1" x14ac:dyDescent="0.25">
      <c r="A88" s="45" t="s">
        <v>538</v>
      </c>
      <c r="B88" s="132" t="s">
        <v>491</v>
      </c>
      <c r="C88" s="602" t="str">
        <f>'PLANILHA ORÇAMENTARIA'!C90:D90</f>
        <v>CONJUNTO DE UM (1) MÓDULO COM FURO PARA SAÍDA DE FIO Ø10MM, COM PLACA 4"X2" DE UM (1) POSTO, INCLUSIVE FORNECIMENTO, INSTALAÇÃO, SUPORTE, MÓDULO E PLACA</v>
      </c>
      <c r="D88" s="603"/>
      <c r="E88" s="55" t="str">
        <f>'PLANILHA ORÇAMENTARIA'!E90</f>
        <v>UNID.</v>
      </c>
      <c r="F88" s="7">
        <v>2</v>
      </c>
      <c r="G88" s="535" t="s">
        <v>545</v>
      </c>
    </row>
    <row r="89" spans="1:7" ht="34.950000000000003" customHeight="1" x14ac:dyDescent="0.25">
      <c r="A89" s="45" t="s">
        <v>539</v>
      </c>
      <c r="B89" s="132" t="s">
        <v>493</v>
      </c>
      <c r="C89" s="602" t="str">
        <f>'PLANILHA ORÇAMENTARIA'!C91:D91</f>
        <v>CONJUNTO DE UMA (1) TOMADA PADRÃO, TRÊS (3) POLOS, CORRENTE 10A, TENSÃO 250V, (2P+T/10A-250V), COM PLACA 4"X2" DE UM (1) POSTO, INCLUSIVE FORNECIMENTO, INSTALAÇÃO, SUPORTE, MÓDULO E PLACA</v>
      </c>
      <c r="D89" s="603"/>
      <c r="E89" s="55" t="str">
        <f>'PLANILHA ORÇAMENTARIA'!E91</f>
        <v>UNID.</v>
      </c>
      <c r="F89" s="7">
        <v>31</v>
      </c>
      <c r="G89" s="535" t="s">
        <v>545</v>
      </c>
    </row>
    <row r="90" spans="1:7" ht="34.950000000000003" customHeight="1" x14ac:dyDescent="0.25">
      <c r="A90" s="45" t="s">
        <v>540</v>
      </c>
      <c r="B90" s="132" t="s">
        <v>495</v>
      </c>
      <c r="C90" s="602" t="str">
        <f>'PLANILHA ORÇAMENTARIA'!C92:D92</f>
        <v>CONJUNTO DE UMA (1) TOMADA PADRÃO, TRÊS (3) POLOS, CORRENTE 20A, TENSÃO 250V, (2P+T/20A-250V), COM PLACA 4"X2" DE UM (1) POSTO, INCLUSIVE FORNECIMENTO  INSTALAÇÃO, SUPORTE, MÓDULO E PLACA</v>
      </c>
      <c r="D90" s="603"/>
      <c r="E90" s="55" t="str">
        <f>'PLANILHA ORÇAMENTARIA'!E92</f>
        <v>UNID.</v>
      </c>
      <c r="F90" s="7">
        <v>1</v>
      </c>
      <c r="G90" s="535" t="s">
        <v>545</v>
      </c>
    </row>
    <row r="91" spans="1:7" ht="34.950000000000003" customHeight="1" x14ac:dyDescent="0.25">
      <c r="A91" s="45" t="s">
        <v>541</v>
      </c>
      <c r="B91" s="132" t="s">
        <v>497</v>
      </c>
      <c r="C91" s="602" t="str">
        <f>'PLANILHA ORÇAMENTARIA'!C93:D93</f>
        <v>CONJUNTO DE DUAS (2) TOMADAS PADRÃO, TRÊS (3) POLOS, CORRENTE 10A, TENSÃO 250V, (2P+T/10A-250V), COM PLACA 4"X2" DE DOIS (2) POSTOS, INCLUSIVE FORNECIMENTO, INSTALAÇÃO, SUPORTE, MÓDULO E PLACA</v>
      </c>
      <c r="D91" s="603"/>
      <c r="E91" s="55" t="str">
        <f>'PLANILHA ORÇAMENTARIA'!E93</f>
        <v>UNID.</v>
      </c>
      <c r="F91" s="7">
        <v>1</v>
      </c>
      <c r="G91" s="535" t="s">
        <v>545</v>
      </c>
    </row>
    <row r="92" spans="1:7" ht="25.05" customHeight="1" x14ac:dyDescent="0.25">
      <c r="A92" s="45" t="s">
        <v>542</v>
      </c>
      <c r="B92" s="44" t="s">
        <v>517</v>
      </c>
      <c r="C92" s="547" t="str">
        <f>'PLANILHA ORÇAMENTARIA'!C94:D94</f>
        <v>PLAFON LED QUADRADO DE SOBREPOR 20X20 18W, 4000K FORNECIMENTO E INSTALAÇÃO</v>
      </c>
      <c r="D92" s="548"/>
      <c r="E92" s="134" t="str">
        <f>'PLANILHA ORÇAMENTARIA'!E94</f>
        <v>UNID.</v>
      </c>
      <c r="F92" s="7">
        <v>9</v>
      </c>
      <c r="G92" s="535" t="s">
        <v>545</v>
      </c>
    </row>
    <row r="93" spans="1:7" ht="25.05" customHeight="1" x14ac:dyDescent="0.25">
      <c r="A93" s="45" t="s">
        <v>543</v>
      </c>
      <c r="B93" s="44" t="s">
        <v>518</v>
      </c>
      <c r="C93" s="547" t="str">
        <f>'PLANILHA ORÇAMENTARIA'!C95:D95</f>
        <v>PLAFON LED QUADRADO DE SOBREPOR 20X20 18W, 6500K FORNECIMENTO E INSTALAÇÃO</v>
      </c>
      <c r="D93" s="548"/>
      <c r="E93" s="134" t="str">
        <f>'PLANILHA ORÇAMENTARIA'!E95</f>
        <v>UNID.</v>
      </c>
      <c r="F93" s="7">
        <v>11</v>
      </c>
      <c r="G93" s="535" t="s">
        <v>545</v>
      </c>
    </row>
    <row r="94" spans="1:7" ht="25.05" customHeight="1" x14ac:dyDescent="0.25">
      <c r="A94" s="45" t="s">
        <v>544</v>
      </c>
      <c r="B94" s="44" t="s">
        <v>519</v>
      </c>
      <c r="C94" s="547" t="str">
        <f>'PLANILHA ORÇAMENTARIA'!C96:D96</f>
        <v xml:space="preserve"> SPOT LED PAINEL SOBREPOR AVANT 5W 3000K FORNECIMENTO E INSTALAÇÃO</v>
      </c>
      <c r="D94" s="548"/>
      <c r="E94" s="134" t="str">
        <f>'PLANILHA ORÇAMENTARIA'!E96</f>
        <v>UNID.</v>
      </c>
      <c r="F94" s="7">
        <v>3</v>
      </c>
      <c r="G94" s="535" t="s">
        <v>545</v>
      </c>
    </row>
    <row r="95" spans="1:7" ht="25.05" customHeight="1" x14ac:dyDescent="0.25">
      <c r="A95" s="45" t="s">
        <v>724</v>
      </c>
      <c r="B95" s="44" t="s">
        <v>404</v>
      </c>
      <c r="C95" s="547" t="str">
        <f>'PLANILHA ORÇAMENTARIA'!C97:D97</f>
        <v>ESPETO LED PARA JARDIM 10W, 3000K (BRANCO QUENTE) FORNECIMENTO E INSTALAÇÃO</v>
      </c>
      <c r="D95" s="548"/>
      <c r="E95" s="134" t="str">
        <f>'PLANILHA ORÇAMENTARIA'!E97</f>
        <v>UNID.</v>
      </c>
      <c r="F95" s="7">
        <v>7</v>
      </c>
      <c r="G95" s="535" t="s">
        <v>545</v>
      </c>
    </row>
    <row r="96" spans="1:7" s="351" customFormat="1" ht="25.05" customHeight="1" x14ac:dyDescent="0.25">
      <c r="A96" s="45" t="s">
        <v>911</v>
      </c>
      <c r="B96" s="44" t="s">
        <v>551</v>
      </c>
      <c r="C96" s="547" t="str">
        <f>'PLANILHA ORÇAMENTARIA'!C98:D98</f>
        <v>PROJETOR LED 50W, 6000K/6500k, 3750lm, IP65 FORNECIMENTO E INSTALAÇÃO</v>
      </c>
      <c r="D96" s="548"/>
      <c r="E96" s="134" t="str">
        <f>'PLANILHA ORÇAMENTARIA'!E98</f>
        <v>UNID.</v>
      </c>
      <c r="F96" s="7">
        <v>2</v>
      </c>
      <c r="G96" s="535" t="s">
        <v>545</v>
      </c>
    </row>
    <row r="97" spans="1:7" s="351" customFormat="1" ht="25.05" customHeight="1" x14ac:dyDescent="0.25">
      <c r="A97" s="45" t="s">
        <v>916</v>
      </c>
      <c r="B97" s="44" t="s">
        <v>706</v>
      </c>
      <c r="C97" s="547" t="str">
        <f>'PLANILHA ORÇAMENTARIA'!C99:D99</f>
        <v>PROJETOR LED 20W, 6000K/6500k, 1500lm, IP65 FORNECIMENTO E INSTALAÇÃO</v>
      </c>
      <c r="D97" s="548"/>
      <c r="E97" s="134" t="str">
        <f>'PLANILHA ORÇAMENTARIA'!E99</f>
        <v>UNID.</v>
      </c>
      <c r="F97" s="7">
        <v>1</v>
      </c>
      <c r="G97" s="535" t="s">
        <v>545</v>
      </c>
    </row>
    <row r="98" spans="1:7" ht="25.05" customHeight="1" x14ac:dyDescent="0.25">
      <c r="A98" s="45" t="s">
        <v>953</v>
      </c>
      <c r="B98" s="44" t="s">
        <v>515</v>
      </c>
      <c r="C98" s="547" t="str">
        <f>'PLANILHA ORÇAMENTARIA'!C100:D100</f>
        <v>VLC SLIM CLASSE 1 275V 12,5/40kA</v>
      </c>
      <c r="D98" s="548"/>
      <c r="E98" s="134" t="str">
        <f>'PLANILHA ORÇAMENTARIA'!E100</f>
        <v>UNID.</v>
      </c>
      <c r="F98" s="7">
        <v>4</v>
      </c>
      <c r="G98" s="535" t="s">
        <v>545</v>
      </c>
    </row>
    <row r="99" spans="1:7" ht="34.950000000000003" customHeight="1" x14ac:dyDescent="0.25">
      <c r="A99" s="348" t="s">
        <v>954</v>
      </c>
      <c r="B99" s="132" t="s">
        <v>906</v>
      </c>
      <c r="C99" s="600" t="str">
        <f>'PLANILHA ORÇAMENTARIA'!C101:D101</f>
        <v>AR CONDICIONADO SPLIT INVERTER CAPACIDADE DE REFRIGERAÇÃO 9.000BTU'S, TIPO CICLO FRIO, CONTROLE REMOTO, TENSÃO/VOLTAGEM 220V FORNECIMENTO E INSTALAÇÃO</v>
      </c>
      <c r="D99" s="601"/>
      <c r="E99" s="490" t="str">
        <f>'PLANILHA ORÇAMENTARIA'!E101</f>
        <v>UNID.</v>
      </c>
      <c r="F99" s="299">
        <v>1</v>
      </c>
      <c r="G99" s="536" t="s">
        <v>545</v>
      </c>
    </row>
    <row r="100" spans="1:7" ht="25.05" customHeight="1" x14ac:dyDescent="0.25">
      <c r="A100" s="348" t="s">
        <v>960</v>
      </c>
      <c r="B100" s="56" t="s">
        <v>919</v>
      </c>
      <c r="C100" s="549" t="str">
        <f>'PLANILHA ORÇAMENTARIA'!C102:D102</f>
        <v>PONTO PARA AR CONDICIONADO SPLIT INVERTER CAPACIDADE DE REFRIGERAÇÃO 9.000BTU'S A 12.000BTU'S</v>
      </c>
      <c r="D100" s="550"/>
      <c r="E100" s="298" t="str">
        <f>'PLANILHA ORÇAMENTARIA'!E102</f>
        <v>UNID.</v>
      </c>
      <c r="F100" s="299">
        <v>4</v>
      </c>
      <c r="G100" s="536" t="s">
        <v>545</v>
      </c>
    </row>
    <row r="101" spans="1:7" s="351" customFormat="1" ht="40.049999999999997" customHeight="1" x14ac:dyDescent="0.25">
      <c r="A101" s="45" t="s">
        <v>978</v>
      </c>
      <c r="B101" s="44" t="s">
        <v>972</v>
      </c>
      <c r="C101" s="602" t="str">
        <f>'PLANILHA ORÇAMENTARIA'!C103:D103</f>
        <v>RASGO EM ALVENARIA PARA PASSAGEM DE ELETRODUTO/ TUBULAÇÃO, DIÂMETROS DE 15MM A 25MM (1/2" A 1"), EXCLUSIVE ENCHIMENTO</v>
      </c>
      <c r="D101" s="603"/>
      <c r="E101" s="134" t="s">
        <v>12</v>
      </c>
      <c r="F101" s="7">
        <f>13+(2.5*4)</f>
        <v>23</v>
      </c>
      <c r="G101" s="535" t="s">
        <v>994</v>
      </c>
    </row>
    <row r="102" spans="1:7" ht="34.950000000000003" customHeight="1" x14ac:dyDescent="0.25">
      <c r="A102" s="45" t="s">
        <v>985</v>
      </c>
      <c r="B102" s="132" t="s">
        <v>522</v>
      </c>
      <c r="C102" s="602" t="str">
        <f>'PLANILHA ORÇAMENTARIA'!C104:D104</f>
        <v>ENCHIMENTO DE RASGO EM ALVENARIA/CONCRETO COM ARGAMASSA, DIÂMETRO DE 32MM A 50MM (1.1/4" A 2"), INCLUSIVE ARGAMASSA, TRAÇO 1:2:8 (CIMENTO, CAL E AREIA), COM PREPARO MECANIZADO</v>
      </c>
      <c r="D102" s="603"/>
      <c r="E102" s="55" t="str">
        <f>'PLANILHA ORÇAMENTARIA'!E104</f>
        <v>M</v>
      </c>
      <c r="F102" s="7">
        <f>F78+13+(2.5*4)</f>
        <v>188</v>
      </c>
      <c r="G102" s="535" t="s">
        <v>993</v>
      </c>
    </row>
    <row r="103" spans="1:7" ht="19.95" customHeight="1" x14ac:dyDescent="0.25">
      <c r="A103" s="126">
        <v>8</v>
      </c>
      <c r="B103" s="43"/>
      <c r="C103" s="606" t="str">
        <f>'PLANILHA ORÇAMENTARIA'!C105:D105</f>
        <v>REVESTIMENTOS DE PAREDE INT./EXT. E TETO</v>
      </c>
      <c r="D103" s="607"/>
      <c r="E103" s="54"/>
      <c r="F103" s="54"/>
      <c r="G103" s="71"/>
    </row>
    <row r="104" spans="1:7" ht="34.950000000000003" customHeight="1" x14ac:dyDescent="0.25">
      <c r="A104" s="348" t="s">
        <v>273</v>
      </c>
      <c r="B104" s="132" t="s">
        <v>99</v>
      </c>
      <c r="C104" s="600" t="str">
        <f>'PLANILHA ORÇAMENTARIA'!C106:D106</f>
        <v>CHAPISCO COM ARGAMASSA, TRAÇO 1:3 (CIMENTO E AREIA), ESP . 5MM, APLICADO EM ALVENARIA/ESTRUTURA DE CONCRETO COM COLHER, INCLUSIVE ARGAMASSA COM PREPARO MECANIZADO</v>
      </c>
      <c r="D104" s="601"/>
      <c r="E104" s="490" t="str">
        <f>'PLANILHA ORÇAMENTARIA'!E106</f>
        <v>M2</v>
      </c>
      <c r="F104" s="299">
        <f>'ANEXO MC ESTRUTURA COMPLEMENTAR'!E225+'ANEXO MC ESTRUTURA COMPLEMENTAR'!G206</f>
        <v>750.38750000000005</v>
      </c>
      <c r="G104" s="536" t="s">
        <v>686</v>
      </c>
    </row>
    <row r="105" spans="1:7" ht="34.950000000000003" customHeight="1" x14ac:dyDescent="0.25">
      <c r="A105" s="348" t="s">
        <v>295</v>
      </c>
      <c r="B105" s="132" t="s">
        <v>101</v>
      </c>
      <c r="C105" s="600" t="str">
        <f>'PLANILHA ORÇAMENTARIA'!C107:D107</f>
        <v>EMBOÇO COM ARGAMASSA, TRAÇO 1:6 (CIMENTO E AREIA), ESP. 20MM, APLICAÇÃO MANUAL, INCLUSIVE ARGAMASSA COM PREPARO MECANIZADO, EXCLUSIVE CHAPISCO</v>
      </c>
      <c r="D105" s="601"/>
      <c r="E105" s="490" t="str">
        <f>'PLANILHA ORÇAMENTARIA'!E107</f>
        <v>M2</v>
      </c>
      <c r="F105" s="299">
        <f>'ANEXO MC ESTRUTURA COMPLEMENTAR'!H206</f>
        <v>618.07000000000005</v>
      </c>
      <c r="G105" s="536" t="s">
        <v>688</v>
      </c>
    </row>
    <row r="106" spans="1:7" ht="34.950000000000003" customHeight="1" x14ac:dyDescent="0.25">
      <c r="A106" s="348" t="s">
        <v>296</v>
      </c>
      <c r="B106" s="132" t="s">
        <v>185</v>
      </c>
      <c r="C106" s="600" t="str">
        <f>'PLANILHA ORÇAMENTARIA'!C108:D108</f>
        <v>REBOCO COM ARGAMASSA, TRAÇO 1:2:8 (CIMENTO, CAL E AREIA), ESP. 20MM, APLICAÇÃO MANUAL, INCLUSIVE ARGAMASSA COM PREPARO MECANIZADO, EXCLUSIVE CHAPISCO</v>
      </c>
      <c r="D106" s="601"/>
      <c r="E106" s="490" t="str">
        <f>'PLANILHA ORÇAMENTARIA'!E108</f>
        <v>M2</v>
      </c>
      <c r="F106" s="299">
        <f>'ANEXO MC ESTRUTURA COMPLEMENTAR'!I206+'ANEXO MC ESTRUTURA COMPLEMENTAR'!F225</f>
        <v>632.25249999999994</v>
      </c>
      <c r="G106" s="536" t="s">
        <v>689</v>
      </c>
    </row>
    <row r="107" spans="1:7" ht="45" customHeight="1" x14ac:dyDescent="0.25">
      <c r="A107" s="348" t="s">
        <v>297</v>
      </c>
      <c r="B107" s="132" t="s">
        <v>103</v>
      </c>
      <c r="C107" s="600" t="str">
        <f>'PLANILHA ORÇAMENTARIA'!C109:D109</f>
        <v>REVESTIMENTO COM CERÂMICA APLICADO EM PAREDE, ACABAMENTO ESMALTADO, AMBIENTE INTERNO/EXTERNO, PADRÃO EXTRA, DIMENSÃO DA PEÇA ATÉ 2025 CM2, PEI III, ASSENTAMENTO COM ARGAMASSA INDUSTRIALIZADA, INCLUSIVE REJUNTAMENTO</v>
      </c>
      <c r="D107" s="601"/>
      <c r="E107" s="490" t="str">
        <f>'PLANILHA ORÇAMENTARIA'!E109</f>
        <v>M2</v>
      </c>
      <c r="F107" s="299">
        <f>'ANEXO MC ESTRUTURA COMPLEMENTAR'!J206</f>
        <v>118.13499999999999</v>
      </c>
      <c r="G107" s="536" t="s">
        <v>196</v>
      </c>
    </row>
    <row r="108" spans="1:7" ht="34.950000000000003" customHeight="1" x14ac:dyDescent="0.25">
      <c r="A108" s="348" t="s">
        <v>298</v>
      </c>
      <c r="B108" s="132" t="s">
        <v>105</v>
      </c>
      <c r="C108" s="600" t="str">
        <f>'PLANILHA ORÇAMENTARIA'!C110:D110</f>
        <v>PEITORIL DE GRANITO, NA COR CINZA ANDORINHA, COM PINGADEIRA, ESP. 2CM, ACABAMENTO POLIDO, ASSENTAMENTO COM ARGAMASSA INDUSTRIALIZADA, INCLUSIVE REJUNTAMENTO</v>
      </c>
      <c r="D108" s="601"/>
      <c r="E108" s="490" t="str">
        <f>'PLANILHA ORÇAMENTARIA'!E110</f>
        <v>M2</v>
      </c>
      <c r="F108" s="299">
        <f>(1.2*0.2*2)+(0.8*0.2*3)+(1.2*0.2*3)+(1.2*0.2*1)</f>
        <v>1.9200000000000002</v>
      </c>
      <c r="G108" s="536" t="s">
        <v>823</v>
      </c>
    </row>
    <row r="109" spans="1:7" ht="19.95" customHeight="1" x14ac:dyDescent="0.25">
      <c r="A109" s="126">
        <v>9</v>
      </c>
      <c r="B109" s="43"/>
      <c r="C109" s="606" t="str">
        <f>'PLANILHA ORÇAMENTARIA'!C111:D111</f>
        <v>REVESTIMENTO DE PISO INT. E EXT.</v>
      </c>
      <c r="D109" s="607"/>
      <c r="E109" s="54"/>
      <c r="F109" s="54"/>
      <c r="G109" s="71"/>
    </row>
    <row r="110" spans="1:7" ht="64.95" customHeight="1" x14ac:dyDescent="0.25">
      <c r="A110" s="45" t="s">
        <v>274</v>
      </c>
      <c r="B110" s="132" t="s">
        <v>107</v>
      </c>
      <c r="C110" s="602" t="str">
        <f>'PLANILHA ORÇAMENTARIA'!C112:D112</f>
        <v>CONTRAPISO DESEMPENADO COM ARGAMASSA, TRAÇO 1:3 (CIMENTO E AREIA), ESP. 20MM</v>
      </c>
      <c r="D110" s="603"/>
      <c r="E110" s="55" t="str">
        <f>'PLANILHA ORÇAMENTARIA'!E112</f>
        <v>M2</v>
      </c>
      <c r="F110" s="7">
        <f>(4.46+2.3+4.65+4.65+8.22+8.22+4.45+17.1+3.52+5.04)+58.33</f>
        <v>120.94</v>
      </c>
      <c r="G110" s="535" t="s">
        <v>873</v>
      </c>
    </row>
    <row r="111" spans="1:7" ht="34.950000000000003" customHeight="1" x14ac:dyDescent="0.25">
      <c r="A111" s="45" t="s">
        <v>290</v>
      </c>
      <c r="B111" s="132" t="s">
        <v>855</v>
      </c>
      <c r="C111" s="602" t="str">
        <f>'PLANILHA ORÇAMENTARIA'!C113:D113</f>
        <v>SÓCULO COM ENCHIMENTO EM TIJOLOS MACIÇOS, ALTURA DE10CM À 12CM, INCLUSIVE ACABAMENTO EM REVESTIMENTO DE ARGAMASSA, ESP. 20MM, COM APLICAÇÃO MANUAL</v>
      </c>
      <c r="D111" s="603"/>
      <c r="E111" s="55" t="str">
        <f>'PLANILHA ORÇAMENTARIA'!E113</f>
        <v>M2</v>
      </c>
      <c r="F111" s="7">
        <v>1.95</v>
      </c>
      <c r="G111" s="535" t="s">
        <v>857</v>
      </c>
    </row>
    <row r="112" spans="1:7" ht="34.950000000000003" customHeight="1" x14ac:dyDescent="0.25">
      <c r="A112" s="45" t="s">
        <v>291</v>
      </c>
      <c r="B112" s="132" t="s">
        <v>183</v>
      </c>
      <c r="C112" s="602" t="str">
        <f>'PLANILHA ORÇAMENTARIA'!C114:D114</f>
        <v>PISO CIMENTADO NATADO COM ARGAMASSA, TRAÇO 1:3 (CIMENTO E AREIA), ESP. 20MM, ACABAMENTO QUEIMADO, SEM JUNTA DE DILATAÇÃO</v>
      </c>
      <c r="D112" s="603"/>
      <c r="E112" s="55" t="str">
        <f>'PLANILHA ORÇAMENTARIA'!E114</f>
        <v>M2</v>
      </c>
      <c r="F112" s="7">
        <f>113.9-22.86</f>
        <v>91.04</v>
      </c>
      <c r="G112" s="535" t="s">
        <v>874</v>
      </c>
    </row>
    <row r="113" spans="1:7" ht="64.95" customHeight="1" x14ac:dyDescent="0.25">
      <c r="A113" s="45" t="s">
        <v>292</v>
      </c>
      <c r="B113" s="132" t="s">
        <v>220</v>
      </c>
      <c r="C113" s="602" t="str">
        <f>'PLANILHA ORÇAMENTARIA'!C115:D115</f>
        <v>REVESTIMENTO COM PORCELANATO APLICADO EM PISO, ACABAMENTO POLÍDO, AMBIENTE INTERNO, PADRÃO EXTRA, BORDA RETIFICADA, DIMENSÃO DA PEÇA (60X60CM), ASSENTAMENTO COM ARGAMASSA INDUSTRIALIZADA, INCLUSIVE REJUNTAMENTO</v>
      </c>
      <c r="D113" s="603"/>
      <c r="E113" s="55" t="str">
        <f>'PLANILHA ORÇAMENTARIA'!E115</f>
        <v>M2</v>
      </c>
      <c r="F113" s="7">
        <f>((4.46+2.3+4.65+4.65+8.22+8.22+4.45+17.1+3.52+5.04)*1.05)+(3.8*6.6)+(((0+0.3)/2)*7*2*2)+(0.15*7*2)+(0.3*3.8*2)+(0.15*3.8*1)</f>
        <v>99.970500000000001</v>
      </c>
      <c r="G113" s="535" t="s">
        <v>853</v>
      </c>
    </row>
    <row r="114" spans="1:7" ht="34.950000000000003" customHeight="1" x14ac:dyDescent="0.25">
      <c r="A114" s="45" t="s">
        <v>293</v>
      </c>
      <c r="B114" s="132" t="s">
        <v>109</v>
      </c>
      <c r="C114" s="602" t="str">
        <f>'PLANILHA ORÇAMENTARIA'!C116:D116</f>
        <v>SOLEIRA DE GRANITO, NA COR CINZA ANDORINHA, ESP. 2CM, ACABAMENTO POLIDO, ASSENTAMENTO COM ARGAMASSA INDUSTRIALIZADA, INCLUSIVE REJUNTAMENTO</v>
      </c>
      <c r="D114" s="603"/>
      <c r="E114" s="55" t="str">
        <f>'PLANILHA ORÇAMENTARIA'!E116</f>
        <v>M2</v>
      </c>
      <c r="F114" s="7">
        <f>0.8*0.2*8</f>
        <v>1.2800000000000002</v>
      </c>
      <c r="G114" s="535" t="s">
        <v>827</v>
      </c>
    </row>
    <row r="115" spans="1:7" ht="34.950000000000003" customHeight="1" x14ac:dyDescent="0.25">
      <c r="A115" s="45" t="s">
        <v>294</v>
      </c>
      <c r="B115" s="132" t="s">
        <v>548</v>
      </c>
      <c r="C115" s="602" t="str">
        <f>'PLANILHA ORÇAMENTARIA'!C117:D117</f>
        <v>EXECUÇÃO DE PAVIMENTO EM PISO INTERTRAVADO, COM BLOCO RETANGULAR COR NATURAL DE 20 X 10 CM, ESPESSURA 8 CM. AF_10/2022</v>
      </c>
      <c r="D115" s="603"/>
      <c r="E115" s="55" t="str">
        <f>'PLANILHA ORÇAMENTARIA'!E117</f>
        <v>M2</v>
      </c>
      <c r="F115" s="7">
        <v>45.33</v>
      </c>
      <c r="G115" s="535" t="s">
        <v>650</v>
      </c>
    </row>
    <row r="116" spans="1:7" ht="45" customHeight="1" x14ac:dyDescent="0.25">
      <c r="A116" s="45" t="s">
        <v>651</v>
      </c>
      <c r="B116" s="132" t="s">
        <v>652</v>
      </c>
      <c r="C116" s="602" t="str">
        <f>'PLANILHA ORÇAMENTARIA'!C118:D118</f>
        <v>GUIA DE MEIO-FIO, EM CONCRETO COM FCK 20MPA, PRÉ-MOLDADA, MFC-01 PADRÃO DER-MG, DIMENSÕES (12X16,7X35)CM, EXCLUSIVE SARJETA, INCLUSIVE ESCAVAÇÃO, APILOAMENTO E TRANSPORTE COM RETIRADA DO MATERIAL ESCAVADO (EM CAÇAMBA)</v>
      </c>
      <c r="D116" s="603"/>
      <c r="E116" s="55" t="str">
        <f>'PLANILHA ORÇAMENTARIA'!E118</f>
        <v>M</v>
      </c>
      <c r="F116" s="7">
        <f>0.5 + 5.2 + 4 + 4.75</f>
        <v>14.45</v>
      </c>
      <c r="G116" s="535" t="s">
        <v>654</v>
      </c>
    </row>
    <row r="117" spans="1:7" ht="45" customHeight="1" x14ac:dyDescent="0.25">
      <c r="A117" s="45" t="s">
        <v>657</v>
      </c>
      <c r="B117" s="132" t="s">
        <v>655</v>
      </c>
      <c r="C117" s="602" t="str">
        <f>'PLANILHA ORÇAMENTARIA'!C119:D119</f>
        <v>REVESTIMENTO COM IMPERMEABILIZANTE EM DUAS (2) CAMADAS SOBREPOSTAS DE ARGAMASSA, TRAÇO 1:3 (CIMENTO E AREIA) COM ADITIVO IMPERMEABILIZANTE, ESP. 20MM, INCLUSIVE PINTURA COM DUAS (2) DEMÃOS COM EMULSÃO ASFÁLTICA</v>
      </c>
      <c r="D117" s="603"/>
      <c r="E117" s="55" t="str">
        <f>'PLANILHA ORÇAMENTARIA'!E119</f>
        <v>M2</v>
      </c>
      <c r="F117" s="7">
        <f>1.6 + 5.2 + 2.45 + 1.65 + 2.3 + 2.85</f>
        <v>16.05</v>
      </c>
      <c r="G117" s="535" t="s">
        <v>711</v>
      </c>
    </row>
    <row r="118" spans="1:7" ht="25.05" customHeight="1" x14ac:dyDescent="0.25">
      <c r="A118" s="348" t="s">
        <v>854</v>
      </c>
      <c r="B118" s="56" t="s">
        <v>222</v>
      </c>
      <c r="C118" s="549" t="str">
        <f>'PLANILHA ORÇAMENTARIA'!C120:D120</f>
        <v>PLANTIO DE GRAMA ESMERALDA EM PLACAS, INCLUSIVE TERRA VEGETAL E CONSERVAÇÃO POR TRINTA (30) DIAS</v>
      </c>
      <c r="D118" s="550"/>
      <c r="E118" s="298" t="str">
        <f>'PLANILHA ORÇAMENTARIA'!E120</f>
        <v>M2</v>
      </c>
      <c r="F118" s="299">
        <v>20.5</v>
      </c>
      <c r="G118" s="536" t="s">
        <v>650</v>
      </c>
    </row>
    <row r="119" spans="1:7" ht="19.95" customHeight="1" x14ac:dyDescent="0.25">
      <c r="A119" s="126">
        <v>10</v>
      </c>
      <c r="B119" s="43"/>
      <c r="C119" s="606" t="str">
        <f>'PLANILHA ORÇAMENTARIA'!C121:D121</f>
        <v xml:space="preserve">ESQUADRIAS </v>
      </c>
      <c r="D119" s="607"/>
      <c r="E119" s="54"/>
      <c r="F119" s="54"/>
      <c r="G119" s="71"/>
    </row>
    <row r="120" spans="1:7" ht="34.950000000000003" customHeight="1" x14ac:dyDescent="0.25">
      <c r="A120" s="45" t="s">
        <v>275</v>
      </c>
      <c r="B120" s="132" t="s">
        <v>263</v>
      </c>
      <c r="C120" s="602" t="str">
        <f>'PLANILHA ORÇAMENTARIA'!C122:D122</f>
        <v>PORTA DE MADEIRA, TIPO MEXICANA, MACIÇA (PESADA OU SUPERPESADA), 80X210CM, ESPESSURA DE 3,5CM, INCLUSO DOBRADIÇAS - FORNECIMENTO E INSTALAÇÃO. AF_12/2019</v>
      </c>
      <c r="D120" s="603"/>
      <c r="E120" s="55" t="str">
        <f>'PLANILHA ORÇAMENTARIA'!E122</f>
        <v>UNID.</v>
      </c>
      <c r="F120" s="7">
        <v>5</v>
      </c>
      <c r="G120" s="535" t="s">
        <v>828</v>
      </c>
    </row>
    <row r="121" spans="1:7" ht="45" customHeight="1" x14ac:dyDescent="0.25">
      <c r="A121" s="45" t="s">
        <v>286</v>
      </c>
      <c r="B121" s="132" t="s">
        <v>712</v>
      </c>
      <c r="C121" s="602" t="str">
        <f>'PLANILHA ORÇAMENTARIA'!C123:D123</f>
        <v>FECHADURA TIPO INTERNA (GORGE), GRAU DE SEGURANÇA MÉDIO, DISTÂNCIA DE BROCA 40MM, ACABAMENTO COM ESPELHO CROMADO E MAÇANETA MODELO ALAVANCA EM ZAMAC, INCLUSIVE ACESSÓRIOS PARA FIXAÇÃO E DUAS (2) CHAVES</v>
      </c>
      <c r="D121" s="603"/>
      <c r="E121" s="55" t="str">
        <f>'PLANILHA ORÇAMENTARIA'!E123</f>
        <v>UNID.</v>
      </c>
      <c r="F121" s="7">
        <v>5</v>
      </c>
      <c r="G121" s="535" t="s">
        <v>828</v>
      </c>
    </row>
    <row r="122" spans="1:7" ht="34.950000000000003" customHeight="1" x14ac:dyDescent="0.25">
      <c r="A122" s="45" t="s">
        <v>287</v>
      </c>
      <c r="B122" s="132" t="s">
        <v>178</v>
      </c>
      <c r="C122" s="602" t="str">
        <f>'PLANILHA ORÇAMENTARIA'!C124:D124</f>
        <v>PORTA METÁLICA EM CHAPA DOBRADA, DIMENSÃO (80X210)CM, TIPO DE ABRIR, UMA (1) FOLHA, INCLUSIVE ESTRUTURA, DOBRADIÇA E MARCO, EXCLUSIVE FECHADURA E PINTURA</v>
      </c>
      <c r="D122" s="603"/>
      <c r="E122" s="55" t="str">
        <f>'PLANILHA ORÇAMENTARIA'!E124</f>
        <v>UNID.</v>
      </c>
      <c r="F122" s="7">
        <f>3</f>
        <v>3</v>
      </c>
      <c r="G122" s="535" t="s">
        <v>264</v>
      </c>
    </row>
    <row r="123" spans="1:7" ht="45" customHeight="1" x14ac:dyDescent="0.25">
      <c r="A123" s="45" t="s">
        <v>288</v>
      </c>
      <c r="B123" s="132" t="s">
        <v>180</v>
      </c>
      <c r="C123" s="602" t="str">
        <f>'PLANILHA ORÇAMENTARIA'!C125:D125</f>
        <v>FECHADURA TIPO EXTERNA, EM PORTA METÁLICA, GRAU DE SEGURANÇA MÉDIO, DISTÂNCIA DE BROCA 20MM, ACABAMENTO COM ESPELHO CROMADO E MAÇANETA MODELO ALAVANCA EM ZAMAC, INCLUSIVE ACESSÓRIOS PARA FIXAÇÃO E DUAS (2) CHAVES</v>
      </c>
      <c r="D123" s="603"/>
      <c r="E123" s="55" t="str">
        <f>'PLANILHA ORÇAMENTARIA'!E125</f>
        <v>UNID.</v>
      </c>
      <c r="F123" s="7">
        <f>3</f>
        <v>3</v>
      </c>
      <c r="G123" s="535" t="s">
        <v>264</v>
      </c>
    </row>
    <row r="124" spans="1:7" ht="34.950000000000003" customHeight="1" x14ac:dyDescent="0.25">
      <c r="A124" s="45" t="s">
        <v>289</v>
      </c>
      <c r="B124" s="132" t="s">
        <v>111</v>
      </c>
      <c r="C124" s="602" t="str">
        <f>'PLANILHA ORÇAMENTARIA'!C126:D126</f>
        <v>FERRAGENS PARA MÓDULO DE JANELA DE ALUMÍNIO MÁXIM-AR, INCLUSIVE FECHO E BRAÇO, FORNECIMENTO E INSTALAÇÃO, EXCLUSIVE JANELA</v>
      </c>
      <c r="D124" s="603"/>
      <c r="E124" s="55" t="str">
        <f>'PLANILHA ORÇAMENTARIA'!E126</f>
        <v>UNID.</v>
      </c>
      <c r="F124" s="7">
        <f>9</f>
        <v>9</v>
      </c>
      <c r="G124" s="535" t="s">
        <v>829</v>
      </c>
    </row>
    <row r="125" spans="1:7" ht="45" customHeight="1" x14ac:dyDescent="0.25">
      <c r="A125" s="45" t="s">
        <v>714</v>
      </c>
      <c r="B125" s="132" t="s">
        <v>182</v>
      </c>
      <c r="C125" s="602" t="str">
        <f>'PLANILHA ORÇAMENTARIA'!C127:D127</f>
        <v>JANELA EM ALUMÍNIO MÁXIM-AR, LINHA 25/ SUPREMA, ACABAMENTO ANODIZADO NATURAL, INCLUSIVE PERFIS, VIDRO LISO 4MM E INSTALAÇÃO, EXCLUSIVE FERRAGENS PARA MÓDULO DE JANELA DE ALUMÍNIO MÁXIM-AR</v>
      </c>
      <c r="D125" s="603"/>
      <c r="E125" s="55" t="str">
        <f>'PLANILHA ORÇAMENTARIA'!E127</f>
        <v>M2</v>
      </c>
      <c r="F125" s="7">
        <f>(1.2*0.6*2)+(0.8*0.6*3)+(1.2*1.2*3)+(1.2*1*1)</f>
        <v>8.4</v>
      </c>
      <c r="G125" s="535" t="s">
        <v>830</v>
      </c>
    </row>
    <row r="126" spans="1:7" ht="25.05" customHeight="1" x14ac:dyDescent="0.25">
      <c r="A126" s="45" t="s">
        <v>840</v>
      </c>
      <c r="B126" s="44" t="s">
        <v>841</v>
      </c>
      <c r="C126" s="547" t="str">
        <f>'PLANILHA ORÇAMENTARIA'!C128:D128</f>
        <v>PORTÃO DE GRADE EM BARRA REDONDA 1/2" E REQUADRO EM BARRA CHATA 1.1/4"X3/16", EXCLUSIVE CADEADO E PINTURA</v>
      </c>
      <c r="D126" s="548"/>
      <c r="E126" s="134" t="str">
        <f>'PLANILHA ORÇAMENTARIA'!E128</f>
        <v>M2</v>
      </c>
      <c r="F126" s="7">
        <f>1.5*1.5</f>
        <v>2.25</v>
      </c>
      <c r="G126" s="535" t="s">
        <v>850</v>
      </c>
    </row>
    <row r="127" spans="1:7" ht="25.05" customHeight="1" x14ac:dyDescent="0.25">
      <c r="A127" s="45" t="s">
        <v>845</v>
      </c>
      <c r="B127" s="44" t="s">
        <v>843</v>
      </c>
      <c r="C127" s="547" t="str">
        <f>'PLANILHA ORÇAMENTARIA'!C129:D129</f>
        <v>FORNECIMENTO DE GRADE FIXA DE FERRO, INCLUSIVE ASSENTAMENTO E ACESSÓRIOS</v>
      </c>
      <c r="D127" s="548"/>
      <c r="E127" s="134" t="str">
        <f>'PLANILHA ORÇAMENTARIA'!E129</f>
        <v>M2</v>
      </c>
      <c r="F127" s="7">
        <f>1.5*1.3</f>
        <v>1.9500000000000002</v>
      </c>
      <c r="G127" s="535" t="s">
        <v>849</v>
      </c>
    </row>
    <row r="128" spans="1:7" ht="45" customHeight="1" x14ac:dyDescent="0.25">
      <c r="A128" s="45" t="s">
        <v>846</v>
      </c>
      <c r="B128" s="132" t="s">
        <v>847</v>
      </c>
      <c r="C128" s="602" t="str">
        <f>'PLANILHA ORÇAMENTARIA'!C130:D130</f>
        <v>GUARDA-CORPO, ALTURA 110CM, EM TUBO GALVANIZADO, COM COSTURA, DIÂMETRO 2", ESP. 3MM, GRADIL COM DIVISÃO HORIZONTAL EM TUBO GALVANIZADO, COM COSTURA, DIÂMETRO 1", ESP. 3MM, EXCLUSIVE PINTURA</v>
      </c>
      <c r="D128" s="603"/>
      <c r="E128" s="55" t="str">
        <f>'PLANILHA ORÇAMENTARIA'!E130</f>
        <v>M</v>
      </c>
      <c r="F128" s="7">
        <f>1.5 + 2.55 + 2.7 + 2.95 + 3.15 + 0.3 + 3.5 + 3.5 + 0.3 + 3.15 + 4.85 + 0.95</f>
        <v>29.399999999999995</v>
      </c>
      <c r="G128" s="535" t="s">
        <v>858</v>
      </c>
    </row>
    <row r="129" spans="1:7" ht="19.95" customHeight="1" x14ac:dyDescent="0.25">
      <c r="A129" s="126">
        <v>11</v>
      </c>
      <c r="B129" s="43"/>
      <c r="C129" s="606" t="str">
        <f>'PLANILHA ORÇAMENTARIA'!C131:D131</f>
        <v>LOUÇAS, METAIS E ACESSÓRIOS</v>
      </c>
      <c r="D129" s="607"/>
      <c r="E129" s="54"/>
      <c r="F129" s="54"/>
      <c r="G129" s="71"/>
    </row>
    <row r="130" spans="1:7" ht="45" customHeight="1" x14ac:dyDescent="0.25">
      <c r="A130" s="45" t="s">
        <v>276</v>
      </c>
      <c r="B130" s="132" t="s">
        <v>114</v>
      </c>
      <c r="C130" s="602" t="str">
        <f>'PLANILHA ORÇAMENTARIA'!C132:D132</f>
        <v>LAVATÓRIO DE LOUÇA BRANCA COM COLUNA, TAMANHO MÉDIO, INCLUSIVE ACESSÓRIOS DE FIXAÇÃO, VÁLVULA DE ESCOAMENTO DE METAL COM ACABAMENTO CROMADO, SIFÃO DE METAL TIPO COPO COM ACABAMENTO CROMADO, FORNECIMENTO, INSTALAÇÃO E REJUNTAMENTO, EXCLUSIVE TORNEIRA E ENGATE FLEXÍVEL</v>
      </c>
      <c r="D130" s="603"/>
      <c r="E130" s="55" t="str">
        <f>'PLANILHA ORÇAMENTARIA'!E132</f>
        <v>UNID.</v>
      </c>
      <c r="F130" s="7">
        <v>2</v>
      </c>
      <c r="G130" s="535" t="s">
        <v>831</v>
      </c>
    </row>
    <row r="131" spans="1:7" ht="34.950000000000003" customHeight="1" x14ac:dyDescent="0.25">
      <c r="A131" s="45" t="s">
        <v>281</v>
      </c>
      <c r="B131" s="132" t="s">
        <v>227</v>
      </c>
      <c r="C131" s="602" t="str">
        <f>'PLANILHA ORÇAMENTARIA'!C133:D133</f>
        <v>BANCADA EM AÇO INOXIDÁVEL</v>
      </c>
      <c r="D131" s="603"/>
      <c r="E131" s="55" t="str">
        <f>'PLANILHA ORÇAMENTARIA'!E133</f>
        <v>M2</v>
      </c>
      <c r="F131" s="7">
        <f>1.5*0.6+1.5*0.6+(0.6*0.6)</f>
        <v>2.1599999999999997</v>
      </c>
      <c r="G131" s="535" t="s">
        <v>678</v>
      </c>
    </row>
    <row r="132" spans="1:7" ht="45" customHeight="1" x14ac:dyDescent="0.25">
      <c r="A132" s="45" t="s">
        <v>282</v>
      </c>
      <c r="B132" s="132" t="s">
        <v>115</v>
      </c>
      <c r="C132" s="602" t="str">
        <f>'PLANILHA ORÇAMENTARIA'!C134:D134</f>
        <v>CUBA EM AÇO INOXIDÁVEL DE EMBUTIR, AISI 304, APLICAÇÃO PARA PIA (465X330X115MM), NÚMERO 1, ASSENTAMENTO EM BANCADA, INCLUSIVE VÁLVULA DE ESCOAMENTO DE METAL COM ACABAMENTO CROMADO, SIFÃO DE METAL TIPO COPO COM ACABAMENTO CROMADO, FORNECIMENTO E INSTALAÇÃO</v>
      </c>
      <c r="D132" s="603"/>
      <c r="E132" s="55" t="str">
        <f>'PLANILHA ORÇAMENTARIA'!E134</f>
        <v>UNID.</v>
      </c>
      <c r="F132" s="7">
        <v>3</v>
      </c>
      <c r="G132" s="535" t="s">
        <v>225</v>
      </c>
    </row>
    <row r="133" spans="1:7" ht="45" customHeight="1" x14ac:dyDescent="0.25">
      <c r="A133" s="45" t="s">
        <v>283</v>
      </c>
      <c r="B133" s="132" t="s">
        <v>676</v>
      </c>
      <c r="C133" s="602" t="str">
        <f>'PLANILHA ORÇAMENTARIA'!C135:D135</f>
        <v>CUBA EM AÇO INOXIDÁVEL DE SOBREPOR, AISI 304, APLICAÇÃO PARA TANQUE (630X515X260MM), ASSENTAMENTO EM BANCADA, INCLUSIVE VÁLVULA DE ESCOAMENTO DE METAL COM ACABAMENTO CROMADO, SIFÃO DE METAL TIPO COPO COM ACABAMENTO CROMADO, FORNECIMENTO E INSTALAÇÃO</v>
      </c>
      <c r="D133" s="603"/>
      <c r="E133" s="55" t="str">
        <f>'PLANILHA ORÇAMENTARIA'!E135</f>
        <v>UNID.</v>
      </c>
      <c r="F133" s="7">
        <v>1</v>
      </c>
      <c r="G133" s="535" t="s">
        <v>224</v>
      </c>
    </row>
    <row r="134" spans="1:7" ht="34.950000000000003" customHeight="1" x14ac:dyDescent="0.25">
      <c r="A134" s="45" t="s">
        <v>284</v>
      </c>
      <c r="B134" s="132" t="s">
        <v>117</v>
      </c>
      <c r="C134" s="602" t="str">
        <f>'PLANILHA ORÇAMENTARIA'!C136:D136</f>
        <v>BACIA SANITÁRIA (VASO) DE LOUÇA COM CAIXA ACOPLADA, COR BRANCA, INCLUSIVE ACESSÓRIOS DE FIXAÇÃO/VEDAÇÃO, ENGATE FLEXÍVEL METÁLICO, FORNECIMENTO, INSTALAÇÃO E REJUNTAMENTO</v>
      </c>
      <c r="D134" s="603"/>
      <c r="E134" s="55" t="str">
        <f>'PLANILHA ORÇAMENTARIA'!E136</f>
        <v>UNID.</v>
      </c>
      <c r="F134" s="7">
        <v>2</v>
      </c>
      <c r="G134" s="535" t="s">
        <v>831</v>
      </c>
    </row>
    <row r="135" spans="1:7" ht="25.05" customHeight="1" x14ac:dyDescent="0.25">
      <c r="A135" s="45" t="s">
        <v>285</v>
      </c>
      <c r="B135" s="44" t="s">
        <v>119</v>
      </c>
      <c r="C135" s="547" t="str">
        <f>'PLANILHA ORÇAMENTARIA'!C137:D137</f>
        <v>ASSENTO BRANCO PARA VASO</v>
      </c>
      <c r="D135" s="548"/>
      <c r="E135" s="134" t="str">
        <f>'PLANILHA ORÇAMENTARIA'!E137</f>
        <v>UNID.</v>
      </c>
      <c r="F135" s="7">
        <v>2</v>
      </c>
      <c r="G135" s="535" t="s">
        <v>831</v>
      </c>
    </row>
    <row r="136" spans="1:7" ht="25.05" customHeight="1" x14ac:dyDescent="0.25">
      <c r="A136" s="45" t="s">
        <v>405</v>
      </c>
      <c r="B136" s="116" t="s">
        <v>967</v>
      </c>
      <c r="C136" s="547" t="str">
        <f>'PLANILHA ORÇAMENTARIA'!C138:D138</f>
        <v>EXPURGO HOSPITALAR EM AÇO INOX. INCLUSIVE SIFÃO EM AÇO INOX FORNECIMENTO E INSTALAÇÃO</v>
      </c>
      <c r="D136" s="548"/>
      <c r="E136" s="134" t="str">
        <f>'PLANILHA ORÇAMENTARIA'!E138</f>
        <v>UNID.</v>
      </c>
      <c r="F136" s="7">
        <v>1</v>
      </c>
      <c r="G136" s="535" t="s">
        <v>903</v>
      </c>
    </row>
    <row r="137" spans="1:7" ht="34.950000000000003" customHeight="1" x14ac:dyDescent="0.25">
      <c r="A137" s="45" t="s">
        <v>448</v>
      </c>
      <c r="B137" s="132" t="s">
        <v>682</v>
      </c>
      <c r="C137" s="602" t="str">
        <f>'PLANILHA ORÇAMENTARIA'!C139:D139</f>
        <v>DIVISÓRIA EM GRANITO CINZA ANDORINHA, ESP. 3CM, INCLUSIVE INSTALAÇÃO, FERRAGENS EM LATÃO CROMADO E ACESSÓRIOS</v>
      </c>
      <c r="D137" s="603"/>
      <c r="E137" s="55" t="str">
        <f>'PLANILHA ORÇAMENTARIA'!E139</f>
        <v>M2</v>
      </c>
      <c r="F137" s="7">
        <f>1*2.2*2</f>
        <v>4.4000000000000004</v>
      </c>
      <c r="G137" s="535" t="s">
        <v>832</v>
      </c>
    </row>
    <row r="138" spans="1:7" ht="34.950000000000003" customHeight="1" x14ac:dyDescent="0.25">
      <c r="A138" s="45" t="s">
        <v>449</v>
      </c>
      <c r="B138" s="132" t="s">
        <v>121</v>
      </c>
      <c r="C138" s="602" t="str">
        <f>'PLANILHA ORÇAMENTARIA'!C140:D140</f>
        <v>CHUVEIRO ELÉTRICO BRANCO, TENSÃO 127V/220V, POTÊNCIA 4600W/5500W, INCLUSIVE BRAÇO, FORNECIMENTO E INSTALAÇÃO</v>
      </c>
      <c r="D138" s="603"/>
      <c r="E138" s="55" t="str">
        <f>'PLANILHA ORÇAMENTARIA'!E140</f>
        <v>UNID.</v>
      </c>
      <c r="F138" s="7">
        <v>2</v>
      </c>
      <c r="G138" s="535" t="s">
        <v>831</v>
      </c>
    </row>
    <row r="139" spans="1:7" ht="34.950000000000003" customHeight="1" x14ac:dyDescent="0.25">
      <c r="A139" s="45" t="s">
        <v>450</v>
      </c>
      <c r="B139" s="132" t="s">
        <v>454</v>
      </c>
      <c r="C139" s="602" t="s">
        <v>455</v>
      </c>
      <c r="D139" s="603"/>
      <c r="E139" s="55" t="str">
        <f>'PLANILHA ORÇAMENTARIA'!E141</f>
        <v>UNID.</v>
      </c>
      <c r="F139" s="7">
        <v>2</v>
      </c>
      <c r="G139" s="535" t="s">
        <v>831</v>
      </c>
    </row>
    <row r="140" spans="1:7" ht="34.950000000000003" customHeight="1" x14ac:dyDescent="0.25">
      <c r="A140" s="45" t="s">
        <v>451</v>
      </c>
      <c r="B140" s="132" t="s">
        <v>123</v>
      </c>
      <c r="C140" s="602" t="str">
        <f>'PLANILHA ORÇAMENTARIA'!C142:D142</f>
        <v>TORNEIRA METÁLICA PARA PIA, ABERTURA 1/4 DE VOLTA, ACABAMENTO CROMADO, COM AREJADOR, APLICAÇÃO DE PAREDE, INCLUSIVE FORNECIMENTO E INSTALAÇÃO</v>
      </c>
      <c r="D140" s="603"/>
      <c r="E140" s="55" t="str">
        <f>'PLANILHA ORÇAMENTARIA'!E142</f>
        <v>UNID.</v>
      </c>
      <c r="F140" s="7">
        <v>3</v>
      </c>
      <c r="G140" s="535" t="s">
        <v>225</v>
      </c>
    </row>
    <row r="141" spans="1:7" ht="34.950000000000003" customHeight="1" x14ac:dyDescent="0.25">
      <c r="A141" s="45" t="s">
        <v>452</v>
      </c>
      <c r="B141" s="132" t="s">
        <v>339</v>
      </c>
      <c r="C141" s="602" t="str">
        <f>'PLANILHA ORÇAMENTARIA'!C143:D143</f>
        <v>TORNEIRA METÁLICA PARA TANQUE, ACABAMENTO CROMADO, COM AREJADOR, INCLUSIVE FORNECIMENTO E INSTALAÇÃO</v>
      </c>
      <c r="D141" s="603"/>
      <c r="E141" s="55" t="str">
        <f>'PLANILHA ORÇAMENTARIA'!E143</f>
        <v>UNID.</v>
      </c>
      <c r="F141" s="7">
        <v>3</v>
      </c>
      <c r="G141" s="535" t="s">
        <v>833</v>
      </c>
    </row>
    <row r="142" spans="1:7" ht="25.05" customHeight="1" x14ac:dyDescent="0.25">
      <c r="A142" s="45" t="s">
        <v>453</v>
      </c>
      <c r="B142" s="44" t="s">
        <v>125</v>
      </c>
      <c r="C142" s="547" t="str">
        <f>'PLANILHA ORÇAMENTARIA'!C144:D144</f>
        <v>DISPENSER EM PLÁSTICO PARA PAPEL TOALHA  2 OU 3 FOLHAS / PAPEL HIGIENICO</v>
      </c>
      <c r="D142" s="548"/>
      <c r="E142" s="134" t="str">
        <f>'PLANILHA ORÇAMENTARIA'!E144</f>
        <v>UNID.</v>
      </c>
      <c r="F142" s="7">
        <v>4</v>
      </c>
      <c r="G142" s="535" t="s">
        <v>834</v>
      </c>
    </row>
    <row r="143" spans="1:7" ht="34.950000000000003" customHeight="1" x14ac:dyDescent="0.25">
      <c r="A143" s="45" t="s">
        <v>456</v>
      </c>
      <c r="B143" s="132" t="s">
        <v>126</v>
      </c>
      <c r="C143" s="602" t="str">
        <f>'PLANILHA ORÇAMENTARIA'!C145:D145</f>
        <v>ESPELHO CRISTAL, DIMENSÃO (40X60)CM, COM ESP. 4MM, EM ACABAMENTO LAPIDADO, INCLUSIVE FIXAÇÃO COM PARAFUSO TIPO FINESSON, FORNECIMENTO E INSTALAÇÃO</v>
      </c>
      <c r="D143" s="603"/>
      <c r="E143" s="55" t="str">
        <f>'PLANILHA ORÇAMENTARIA'!E145</f>
        <v>UNID.</v>
      </c>
      <c r="F143" s="7">
        <v>2</v>
      </c>
      <c r="G143" s="535" t="s">
        <v>831</v>
      </c>
    </row>
    <row r="144" spans="1:7" ht="45" customHeight="1" x14ac:dyDescent="0.25">
      <c r="A144" s="45" t="s">
        <v>457</v>
      </c>
      <c r="B144" s="132" t="str">
        <f>'PLANILHA ORÇAMENTARIA'!B146</f>
        <v>COMP.10</v>
      </c>
      <c r="C144" s="602" t="str">
        <f>'PLANILHA ORÇAMENTARIA'!C146:D146</f>
        <v xml:space="preserve">BANCADA COM TANQUE EM CONCRETO 150 X 75 CM, INCLUSIVE ALVENARIA, BARRADO EM AZULEJO E VÁLVULA DE ESCOAMENTO DE METAL COM ACABAMENTO CROMADO, SIFÃO DE METAL TIPO COPO COM ACABAMENTO CROMADO, FORNECIMENTO E INSTALAÇÃO - CONFORME DETAHAMENTO EM PROJETO </v>
      </c>
      <c r="D144" s="603"/>
      <c r="E144" s="55" t="str">
        <f>'PLANILHA ORÇAMENTARIA'!E146</f>
        <v>UNID.</v>
      </c>
      <c r="F144" s="7">
        <v>1</v>
      </c>
      <c r="G144" s="535" t="s">
        <v>228</v>
      </c>
    </row>
    <row r="145" spans="1:9" ht="34.950000000000003" customHeight="1" x14ac:dyDescent="0.25">
      <c r="A145" s="45" t="s">
        <v>458</v>
      </c>
      <c r="B145" s="132" t="s">
        <v>459</v>
      </c>
      <c r="C145" s="602" t="s">
        <v>460</v>
      </c>
      <c r="D145" s="603"/>
      <c r="E145" s="55" t="str">
        <f>'PLANILHA ORÇAMENTARIA'!E147</f>
        <v>UNID.</v>
      </c>
      <c r="F145" s="7">
        <v>8</v>
      </c>
      <c r="G145" s="535" t="s">
        <v>839</v>
      </c>
    </row>
    <row r="146" spans="1:9" ht="34.950000000000003" customHeight="1" x14ac:dyDescent="0.25">
      <c r="A146" s="45" t="s">
        <v>681</v>
      </c>
      <c r="B146" s="132" t="s">
        <v>461</v>
      </c>
      <c r="C146" s="602" t="s">
        <v>462</v>
      </c>
      <c r="D146" s="603"/>
      <c r="E146" s="55" t="str">
        <f>'PLANILHA ORÇAMENTARIA'!E148</f>
        <v>UNID.</v>
      </c>
      <c r="F146" s="7">
        <v>4</v>
      </c>
      <c r="G146" s="535" t="s">
        <v>904</v>
      </c>
    </row>
    <row r="147" spans="1:9" ht="34.950000000000003" customHeight="1" x14ac:dyDescent="0.25">
      <c r="A147" s="45" t="s">
        <v>781</v>
      </c>
      <c r="B147" s="132" t="s">
        <v>463</v>
      </c>
      <c r="C147" s="602" t="s">
        <v>464</v>
      </c>
      <c r="D147" s="603"/>
      <c r="E147" s="55" t="s">
        <v>13</v>
      </c>
      <c r="F147" s="7">
        <v>2</v>
      </c>
      <c r="G147" s="535" t="s">
        <v>838</v>
      </c>
    </row>
    <row r="148" spans="1:9" ht="34.950000000000003" customHeight="1" x14ac:dyDescent="0.25">
      <c r="A148" s="45" t="s">
        <v>902</v>
      </c>
      <c r="B148" s="44" t="s">
        <v>969</v>
      </c>
      <c r="C148" s="602" t="str">
        <f>'COMP.CUSTO'!C86</f>
        <v>LAVADORA INDUSTRIAL DE ALTA PRESSÃO LR-20 2CV MOTOR WEG MONO 450 LIBRAS COM CARRINHO FORNECIMENTO E INSTALAÇÃO</v>
      </c>
      <c r="D148" s="603"/>
      <c r="E148" s="55" t="str">
        <f>'PLANILHA ORÇAMENTARIA'!E150</f>
        <v>UNID.</v>
      </c>
      <c r="F148" s="7">
        <v>1</v>
      </c>
      <c r="G148" s="535" t="s">
        <v>835</v>
      </c>
    </row>
    <row r="149" spans="1:9" ht="19.95" customHeight="1" x14ac:dyDescent="0.25">
      <c r="A149" s="126">
        <v>12</v>
      </c>
      <c r="B149" s="43"/>
      <c r="C149" s="606" t="str">
        <f>'PLANILHA ORÇAMENTARIA'!C151:D151</f>
        <v>PINTURA</v>
      </c>
      <c r="D149" s="607"/>
      <c r="E149" s="54"/>
      <c r="F149" s="54"/>
      <c r="G149" s="71"/>
    </row>
    <row r="150" spans="1:9" ht="34.950000000000003" customHeight="1" x14ac:dyDescent="0.25">
      <c r="A150" s="45" t="s">
        <v>277</v>
      </c>
      <c r="B150" s="132" t="s">
        <v>129</v>
      </c>
      <c r="C150" s="602" t="str">
        <f>'PLANILHA ORÇAMENTARIA'!C152:D152</f>
        <v>PREPARAÇÃO PARA EMASSAMENTO OU PINTURA (LÁTEX/ACRÍLICA) EM PAREDE, INCLUSIVE UMA (1) DEMÃO DE SELADOR ACRÍLICO</v>
      </c>
      <c r="D150" s="603"/>
      <c r="E150" s="55" t="str">
        <f>'PLANILHA ORÇAMENTARIA'!E152</f>
        <v>M2</v>
      </c>
      <c r="F150" s="7">
        <f>'ANEXO MC ESTRUTURA COMPLEMENTAR'!I206</f>
        <v>499.93499999999995</v>
      </c>
      <c r="G150" s="535" t="s">
        <v>196</v>
      </c>
    </row>
    <row r="151" spans="1:9" ht="34.950000000000003" customHeight="1" x14ac:dyDescent="0.25">
      <c r="A151" s="45" t="s">
        <v>278</v>
      </c>
      <c r="B151" s="132" t="s">
        <v>197</v>
      </c>
      <c r="C151" s="602" t="str">
        <f>'PLANILHA ORÇAMENTARIA'!C153:D153</f>
        <v>PINTURA ACRÍLICA EM PAREDE, DUAS (2) DEMÃOS, INCLUSIVE UMA (1) DEMÃO DE MASSA CORRIDA (PVA), EXCLUSIVE SELADOR ACRÍLICO</v>
      </c>
      <c r="D151" s="603"/>
      <c r="E151" s="55" t="str">
        <f>'PLANILHA ORÇAMENTARIA'!E153</f>
        <v>M2</v>
      </c>
      <c r="F151" s="7">
        <f>'ANEXO MC ESTRUTURA COMPLEMENTAR'!I206</f>
        <v>499.93499999999995</v>
      </c>
      <c r="G151" s="535" t="s">
        <v>196</v>
      </c>
    </row>
    <row r="152" spans="1:9" ht="34.950000000000003" customHeight="1" x14ac:dyDescent="0.25">
      <c r="A152" s="45" t="s">
        <v>279</v>
      </c>
      <c r="B152" s="132" t="s">
        <v>131</v>
      </c>
      <c r="C152" s="602" t="str">
        <f>'PLANILHA ORÇAMENTARIA'!C154:D154</f>
        <v>PREPARAÇÃO PARA EMASSAMENTO OU PINTURA (LÁTEX/ACRÍLICA) EM TETO, INCLUSIVE UMA (1) DEMÃO DE SELADOR ACRÍLICO</v>
      </c>
      <c r="D152" s="603"/>
      <c r="E152" s="55" t="str">
        <f>'PLANILHA ORÇAMENTARIA'!E154</f>
        <v>M2</v>
      </c>
      <c r="F152" s="7">
        <f>'ANEXO MC ESTRUTURA COMPLEMENTAR'!F225+'ANEXO MC ESTRUTURA COMPLEMENTAR'!G225</f>
        <v>185.10150000000002</v>
      </c>
      <c r="G152" s="535" t="s">
        <v>196</v>
      </c>
    </row>
    <row r="153" spans="1:9" ht="25.05" customHeight="1" x14ac:dyDescent="0.25">
      <c r="A153" s="45" t="s">
        <v>280</v>
      </c>
      <c r="B153" s="44" t="s">
        <v>465</v>
      </c>
      <c r="C153" s="547" t="s">
        <v>466</v>
      </c>
      <c r="D153" s="548"/>
      <c r="E153" s="134" t="s">
        <v>9</v>
      </c>
      <c r="F153" s="7">
        <f>'ANEXO MC ESTRUTURA COMPLEMENTAR'!G225</f>
        <v>52.783999999999999</v>
      </c>
      <c r="G153" s="535" t="s">
        <v>196</v>
      </c>
    </row>
    <row r="154" spans="1:9" ht="25.05" customHeight="1" x14ac:dyDescent="0.25">
      <c r="A154" s="45" t="s">
        <v>343</v>
      </c>
      <c r="B154" s="44" t="s">
        <v>199</v>
      </c>
      <c r="C154" s="547" t="str">
        <f>'PLANILHA ORÇAMENTARIA'!C156:D156</f>
        <v xml:space="preserve"> PINTURA LÁTEX (PVA) EM TETO, DUAS (2) DEMÃOS, EXCLUSIVE SELADOR ACRÍLICO E MASSA ACRÍLICA/CORRIDA (PVA)</v>
      </c>
      <c r="D154" s="548"/>
      <c r="E154" s="134" t="str">
        <f>'PLANILHA ORÇAMENTARIA'!E156</f>
        <v>M2</v>
      </c>
      <c r="F154" s="7">
        <f>'ANEXO MC ESTRUTURA COMPLEMENTAR'!I225</f>
        <v>185.10149999999999</v>
      </c>
      <c r="G154" s="535" t="s">
        <v>196</v>
      </c>
    </row>
    <row r="155" spans="1:9" ht="34.950000000000003" customHeight="1" x14ac:dyDescent="0.25">
      <c r="A155" s="45" t="s">
        <v>467</v>
      </c>
      <c r="B155" s="132" t="s">
        <v>133</v>
      </c>
      <c r="C155" s="602" t="str">
        <f>'PLANILHA ORÇAMENTARIA'!C157:D157</f>
        <v>PINTURA COM VERNIZ SINTÉTICO MARÍTIMO EM ESQUADRIAS DE MADEIRA, DUAS (2) DEMÃOS, ACABAMENTO TIPO ACETINADO ( BRILHO SÚTIL)</v>
      </c>
      <c r="D155" s="603"/>
      <c r="E155" s="55" t="str">
        <f>'PLANILHA ORÇAMENTARIA'!E157</f>
        <v>M2</v>
      </c>
      <c r="F155" s="7">
        <f>0.8*2.1*5*2</f>
        <v>16.8</v>
      </c>
      <c r="G155" s="535" t="s">
        <v>875</v>
      </c>
    </row>
    <row r="156" spans="1:9" ht="25.05" customHeight="1" x14ac:dyDescent="0.25">
      <c r="A156" s="45" t="s">
        <v>468</v>
      </c>
      <c r="B156" s="44" t="s">
        <v>133</v>
      </c>
      <c r="C156" s="547" t="str">
        <f>'PLANILHA ORÇAMENTARIA'!C158:D158</f>
        <v>PINTURA ESMALTE EM ESTRUTURA METÁLICA, DUAS (2) DEMÃOS, INCLUSIVE UMA (1) DEMÃO FUNDO ANTICORROSIVO</v>
      </c>
      <c r="D156" s="548"/>
      <c r="E156" s="134" t="str">
        <f>'PLANILHA ORÇAMENTARIA'!E158</f>
        <v>M2</v>
      </c>
      <c r="F156" s="7">
        <f>0.8*2.1*3*2</f>
        <v>10.080000000000002</v>
      </c>
      <c r="G156" s="535" t="s">
        <v>254</v>
      </c>
    </row>
    <row r="157" spans="1:9" ht="34.950000000000003" customHeight="1" x14ac:dyDescent="0.25">
      <c r="A157" s="45" t="s">
        <v>469</v>
      </c>
      <c r="B157" s="132" t="s">
        <v>979</v>
      </c>
      <c r="C157" s="602" t="str">
        <f>'PLANILHA ORÇAMENTARIA'!C159:D159</f>
        <v xml:space="preserve">PINTURA ACRÍLICA ARTÍSTICA CONFORME PROJETO (LOGO DO SAMU),(2,50 X 1,50M), DUAS (2) DEMÃOS, EXCLUSIVE SELADOR ACRÍLICO </v>
      </c>
      <c r="D157" s="603"/>
      <c r="E157" s="55" t="str">
        <f>'PLANILHA ORÇAMENTARIA'!E159</f>
        <v>UNID.</v>
      </c>
      <c r="F157" s="7">
        <v>1</v>
      </c>
      <c r="G157" s="535" t="s">
        <v>267</v>
      </c>
    </row>
    <row r="158" spans="1:9" ht="19.95" customHeight="1" x14ac:dyDescent="0.25">
      <c r="A158" s="126">
        <v>13</v>
      </c>
      <c r="B158" s="43"/>
      <c r="C158" s="606" t="str">
        <f>'PLANILHA ORÇAMENTARIA'!C160:D160</f>
        <v xml:space="preserve">COBERTURA </v>
      </c>
      <c r="D158" s="607"/>
      <c r="E158" s="54"/>
      <c r="F158" s="54"/>
      <c r="G158" s="71"/>
    </row>
    <row r="159" spans="1:9" ht="73.05" customHeight="1" x14ac:dyDescent="0.25">
      <c r="A159" s="45" t="s">
        <v>265</v>
      </c>
      <c r="B159" s="44" t="s">
        <v>258</v>
      </c>
      <c r="C159" s="602" t="str">
        <f>'PLANILHA ORÇAMENTARIA'!C161:D161</f>
        <v>IMPERMEABILIZAÇÃO COM MANTA ASFÁLTICA PRÉ-FABRICADA, E = 4 MM</v>
      </c>
      <c r="D159" s="603"/>
      <c r="E159" s="55" t="str">
        <f>'PLANILHA ORÇAMENTARIA'!E161</f>
        <v>M2</v>
      </c>
      <c r="F159" s="7">
        <f>('ANEXO MC ESTRUTURA COMPLEMENTAR'!H58/'ANEXO MC ESTRUTURA COMPLEMENTAR'!D44) + ('ANEXO MC ESTRUTURA COMPLEMENTAR'!H72/'ANEXO MC ESTRUTURA COMPLEMENTAR'!C67) +178.09 + 3.23</f>
        <v>227.4075</v>
      </c>
      <c r="G159" s="535" t="s">
        <v>876</v>
      </c>
      <c r="I159" s="49">
        <f>9.9 + 9.9 + 9.3 + 9.3  + 9.9 + 13.2 + 11.11 + 3.9 + 4.1 + 11.7 + 8.25 + 8.25 + 9.9 + 13.2 + 9.94 + 8.4 + 8.4 + 4.5 + 6 + 5.33 + 2.1 + 3.25</f>
        <v>179.83</v>
      </c>
    </row>
    <row r="160" spans="1:9" ht="73.05" customHeight="1" x14ac:dyDescent="0.25">
      <c r="A160" s="45" t="s">
        <v>470</v>
      </c>
      <c r="B160" s="44" t="s">
        <v>107</v>
      </c>
      <c r="C160" s="547" t="s">
        <v>108</v>
      </c>
      <c r="D160" s="548"/>
      <c r="E160" s="134" t="s">
        <v>9</v>
      </c>
      <c r="F160" s="7">
        <f>F159</f>
        <v>227.4075</v>
      </c>
      <c r="G160" s="535" t="s">
        <v>876</v>
      </c>
    </row>
    <row r="161" spans="1:7" ht="25.05" customHeight="1" x14ac:dyDescent="0.25">
      <c r="A161" s="45" t="s">
        <v>471</v>
      </c>
      <c r="B161" s="44" t="s">
        <v>259</v>
      </c>
      <c r="C161" s="547" t="str">
        <f>'PLANILHA ORÇAMENTARIA'!C163:D163</f>
        <v>RALO HEMISFÉRICO, TIPO ABACAXI, DIÂMETRO DE 100MM, EXCLUSIVE CONDUTOR DE ÁGUA PLUVIAL</v>
      </c>
      <c r="D161" s="548"/>
      <c r="E161" s="134" t="str">
        <f>'PLANILHA ORÇAMENTARIA'!E163</f>
        <v>M</v>
      </c>
      <c r="F161" s="7">
        <v>8</v>
      </c>
      <c r="G161" s="535" t="s">
        <v>262</v>
      </c>
    </row>
    <row r="162" spans="1:7" ht="34.950000000000003" customHeight="1" x14ac:dyDescent="0.25">
      <c r="A162" s="45" t="s">
        <v>472</v>
      </c>
      <c r="B162" s="132" t="s">
        <v>88</v>
      </c>
      <c r="C162" s="602" t="str">
        <f>'PLANILHA ORÇAMENTARIA'!C164:D164</f>
        <v>CONDUTOR CIRCULAR DE ÁGUA PLUVIAL PARA DO TELHADO EM TUBO DE PVC, DIÂMETRO DE 100MM, INCLUSIVE CONEXÕES E SUPORTES</v>
      </c>
      <c r="D162" s="603"/>
      <c r="E162" s="55" t="str">
        <f>'PLANILHA ORÇAMENTARIA'!E164</f>
        <v>M</v>
      </c>
      <c r="F162" s="7">
        <f>3.5*8</f>
        <v>28</v>
      </c>
      <c r="G162" s="535" t="s">
        <v>173</v>
      </c>
    </row>
    <row r="163" spans="1:7" ht="40.049999999999997" customHeight="1" x14ac:dyDescent="0.25">
      <c r="A163" s="45" t="s">
        <v>473</v>
      </c>
      <c r="B163" s="132" t="s">
        <v>341</v>
      </c>
      <c r="C163" s="602" t="str">
        <f>'PLANILHA ORÇAMENTARIA'!C165:D165</f>
        <v>PINGADEIRA COM DIMENSÃO (20X5)CM, MOLDADO "IN-LOCO", EM CONCRETO NÃO ESTRUTURAL, PREPARADO EM OBRA COM BETONEIRA, COM FCK 15MPA, INCLUSIVE LANÇAMENTO, ADENSAMENTO, ACABAMENTO E ARMAÇÃO</v>
      </c>
      <c r="D163" s="603"/>
      <c r="E163" s="55" t="str">
        <f>'PLANILHA ORÇAMENTARIA'!E165</f>
        <v>M</v>
      </c>
      <c r="F163" s="7">
        <f>12.5 + 0.85 + 2.45 + 0.15 + 6 + 5 + 3.4 + 5 + 3.8 + 7.45 + 14.15+2.45+1.65+2.45+1.65</f>
        <v>68.950000000000017</v>
      </c>
      <c r="G163" s="535" t="s">
        <v>877</v>
      </c>
    </row>
    <row r="164" spans="1:7" ht="19.95" customHeight="1" x14ac:dyDescent="0.25">
      <c r="A164" s="126" t="s">
        <v>474</v>
      </c>
      <c r="B164" s="43"/>
      <c r="C164" s="606" t="str">
        <f>'PLANILHA ORÇAMENTARIA'!C166:D166</f>
        <v>TELEFONIA E DADOS</v>
      </c>
      <c r="D164" s="607"/>
      <c r="E164" s="54"/>
      <c r="F164" s="54"/>
      <c r="G164" s="71"/>
    </row>
    <row r="165" spans="1:7" ht="25.05" customHeight="1" x14ac:dyDescent="0.25">
      <c r="A165" s="45" t="s">
        <v>577</v>
      </c>
      <c r="B165" s="44" t="s">
        <v>553</v>
      </c>
      <c r="C165" s="547" t="str">
        <f>'PLANILHA ORÇAMENTARIA'!C167:D167</f>
        <v>ELETRODUTO FLEXÍVEL CORRUGADO, PVC, ANTI-CHAMA, DN32MM (1"), APLICADO EM ALVENARIA, INCLUSIVE RASGO</v>
      </c>
      <c r="D165" s="548"/>
      <c r="E165" s="134" t="s">
        <v>12</v>
      </c>
      <c r="F165" s="7">
        <v>44</v>
      </c>
      <c r="G165" s="535" t="s">
        <v>591</v>
      </c>
    </row>
    <row r="166" spans="1:7" ht="34.950000000000003" customHeight="1" x14ac:dyDescent="0.25">
      <c r="A166" s="45" t="s">
        <v>578</v>
      </c>
      <c r="B166" s="132" t="s">
        <v>555</v>
      </c>
      <c r="C166" s="547" t="str">
        <f>'PLANILHA ORÇAMENTARIA'!C168:D168</f>
        <v>ENCHIMENTO DE RASGO EM ALVENARIA/CONCRETO COM ARGAMASSA, DIÂMETRO DE 32MM A 50MM (1.1/4" A 2"), INCLUSIVE ARGAMASSA, TRAÇO 1:2:8 (CIMENTO, CAL E AREIA), COM PREPARO MECANIZADO</v>
      </c>
      <c r="D166" s="548"/>
      <c r="E166" s="133" t="s">
        <v>12</v>
      </c>
      <c r="F166" s="7">
        <f>F165</f>
        <v>44</v>
      </c>
      <c r="G166" s="535" t="str">
        <f t="shared" ref="G166:G184" si="4">G165</f>
        <v>DADOS RETIRADOS DE PROJETO TELECOMUNICAÇÃO</v>
      </c>
    </row>
    <row r="167" spans="1:7" ht="34.950000000000003" customHeight="1" x14ac:dyDescent="0.25">
      <c r="A167" s="45" t="s">
        <v>579</v>
      </c>
      <c r="B167" s="132" t="s">
        <v>720</v>
      </c>
      <c r="C167" s="547" t="str">
        <f>'PLANILHA ORÇAMENTARIA'!C169:D169</f>
        <v>ELETRODUTO FLEXÍVEL LISO, PEAD, DN 32 MM (1"), PARA CIRCUITOS TERMINAIS, INSTALADO EM LAJE - FORNECIMENTO E INSTALAÇÃO. AF_03/2023</v>
      </c>
      <c r="D167" s="548"/>
      <c r="E167" s="134" t="s">
        <v>12</v>
      </c>
      <c r="F167" s="7">
        <v>20</v>
      </c>
      <c r="G167" s="535" t="str">
        <f t="shared" si="4"/>
        <v>DADOS RETIRADOS DE PROJETO TELECOMUNICAÇÃO</v>
      </c>
    </row>
    <row r="168" spans="1:7" ht="33.6" customHeight="1" x14ac:dyDescent="0.25">
      <c r="A168" s="45" t="s">
        <v>580</v>
      </c>
      <c r="B168" s="44" t="s">
        <v>266</v>
      </c>
      <c r="C168" s="547" t="str">
        <f>'PLANILHA ORÇAMENTARIA'!C170:D170</f>
        <v>CAIXA DE LIGAÇÃO/PASSAGEM EM PVC RÍGIDO PARA ELETRODUTO, DIMENSÕES 4"X2", EMBUTIDA EM ALVENARIA - FORNECIMENTO E INSTALAÇÃO</v>
      </c>
      <c r="D168" s="548"/>
      <c r="E168" s="134" t="s">
        <v>13</v>
      </c>
      <c r="F168" s="7">
        <v>12</v>
      </c>
      <c r="G168" s="535" t="str">
        <f t="shared" si="4"/>
        <v>DADOS RETIRADOS DE PROJETO TELECOMUNICAÇÃO</v>
      </c>
    </row>
    <row r="169" spans="1:7" ht="34.950000000000003" customHeight="1" x14ac:dyDescent="0.25">
      <c r="A169" s="45" t="s">
        <v>581</v>
      </c>
      <c r="B169" s="132" t="s">
        <v>556</v>
      </c>
      <c r="C169" s="547" t="str">
        <f>'PLANILHA ORÇAMENTARIA'!C171:D171</f>
        <v>CAIXA DE PASSAGEM, DIMENSÃO (20X20)CM, EM CHAPA DE AÇO, TIPO DE EMBUTIR, COM ACABAMENTO EM PINTURA ELETROSTÁTICA E TAMPA CEGA, INCLUSIVE FIXAÇÃO EM ALVENARIA</v>
      </c>
      <c r="D169" s="548"/>
      <c r="E169" s="133" t="s">
        <v>13</v>
      </c>
      <c r="F169" s="7">
        <v>2</v>
      </c>
      <c r="G169" s="535" t="str">
        <f t="shared" si="4"/>
        <v>DADOS RETIRADOS DE PROJETO TELECOMUNICAÇÃO</v>
      </c>
    </row>
    <row r="170" spans="1:7" ht="25.05" customHeight="1" x14ac:dyDescent="0.25">
      <c r="A170" s="45" t="s">
        <v>582</v>
      </c>
      <c r="B170" s="44" t="s">
        <v>558</v>
      </c>
      <c r="C170" s="547" t="str">
        <f>'PLANILHA ORÇAMENTARIA'!C172:D172</f>
        <v>CONJUNTO DE UMA (1) PLACA CEGA 4"X2", INCLUSIVE FORNECIMENTO, INSTALAÇÃO, SUPORTE E PLACA</v>
      </c>
      <c r="D170" s="548"/>
      <c r="E170" s="134" t="s">
        <v>13</v>
      </c>
      <c r="F170" s="7">
        <v>9</v>
      </c>
      <c r="G170" s="535" t="str">
        <f t="shared" si="4"/>
        <v>DADOS RETIRADOS DE PROJETO TELECOMUNICAÇÃO</v>
      </c>
    </row>
    <row r="171" spans="1:7" ht="45" customHeight="1" x14ac:dyDescent="0.25">
      <c r="A171" s="45" t="s">
        <v>583</v>
      </c>
      <c r="B171" s="132" t="s">
        <v>560</v>
      </c>
      <c r="C171" s="602" t="str">
        <f>'PLANILHA ORÇAMENTARIA'!C173:D173</f>
        <v>CONJUNTO PARA CONDULETE DE 1" (25MM) COM UMA (1) TOMADA DE DADOS OU TELEFONIA (CONECTOR RJ45 CAT.6E OU RJ11) E PLACA DE UM (1) POSTO, INCLUSIVE FORNECIMENTO, INSTALAÇÃO, SUPORTE, MÓDULO E PLACA, EXCLUSIVE CONDULETE</v>
      </c>
      <c r="D171" s="603"/>
      <c r="E171" s="133" t="s">
        <v>13</v>
      </c>
      <c r="F171" s="7">
        <v>2</v>
      </c>
      <c r="G171" s="535" t="str">
        <f t="shared" si="4"/>
        <v>DADOS RETIRADOS DE PROJETO TELECOMUNICAÇÃO</v>
      </c>
    </row>
    <row r="172" spans="1:7" ht="34.950000000000003" customHeight="1" x14ac:dyDescent="0.25">
      <c r="A172" s="45" t="s">
        <v>584</v>
      </c>
      <c r="B172" s="132" t="s">
        <v>562</v>
      </c>
      <c r="C172" s="547" t="str">
        <f>'PLANILHA ORÇAMENTARIA'!C174:D174</f>
        <v>CABO UTP COM QUATRO (4) PARES, CATEGORIA 6, CLASSIFICAÇÃO LSZH, COM ISOLAMENTO NÃO HALOGENADO E ANTICHAMA, EXCLUSIVE CONECTOR/PLUG MACHO RJ45 E CRIMPAGEM</v>
      </c>
      <c r="D172" s="548"/>
      <c r="E172" s="133" t="s">
        <v>12</v>
      </c>
      <c r="F172" s="7">
        <v>195</v>
      </c>
      <c r="G172" s="535" t="str">
        <f t="shared" si="4"/>
        <v>DADOS RETIRADOS DE PROJETO TELECOMUNICAÇÃO</v>
      </c>
    </row>
    <row r="173" spans="1:7" ht="34.950000000000003" customHeight="1" x14ac:dyDescent="0.25">
      <c r="A173" s="45" t="s">
        <v>585</v>
      </c>
      <c r="B173" s="44" t="s">
        <v>564</v>
      </c>
      <c r="C173" s="547" t="str">
        <f>'PLANILHA ORÇAMENTARIA'!C175:D175</f>
        <v>MÓDULO PARA REDE (CONECTOR RJ45 CAT.6E), INCLUSIVE FORNECIMENTO E INSTALAÇÃO, EXCLUSIVE PLACA E SUPORTE</v>
      </c>
      <c r="D173" s="548"/>
      <c r="E173" s="134" t="s">
        <v>13</v>
      </c>
      <c r="F173" s="7">
        <v>9</v>
      </c>
      <c r="G173" s="535" t="str">
        <f t="shared" si="4"/>
        <v>DADOS RETIRADOS DE PROJETO TELECOMUNICAÇÃO</v>
      </c>
    </row>
    <row r="174" spans="1:7" ht="25.05" customHeight="1" x14ac:dyDescent="0.25">
      <c r="A174" s="45" t="s">
        <v>586</v>
      </c>
      <c r="B174" s="44" t="s">
        <v>566</v>
      </c>
      <c r="C174" s="547" t="str">
        <f>'PLANILHA ORÇAMENTARIA'!C176:D176</f>
        <v>PATCH CORD RJ45/RJ45 UTP-4P METÁLICO CATEGORIA 6, PINAGEM T568A (VOZ), COMPRIMENTO 2 METROS</v>
      </c>
      <c r="D174" s="548"/>
      <c r="E174" s="134" t="s">
        <v>13</v>
      </c>
      <c r="F174" s="7">
        <v>11</v>
      </c>
      <c r="G174" s="535" t="str">
        <f t="shared" si="4"/>
        <v>DADOS RETIRADOS DE PROJETO TELECOMUNICAÇÃO</v>
      </c>
    </row>
    <row r="175" spans="1:7" ht="25.05" customHeight="1" x14ac:dyDescent="0.25">
      <c r="A175" s="45" t="s">
        <v>587</v>
      </c>
      <c r="B175" s="44" t="s">
        <v>728</v>
      </c>
      <c r="C175" s="547" t="str">
        <f>'PLANILHA ORÇAMENTARIA'!C177:D177</f>
        <v>CONECTOR/PLUG MACHO RJ45, CATEGORIA 6, INCLUSIVE CAPA PROTETORA E CRIMPAGEM, EXCLUSIVE CERTIFICAÇÃO</v>
      </c>
      <c r="D175" s="548"/>
      <c r="E175" s="134" t="s">
        <v>13</v>
      </c>
      <c r="F175" s="7">
        <v>9</v>
      </c>
      <c r="G175" s="535" t="str">
        <f t="shared" si="4"/>
        <v>DADOS RETIRADOS DE PROJETO TELECOMUNICAÇÃO</v>
      </c>
    </row>
    <row r="176" spans="1:7" ht="34.950000000000003" customHeight="1" x14ac:dyDescent="0.25">
      <c r="A176" s="45" t="s">
        <v>588</v>
      </c>
      <c r="B176" s="132" t="s">
        <v>568</v>
      </c>
      <c r="C176" s="547" t="str">
        <f>'PLANILHA ORÇAMENTARIA'!C178:D178</f>
        <v>CABO COAXIAL RG-6, IMPEDÂNCIA 75 OHM, CONDUTOR EM FIO DE COBRE NU, BLINDAGEM TRANÇA FORMADA POR FIOS DE COBRE MALHA 90%</v>
      </c>
      <c r="D176" s="548"/>
      <c r="E176" s="134" t="s">
        <v>12</v>
      </c>
      <c r="F176" s="7">
        <v>10</v>
      </c>
      <c r="G176" s="535" t="str">
        <f>G174</f>
        <v>DADOS RETIRADOS DE PROJETO TELECOMUNICAÇÃO</v>
      </c>
    </row>
    <row r="177" spans="1:7" ht="34.950000000000003" customHeight="1" x14ac:dyDescent="0.25">
      <c r="A177" s="45" t="s">
        <v>589</v>
      </c>
      <c r="B177" s="132" t="s">
        <v>729</v>
      </c>
      <c r="C177" s="547" t="str">
        <f>'PLANILHA ORÇAMENTARIA'!C179:D179</f>
        <v>CONJUNTO DE UM (1) MÓDULO COM FURO PARA SAÍDA DE FIO Ø10MM, COM PLACA 4"X2" DE UM (1) POSTO, INCLUSIVE FORNECIMENTO, INSTALAÇÃO, SUPORTE, MÓDULO E PLACA</v>
      </c>
      <c r="D177" s="548"/>
      <c r="E177" s="134" t="s">
        <v>12</v>
      </c>
      <c r="F177" s="7">
        <v>2</v>
      </c>
      <c r="G177" s="535" t="str">
        <f>G175</f>
        <v>DADOS RETIRADOS DE PROJETO TELECOMUNICAÇÃO</v>
      </c>
    </row>
    <row r="178" spans="1:7" ht="25.05" customHeight="1" x14ac:dyDescent="0.25">
      <c r="A178" s="45" t="s">
        <v>590</v>
      </c>
      <c r="B178" s="44" t="s">
        <v>570</v>
      </c>
      <c r="C178" s="547" t="str">
        <f>'PLANILHA ORÇAMENTARIA'!C180:D180</f>
        <v>RACK FECHADO PARA SERVIDOR - FORNECIMENTO E INSTALAÇÃO. AF_11/2019</v>
      </c>
      <c r="D178" s="548"/>
      <c r="E178" s="134" t="s">
        <v>13</v>
      </c>
      <c r="F178" s="7">
        <v>1</v>
      </c>
      <c r="G178" s="535" t="str">
        <f>G176</f>
        <v>DADOS RETIRADOS DE PROJETO TELECOMUNICAÇÃO</v>
      </c>
    </row>
    <row r="179" spans="1:7" ht="25.05" customHeight="1" x14ac:dyDescent="0.25">
      <c r="A179" s="45" t="s">
        <v>727</v>
      </c>
      <c r="B179" s="44" t="s">
        <v>572</v>
      </c>
      <c r="C179" s="547" t="str">
        <f>'PLANILHA ORÇAMENTARIA'!C181:D181</f>
        <v>PATCH PANEL 24 POSIÇÕES, CATEGORIA COM GUIA TRASEIRO</v>
      </c>
      <c r="D179" s="548"/>
      <c r="E179" s="134" t="s">
        <v>574</v>
      </c>
      <c r="F179" s="7">
        <v>1</v>
      </c>
      <c r="G179" s="535" t="str">
        <f t="shared" si="4"/>
        <v>DADOS RETIRADOS DE PROJETO TELECOMUNICAÇÃO</v>
      </c>
    </row>
    <row r="180" spans="1:7" ht="25.05" customHeight="1" x14ac:dyDescent="0.25">
      <c r="A180" s="45" t="s">
        <v>734</v>
      </c>
      <c r="B180" s="44" t="s">
        <v>575</v>
      </c>
      <c r="C180" s="547" t="str">
        <f>'PLANILHA ORÇAMENTARIA'!C182:D182</f>
        <v>ORGANIZADOR DE CABOS DE 1U PARA RACK 19"</v>
      </c>
      <c r="D180" s="548"/>
      <c r="E180" s="134" t="s">
        <v>574</v>
      </c>
      <c r="F180" s="7">
        <v>3</v>
      </c>
      <c r="G180" s="535" t="str">
        <f t="shared" si="4"/>
        <v>DADOS RETIRADOS DE PROJETO TELECOMUNICAÇÃO</v>
      </c>
    </row>
    <row r="181" spans="1:7" ht="43.05" customHeight="1" x14ac:dyDescent="0.25">
      <c r="A181" s="45" t="s">
        <v>735</v>
      </c>
      <c r="B181" s="132" t="s">
        <v>920</v>
      </c>
      <c r="C181" s="547" t="str">
        <f>'PLANILHA ORÇAMENTARIA'!C183:D183</f>
        <v xml:space="preserve">SWITCH 10/100 16 PORTAS POE, PADRÃO IEEE 802.3AF, IEEE 802.3AT, SUPORTA ATÉ 30W POE POR PORTA, SUPORTA ATÉ A POTENCIA POE DE 130W NO TOTAL, CERTIFICAÇÃO CE, ROHS, FCC, UL. REFERENCIA: HIKIVISION DS-3E0318P-E/M(B) FORNECIMENTO E INSTALAÇÃO </v>
      </c>
      <c r="D181" s="548"/>
      <c r="E181" s="134" t="s">
        <v>13</v>
      </c>
      <c r="F181" s="7">
        <v>1</v>
      </c>
      <c r="G181" s="535" t="str">
        <f t="shared" si="4"/>
        <v>DADOS RETIRADOS DE PROJETO TELECOMUNICAÇÃO</v>
      </c>
    </row>
    <row r="182" spans="1:7" ht="64.95" customHeight="1" x14ac:dyDescent="0.25">
      <c r="A182" s="45" t="s">
        <v>736</v>
      </c>
      <c r="B182" s="132" t="s">
        <v>964</v>
      </c>
      <c r="C182" s="547" t="str">
        <f>'PLANILHA ORÇAMENTARIA'!C184:D184</f>
        <v xml:space="preserve">CAMERA IP, BULLET 2MP, IR, LENTE FIXA 2,8MM, IP 67 (RESISTENTE A POEIRA E AGUA) SENSOR 1/2.9" PROGRESSIVE SCAN CMOS, COR: 0.01 LUX @ (F2.2, AGC ON),B/W: 0 LUX COM IR; TEMPO DO OBTURADOR: 1/3 S TO 1/100,000 S, LUZ IR SUPLEMENTAR ATÉ 30M (COMPRIMENTO DE ONDA IR 850NM), PORTA 1 RJ45 10/100, ALIMENTAÇÃO POE: IEEE 802.3AF, CLASS 3, MAX. 6.5 W, CONDIÇÃO DE OPERAÇÃO DE TEMPERATURA -30 °C TO 60 °C E 95% DE HUMIDADE DO AR OU MENOS. REFERÊNCIA: HIKIVISION DS-2CD1021G0-I(2,8MM)FORNECIMENTO E INSTALAÇÃO </v>
      </c>
      <c r="D182" s="548"/>
      <c r="E182" s="134" t="s">
        <v>13</v>
      </c>
      <c r="F182" s="7">
        <v>8</v>
      </c>
      <c r="G182" s="535" t="str">
        <f t="shared" si="4"/>
        <v>DADOS RETIRADOS DE PROJETO TELECOMUNICAÇÃO</v>
      </c>
    </row>
    <row r="183" spans="1:7" ht="52.95" customHeight="1" x14ac:dyDescent="0.25">
      <c r="A183" s="45" t="s">
        <v>737</v>
      </c>
      <c r="B183" s="132" t="s">
        <v>965</v>
      </c>
      <c r="C183" s="547" t="str">
        <f>'PLANILHA ORÇAMENTARIA'!C185:D185</f>
        <v xml:space="preserve">NVR 16 CANAIS IP, SUPORTE AOS PROTOCOLOS ONVIF (PROFILE S/G); SDK; ISAPI/ H.265+/H.265/H.264+/H.264, COM ANALÍTICO INTELIGENTE, DETECÇÃO FACIAL, SENSOR DE MOVIMENTO, PROTEÇÃO DE PERÍMETRO, SUPORTE PARA GRAVAÇÃO DE VÍDEO E AUDIO, CERTIFICAÇÃO FCC PART 15, ANSI C63.4-2014, CE, FCC, ROHS. COM 1 HD DE 6TB WD PURPLE,  REFERÊNCIA: HIKIVISION DS-7616NI-Q1(C)FORNECIMENTO E INSTALAÇÃO </v>
      </c>
      <c r="D183" s="548"/>
      <c r="E183" s="134" t="s">
        <v>13</v>
      </c>
      <c r="F183" s="7">
        <v>1</v>
      </c>
      <c r="G183" s="535" t="str">
        <f t="shared" si="4"/>
        <v>DADOS RETIRADOS DE PROJETO TELECOMUNICAÇÃO</v>
      </c>
    </row>
    <row r="184" spans="1:7" ht="34.950000000000003" customHeight="1" x14ac:dyDescent="0.25">
      <c r="A184" s="45" t="s">
        <v>946</v>
      </c>
      <c r="B184" s="132" t="s">
        <v>966</v>
      </c>
      <c r="C184" s="547" t="str">
        <f>'PLANILHA ORÇAMENTARIA'!C186:D186</f>
        <v xml:space="preserve">ACCESS POINT DE PAREDE, MU-MIMO, WIRELESS AC1200, ALIMENTADO VIA POE, WI-FI DUAL BAND: SIMULTÂNEO 300 MBPS EM 2.4 GHZ E 867 MBPS EM 5 GHZ TOTAL 1167 MBPS. REF.:EAP225-WALL TP LINK FORNECIMENTO E INSTALAÇÃO </v>
      </c>
      <c r="D184" s="548"/>
      <c r="E184" s="134" t="s">
        <v>13</v>
      </c>
      <c r="F184" s="7">
        <v>1</v>
      </c>
      <c r="G184" s="535" t="str">
        <f t="shared" si="4"/>
        <v>DADOS RETIRADOS DE PROJETO TELECOMUNICAÇÃO</v>
      </c>
    </row>
    <row r="185" spans="1:7" ht="19.95" customHeight="1" x14ac:dyDescent="0.25">
      <c r="A185" s="126">
        <v>15</v>
      </c>
      <c r="B185" s="43"/>
      <c r="C185" s="606" t="str">
        <f>'PLANILHA ORÇAMENTARIA'!C187:D187</f>
        <v>SPDA</v>
      </c>
      <c r="D185" s="607"/>
      <c r="E185" s="54"/>
      <c r="F185" s="54"/>
      <c r="G185" s="71"/>
    </row>
    <row r="186" spans="1:7" ht="34.950000000000003" customHeight="1" x14ac:dyDescent="0.25">
      <c r="A186" s="45" t="s">
        <v>592</v>
      </c>
      <c r="B186" s="132" t="s">
        <v>602</v>
      </c>
      <c r="C186" s="547" t="str">
        <f>'PLANILHA ORÇAMENTARIA'!C188:D188</f>
        <v>CABO DE COBRE NU #35MM2 - 7 FIOSX2,50MM, PARA ELEMENTOS DE CAPTAÇÃO/ ANEL DE CINTAMENTO/ DESCIDA (SPDA), INCLUSIVE SUPORTE E ISOLADOR</v>
      </c>
      <c r="D186" s="548"/>
      <c r="E186" s="133" t="s">
        <v>12</v>
      </c>
      <c r="F186" s="7">
        <v>90</v>
      </c>
      <c r="G186" s="535" t="s">
        <v>619</v>
      </c>
    </row>
    <row r="187" spans="1:7" ht="25.05" customHeight="1" x14ac:dyDescent="0.25">
      <c r="A187" s="45" t="s">
        <v>593</v>
      </c>
      <c r="B187" s="44" t="s">
        <v>933</v>
      </c>
      <c r="C187" s="602" t="str">
        <f>'PLANILHA ORÇAMENTARIA'!C189:D189</f>
        <v>PRESILHA PARA CABO DE COBRE SEÇÃO TRANSVERSAL 35 MM2</v>
      </c>
      <c r="D187" s="603"/>
      <c r="E187" s="134" t="s">
        <v>13</v>
      </c>
      <c r="F187" s="7">
        <v>90</v>
      </c>
      <c r="G187" s="535" t="s">
        <v>619</v>
      </c>
    </row>
    <row r="188" spans="1:7" ht="34.950000000000003" customHeight="1" x14ac:dyDescent="0.25">
      <c r="A188" s="45" t="s">
        <v>594</v>
      </c>
      <c r="B188" s="132" t="s">
        <v>603</v>
      </c>
      <c r="C188" s="547" t="str">
        <f>'PLANILHA ORÇAMENTARIA'!C190:D190</f>
        <v>CABO DE COBRE NU #50MM2 - 7 FIOSX3,00MM, PARA ELEMENTOS DE CAPTAÇÃO/ ANEL DE CINTAMENTO/ DESCIDA (SPDA), INCLUSIVE SUPORTE E ISOLADOR</v>
      </c>
      <c r="D188" s="548"/>
      <c r="E188" s="133" t="s">
        <v>12</v>
      </c>
      <c r="F188" s="7">
        <v>77</v>
      </c>
      <c r="G188" s="535" t="str">
        <f>G186</f>
        <v>DADOS RETIRADOS DE PROJETO SPDA</v>
      </c>
    </row>
    <row r="189" spans="1:7" ht="25.05" customHeight="1" x14ac:dyDescent="0.25">
      <c r="A189" s="45" t="s">
        <v>595</v>
      </c>
      <c r="B189" s="44" t="s">
        <v>935</v>
      </c>
      <c r="C189" s="602" t="str">
        <f>'PLANILHA ORÇAMENTARIA'!C191:D191</f>
        <v>PRESILHA PARA CABO DE ALUMÍNIO SEÇÃO TRANSVERSAL INFERIOR OU IGUAL A 70 MM2</v>
      </c>
      <c r="D189" s="603"/>
      <c r="E189" s="134" t="s">
        <v>13</v>
      </c>
      <c r="F189" s="7">
        <f>F188</f>
        <v>77</v>
      </c>
      <c r="G189" s="535" t="str">
        <f>G187</f>
        <v>DADOS RETIRADOS DE PROJETO SPDA</v>
      </c>
    </row>
    <row r="190" spans="1:7" ht="34.950000000000003" customHeight="1" x14ac:dyDescent="0.25">
      <c r="A190" s="45" t="s">
        <v>596</v>
      </c>
      <c r="B190" s="132" t="s">
        <v>485</v>
      </c>
      <c r="C190" s="547" t="str">
        <f>'PLANILHA ORÇAMENTARIA'!C192:D192</f>
        <v>CABO DE COBRE FLEXÍVEL, CLASSE 5, ISOLAMENTO TIPO LSHF/ ATOX, NÃO HALOGENADO, ANTICHAMA, TERMOPLÁSTICO, UNIPOLAR, SEÇÃO 16 MM2, 70°C, 450/750V</v>
      </c>
      <c r="D190" s="548"/>
      <c r="E190" s="133" t="s">
        <v>12</v>
      </c>
      <c r="F190" s="7">
        <v>13</v>
      </c>
      <c r="G190" s="535" t="str">
        <f>G188</f>
        <v>DADOS RETIRADOS DE PROJETO SPDA</v>
      </c>
    </row>
    <row r="191" spans="1:7" ht="25.05" customHeight="1" x14ac:dyDescent="0.25">
      <c r="A191" s="45" t="s">
        <v>597</v>
      </c>
      <c r="B191" s="44" t="s">
        <v>937</v>
      </c>
      <c r="C191" s="602" t="str">
        <f>'PLANILHA ORÇAMENTARIA'!C193:D193</f>
        <v>PRESILHA PARA CABO DE COBRE SEÇÃO TRANSVERSAL 16 MM2</v>
      </c>
      <c r="D191" s="603"/>
      <c r="E191" s="134" t="s">
        <v>13</v>
      </c>
      <c r="F191" s="7">
        <f>F190</f>
        <v>13</v>
      </c>
      <c r="G191" s="535" t="str">
        <f>G189</f>
        <v>DADOS RETIRADOS DE PROJETO SPDA</v>
      </c>
    </row>
    <row r="192" spans="1:7" ht="25.05" customHeight="1" x14ac:dyDescent="0.25">
      <c r="A192" s="45" t="s">
        <v>598</v>
      </c>
      <c r="B192" s="44" t="s">
        <v>607</v>
      </c>
      <c r="C192" s="602" t="str">
        <f>'PLANILHA ORÇAMENTARIA'!C194:D194</f>
        <v>BARRA CHATA DE ALUMÍNIO 7/8" X 1/8" X 3M</v>
      </c>
      <c r="D192" s="603"/>
      <c r="E192" s="134" t="s">
        <v>13</v>
      </c>
      <c r="F192" s="7">
        <v>16</v>
      </c>
      <c r="G192" s="535" t="str">
        <f>G190</f>
        <v>DADOS RETIRADOS DE PROJETO SPDA</v>
      </c>
    </row>
    <row r="193" spans="1:7" ht="25.05" customHeight="1" x14ac:dyDescent="0.25">
      <c r="A193" s="45" t="s">
        <v>599</v>
      </c>
      <c r="B193" s="44" t="s">
        <v>927</v>
      </c>
      <c r="C193" s="602" t="str">
        <f>'PLANILHA ORÇAMENTARIA'!C195:D195</f>
        <v>PARAFUSO (ROSCA: SOBERBA|CABEÇA SEXTAVADA|MATERAL: AÇO|COMPRIMENTO: 50MM| DIÂMETRO: 4,8MM [3/16"])</v>
      </c>
      <c r="D193" s="603"/>
      <c r="E193" s="134" t="s">
        <v>13</v>
      </c>
      <c r="F193" s="7">
        <v>48</v>
      </c>
      <c r="G193" s="535" t="str">
        <f t="shared" ref="G193:G201" si="5">G192</f>
        <v>DADOS RETIRADOS DE PROJETO SPDA</v>
      </c>
    </row>
    <row r="194" spans="1:7" ht="25.05" customHeight="1" x14ac:dyDescent="0.25">
      <c r="A194" s="45" t="s">
        <v>600</v>
      </c>
      <c r="B194" s="44" t="s">
        <v>929</v>
      </c>
      <c r="C194" s="602" t="str">
        <f>'PLANILHA ORÇAMENTARIA'!C196:D196</f>
        <v>BUCHA DE NYLON (DIÂMETRO NOMINAL: 10MM|COMPRIMENTO DA BUCHA: 50MM| DIÂMETRO DO PARAFUSO: 6-8MM)</v>
      </c>
      <c r="D194" s="603"/>
      <c r="E194" s="134" t="s">
        <v>13</v>
      </c>
      <c r="F194" s="7">
        <f>F193</f>
        <v>48</v>
      </c>
      <c r="G194" s="535" t="str">
        <f t="shared" si="5"/>
        <v>DADOS RETIRADOS DE PROJETO SPDA</v>
      </c>
    </row>
    <row r="195" spans="1:7" ht="25.05" customHeight="1" x14ac:dyDescent="0.25">
      <c r="A195" s="45" t="s">
        <v>926</v>
      </c>
      <c r="B195" s="44" t="s">
        <v>609</v>
      </c>
      <c r="C195" s="602" t="str">
        <f>'PLANILHA ORÇAMENTARIA'!C197:D197</f>
        <v>HASTE PARA ATERRAMENTO, ALTA CAMADA, 3/4" X 3M</v>
      </c>
      <c r="D195" s="603"/>
      <c r="E195" s="134" t="s">
        <v>13</v>
      </c>
      <c r="F195" s="7">
        <v>9</v>
      </c>
      <c r="G195" s="535" t="str">
        <f>G192</f>
        <v>DADOS RETIRADOS DE PROJETO SPDA</v>
      </c>
    </row>
    <row r="196" spans="1:7" ht="34.950000000000003" customHeight="1" x14ac:dyDescent="0.25">
      <c r="A196" s="45" t="s">
        <v>931</v>
      </c>
      <c r="B196" s="132" t="s">
        <v>613</v>
      </c>
      <c r="C196" s="547" t="str">
        <f>'PLANILHA ORÇAMENTARIA'!C198:D198</f>
        <v>CAIXA DE INSPEÇÃO EM PVC, DIÂMETRO DE 30CM, ALTURA DE 30CM, COM TAMPA EM FERRO FUNDIDO, EXCLUSIVE HASTE DE ATERRAMENTO, INCLUSIVE INSTALAÇÃO</v>
      </c>
      <c r="D196" s="548"/>
      <c r="E196" s="133" t="s">
        <v>13</v>
      </c>
      <c r="F196" s="7">
        <v>9</v>
      </c>
      <c r="G196" s="535" t="str">
        <f t="shared" si="5"/>
        <v>DADOS RETIRADOS DE PROJETO SPDA</v>
      </c>
    </row>
    <row r="197" spans="1:7" s="351" customFormat="1" ht="34.950000000000003" customHeight="1" x14ac:dyDescent="0.25">
      <c r="A197" s="45" t="s">
        <v>932</v>
      </c>
      <c r="B197" s="350" t="s">
        <v>924</v>
      </c>
      <c r="C197" s="547" t="str">
        <f>'PLANILHA ORÇAMENTARIA'!C199:D199</f>
        <v>TERMINAL PARA ATERRAMENTO E CONEXÃO DE QUADRO/PAINEL ELÉTRICO, TIPO PARAFUSO FENDIDO DE APERTO, EM LATÃO ESTANHADO, DIÂMETRO DERIVAÇÃO 2,5MM2-25MM2, INCLUSIVE INSTALAÇÃO</v>
      </c>
      <c r="D197" s="548"/>
      <c r="E197" s="133" t="s">
        <v>13</v>
      </c>
      <c r="F197" s="7">
        <v>9</v>
      </c>
      <c r="G197" s="535" t="str">
        <f t="shared" si="5"/>
        <v>DADOS RETIRADOS DE PROJETO SPDA</v>
      </c>
    </row>
    <row r="198" spans="1:7" ht="25.05" customHeight="1" x14ac:dyDescent="0.25">
      <c r="A198" s="45" t="s">
        <v>939</v>
      </c>
      <c r="B198" s="44" t="s">
        <v>611</v>
      </c>
      <c r="C198" s="602" t="str">
        <f>'PLANILHA ORÇAMENTARIA'!C200:D200</f>
        <v>TERMINAL A COMPRESSAO EM COBRE ESTANHADO 2 FUROS PARA CABO 50 MM2</v>
      </c>
      <c r="D198" s="603"/>
      <c r="E198" s="134" t="s">
        <v>13</v>
      </c>
      <c r="F198" s="7">
        <v>5</v>
      </c>
      <c r="G198" s="535" t="str">
        <f>G196</f>
        <v>DADOS RETIRADOS DE PROJETO SPDA</v>
      </c>
    </row>
    <row r="199" spans="1:7" ht="25.05" customHeight="1" x14ac:dyDescent="0.25">
      <c r="A199" s="45" t="s">
        <v>940</v>
      </c>
      <c r="B199" s="44" t="s">
        <v>610</v>
      </c>
      <c r="C199" s="602" t="str">
        <f>'PLANILHA ORÇAMENTARIA'!C201:D201</f>
        <v>TERMINAL A COMPRESSAO EM COBRE ESTANHADO 2 FUROS PARA CABO 16 MM2</v>
      </c>
      <c r="D199" s="603"/>
      <c r="E199" s="134" t="s">
        <v>13</v>
      </c>
      <c r="F199" s="7">
        <v>4</v>
      </c>
      <c r="G199" s="535" t="str">
        <f t="shared" si="5"/>
        <v>DADOS RETIRADOS DE PROJETO SPDA</v>
      </c>
    </row>
    <row r="200" spans="1:7" ht="34.950000000000003" customHeight="1" x14ac:dyDescent="0.25">
      <c r="A200" s="45" t="s">
        <v>941</v>
      </c>
      <c r="B200" s="132" t="s">
        <v>616</v>
      </c>
      <c r="C200" s="547" t="str">
        <f>'PLANILHA ORÇAMENTARIA'!C202:D202</f>
        <v>CAIXA DE EQUALIZAÇÃO PARA USO INTERNO E EXTERNO COM 9 TERMINAIS 380X320X175MM EM AÇO E ACABAMENTO EM EPOXI</v>
      </c>
      <c r="D200" s="548"/>
      <c r="E200" s="134" t="s">
        <v>13</v>
      </c>
      <c r="F200" s="7">
        <v>1</v>
      </c>
      <c r="G200" s="535" t="str">
        <f t="shared" si="5"/>
        <v>DADOS RETIRADOS DE PROJETO SPDA</v>
      </c>
    </row>
    <row r="201" spans="1:7" ht="34.950000000000003" customHeight="1" x14ac:dyDescent="0.25">
      <c r="A201" s="45" t="s">
        <v>944</v>
      </c>
      <c r="B201" s="350" t="s">
        <v>942</v>
      </c>
      <c r="C201" s="547" t="str">
        <f>'PLANILHA ORÇAMENTARIA'!C203:D203</f>
        <v>ADESIVO/SELANTE ELÁSTICO MONOCOMPONENTE (APLICAÇÃO: USO GERAL|BASE: POLIURETANO|EMBALAGEM: 310ML|DENSIDADE*: 1,35G/ CM3)* VALORES REFERENCIAIS APROXIMADOS</v>
      </c>
      <c r="D201" s="548"/>
      <c r="E201" s="134" t="s">
        <v>13</v>
      </c>
      <c r="F201" s="7">
        <v>2</v>
      </c>
      <c r="G201" s="535" t="str">
        <f t="shared" si="5"/>
        <v>DADOS RETIRADOS DE PROJETO SPDA</v>
      </c>
    </row>
    <row r="202" spans="1:7" ht="19.95" customHeight="1" x14ac:dyDescent="0.25">
      <c r="A202" s="126">
        <v>16</v>
      </c>
      <c r="B202" s="43"/>
      <c r="C202" s="606" t="str">
        <f>'PLANILHA ORÇAMENTARIA'!C204:D204</f>
        <v>SERVIÇOS FINAIS</v>
      </c>
      <c r="D202" s="607"/>
      <c r="E202" s="54"/>
      <c r="F202" s="54"/>
      <c r="G202" s="71"/>
    </row>
    <row r="203" spans="1:7" ht="25.05" customHeight="1" x14ac:dyDescent="0.25">
      <c r="A203" s="45" t="s">
        <v>618</v>
      </c>
      <c r="B203" s="44" t="s">
        <v>43</v>
      </c>
      <c r="C203" s="547" t="str">
        <f>'PLANILHA ORÇAMENTARIA'!C205:D205</f>
        <v>PLACA DE ALUMÍNIO FUNDIDO, DIMENSÃO (85X50)CM, PARA INAUGURAÇÃO, INCLUSIVE FIXAÇÃO</v>
      </c>
      <c r="D203" s="548"/>
      <c r="E203" s="134" t="str">
        <f>'PLANILHA ORÇAMENTARIA'!E205</f>
        <v>CJ</v>
      </c>
      <c r="F203" s="7">
        <v>1</v>
      </c>
      <c r="G203" s="535" t="s">
        <v>78</v>
      </c>
    </row>
    <row r="204" spans="1:7" ht="25.05" customHeight="1" thickBot="1" x14ac:dyDescent="0.3">
      <c r="A204" s="537" t="s">
        <v>690</v>
      </c>
      <c r="B204" s="538" t="s">
        <v>980</v>
      </c>
      <c r="C204" s="604" t="str">
        <f>'PLANILHA ORÇAMENTARIA'!C206:D206</f>
        <v xml:space="preserve">LETRA CAIXA EM AÇO ESCOVADO, DIMENSÃO 25CM, INCLUSIVE ILUMINAÇÃO EM LED FORNECIMENTO E INSTALAÇÃO </v>
      </c>
      <c r="D204" s="605"/>
      <c r="E204" s="539" t="str">
        <f>'PLANILHA ORÇAMENTARIA'!E206</f>
        <v>UNID.</v>
      </c>
      <c r="F204" s="540">
        <v>23</v>
      </c>
      <c r="G204" s="541" t="s">
        <v>707</v>
      </c>
    </row>
  </sheetData>
  <mergeCells count="202">
    <mergeCell ref="C96:D96"/>
    <mergeCell ref="C97:D97"/>
    <mergeCell ref="C99:D99"/>
    <mergeCell ref="C100:D100"/>
    <mergeCell ref="C101:D101"/>
    <mergeCell ref="C56:D56"/>
    <mergeCell ref="C197:D197"/>
    <mergeCell ref="C193:D193"/>
    <mergeCell ref="C194:D194"/>
    <mergeCell ref="C187:D187"/>
    <mergeCell ref="C189:D189"/>
    <mergeCell ref="C191:D191"/>
    <mergeCell ref="C80:D80"/>
    <mergeCell ref="C102:D102"/>
    <mergeCell ref="C107:D107"/>
    <mergeCell ref="C171:D171"/>
    <mergeCell ref="C182:D182"/>
    <mergeCell ref="C183:D183"/>
    <mergeCell ref="C172:D172"/>
    <mergeCell ref="C173:D173"/>
    <mergeCell ref="C174:D174"/>
    <mergeCell ref="C167:D167"/>
    <mergeCell ref="C168:D168"/>
    <mergeCell ref="C169:D169"/>
    <mergeCell ref="C201:D201"/>
    <mergeCell ref="C21:D21"/>
    <mergeCell ref="C22:D22"/>
    <mergeCell ref="C23:D23"/>
    <mergeCell ref="C86:D86"/>
    <mergeCell ref="C175:D175"/>
    <mergeCell ref="C177:D177"/>
    <mergeCell ref="C181:D181"/>
    <mergeCell ref="C117:D117"/>
    <mergeCell ref="C121:D121"/>
    <mergeCell ref="C30:D30"/>
    <mergeCell ref="C31:D31"/>
    <mergeCell ref="C89:D89"/>
    <mergeCell ref="C90:D90"/>
    <mergeCell ref="C47:D47"/>
    <mergeCell ref="C48:D48"/>
    <mergeCell ref="C49:D49"/>
    <mergeCell ref="C50:D50"/>
    <mergeCell ref="C84:D84"/>
    <mergeCell ref="C67:D67"/>
    <mergeCell ref="C68:D68"/>
    <mergeCell ref="C69:D69"/>
    <mergeCell ref="C26:D26"/>
    <mergeCell ref="C28:D28"/>
    <mergeCell ref="C53:D53"/>
    <mergeCell ref="C54:D54"/>
    <mergeCell ref="C34:D34"/>
    <mergeCell ref="C35:D35"/>
    <mergeCell ref="C39:D39"/>
    <mergeCell ref="C74:D74"/>
    <mergeCell ref="C73:D73"/>
    <mergeCell ref="C78:D78"/>
    <mergeCell ref="C79:D79"/>
    <mergeCell ref="C70:D70"/>
    <mergeCell ref="C71:D71"/>
    <mergeCell ref="C72:D72"/>
    <mergeCell ref="C46:D46"/>
    <mergeCell ref="C51:D51"/>
    <mergeCell ref="C59:D59"/>
    <mergeCell ref="C64:D64"/>
    <mergeCell ref="C77:D77"/>
    <mergeCell ref="C37:D37"/>
    <mergeCell ref="C63:D63"/>
    <mergeCell ref="C24:D24"/>
    <mergeCell ref="C25:D25"/>
    <mergeCell ref="C147:D147"/>
    <mergeCell ref="C153:D153"/>
    <mergeCell ref="C120:D120"/>
    <mergeCell ref="C137:D137"/>
    <mergeCell ref="C85:D85"/>
    <mergeCell ref="C115:D115"/>
    <mergeCell ref="C118:D118"/>
    <mergeCell ref="C103:D103"/>
    <mergeCell ref="C104:D104"/>
    <mergeCell ref="C105:D105"/>
    <mergeCell ref="C142:D142"/>
    <mergeCell ref="C143:D143"/>
    <mergeCell ref="C91:D91"/>
    <mergeCell ref="C124:D124"/>
    <mergeCell ref="C108:D108"/>
    <mergeCell ref="C109:D109"/>
    <mergeCell ref="C110:D110"/>
    <mergeCell ref="C88:D88"/>
    <mergeCell ref="C114:D114"/>
    <mergeCell ref="C52:D52"/>
    <mergeCell ref="C98:D98"/>
    <mergeCell ref="C92:D92"/>
    <mergeCell ref="C19:D19"/>
    <mergeCell ref="C93:D93"/>
    <mergeCell ref="C94:D94"/>
    <mergeCell ref="C20:D20"/>
    <mergeCell ref="C36:D36"/>
    <mergeCell ref="C38:D38"/>
    <mergeCell ref="C66:D66"/>
    <mergeCell ref="C32:D32"/>
    <mergeCell ref="C82:D82"/>
    <mergeCell ref="C83:D83"/>
    <mergeCell ref="C33:D33"/>
    <mergeCell ref="C55:D55"/>
    <mergeCell ref="C57:D57"/>
    <mergeCell ref="C58:D58"/>
    <mergeCell ref="C40:D40"/>
    <mergeCell ref="C41:D41"/>
    <mergeCell ref="C42:D42"/>
    <mergeCell ref="C43:D43"/>
    <mergeCell ref="C44:D44"/>
    <mergeCell ref="C45:D45"/>
    <mergeCell ref="C61:D61"/>
    <mergeCell ref="C62:D62"/>
    <mergeCell ref="C65:D65"/>
    <mergeCell ref="C60:D60"/>
    <mergeCell ref="A1:G1"/>
    <mergeCell ref="A2:G2"/>
    <mergeCell ref="A3:G3"/>
    <mergeCell ref="A4:G4"/>
    <mergeCell ref="C7:D7"/>
    <mergeCell ref="C18:D18"/>
    <mergeCell ref="C9:D9"/>
    <mergeCell ref="C10:D10"/>
    <mergeCell ref="C13:D13"/>
    <mergeCell ref="C15:D15"/>
    <mergeCell ref="C14:D14"/>
    <mergeCell ref="C8:D8"/>
    <mergeCell ref="C12:D12"/>
    <mergeCell ref="C16:D16"/>
    <mergeCell ref="C17:D17"/>
    <mergeCell ref="C11:D11"/>
    <mergeCell ref="C27:D27"/>
    <mergeCell ref="C157:D157"/>
    <mergeCell ref="C163:D163"/>
    <mergeCell ref="C134:D134"/>
    <mergeCell ref="C125:D125"/>
    <mergeCell ref="C129:D129"/>
    <mergeCell ref="C130:D130"/>
    <mergeCell ref="C132:D132"/>
    <mergeCell ref="C131:D131"/>
    <mergeCell ref="C149:D149"/>
    <mergeCell ref="C150:D150"/>
    <mergeCell ref="C135:D135"/>
    <mergeCell ref="C138:D138"/>
    <mergeCell ref="C139:D139"/>
    <mergeCell ref="C140:D140"/>
    <mergeCell ref="C144:D144"/>
    <mergeCell ref="C123:D123"/>
    <mergeCell ref="C126:D126"/>
    <mergeCell ref="C106:D106"/>
    <mergeCell ref="C81:D81"/>
    <mergeCell ref="C29:D29"/>
    <mergeCell ref="C75:D75"/>
    <mergeCell ref="C76:D76"/>
    <mergeCell ref="C148:D148"/>
    <mergeCell ref="C165:D165"/>
    <mergeCell ref="C164:D164"/>
    <mergeCell ref="C113:D113"/>
    <mergeCell ref="C141:D141"/>
    <mergeCell ref="C112:D112"/>
    <mergeCell ref="C162:D162"/>
    <mergeCell ref="C159:D159"/>
    <mergeCell ref="C161:D161"/>
    <mergeCell ref="C151:D151"/>
    <mergeCell ref="C152:D152"/>
    <mergeCell ref="C154:D154"/>
    <mergeCell ref="C127:D127"/>
    <mergeCell ref="C128:D128"/>
    <mergeCell ref="C145:D145"/>
    <mergeCell ref="C146:D146"/>
    <mergeCell ref="C155:D155"/>
    <mergeCell ref="C158:D158"/>
    <mergeCell ref="C156:D156"/>
    <mergeCell ref="C160:D160"/>
    <mergeCell ref="C119:D119"/>
    <mergeCell ref="C122:D122"/>
    <mergeCell ref="C116:D116"/>
    <mergeCell ref="C133:D133"/>
    <mergeCell ref="C87:D87"/>
    <mergeCell ref="C95:D95"/>
    <mergeCell ref="C170:D170"/>
    <mergeCell ref="C111:D111"/>
    <mergeCell ref="C136:D136"/>
    <mergeCell ref="C204:D204"/>
    <mergeCell ref="C202:D202"/>
    <mergeCell ref="C195:D195"/>
    <mergeCell ref="C196:D196"/>
    <mergeCell ref="C198:D198"/>
    <mergeCell ref="C199:D199"/>
    <mergeCell ref="C200:D200"/>
    <mergeCell ref="C176:D176"/>
    <mergeCell ref="C178:D178"/>
    <mergeCell ref="C179:D179"/>
    <mergeCell ref="C180:D180"/>
    <mergeCell ref="C185:D185"/>
    <mergeCell ref="C186:D186"/>
    <mergeCell ref="C188:D188"/>
    <mergeCell ref="C190:D190"/>
    <mergeCell ref="C192:D192"/>
    <mergeCell ref="C203:D203"/>
    <mergeCell ref="C184:D184"/>
    <mergeCell ref="C166:D166"/>
  </mergeCells>
  <phoneticPr fontId="49" type="noConversion"/>
  <printOptions horizontalCentered="1"/>
  <pageMargins left="0" right="0" top="0.19685039370078741" bottom="0" header="0" footer="0"/>
  <pageSetup paperSize="9" scale="64" orientation="landscape" r:id="rId1"/>
  <rowBreaks count="7" manualBreakCount="7">
    <brk id="32" max="6" man="1"/>
    <brk id="58" max="6" man="1"/>
    <brk id="85" max="6" man="1"/>
    <brk id="112" max="6" man="1"/>
    <brk id="136" max="6" man="1"/>
    <brk id="163" max="6" man="1"/>
    <brk id="189"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5"/>
  <sheetViews>
    <sheetView view="pageBreakPreview" topLeftCell="A26" zoomScaleNormal="100" zoomScaleSheetLayoutView="100" workbookViewId="0">
      <selection activeCell="I44" sqref="A44:I48"/>
    </sheetView>
  </sheetViews>
  <sheetFormatPr defaultRowHeight="13.2" x14ac:dyDescent="0.25"/>
  <cols>
    <col min="1" max="1" width="12.109375" customWidth="1"/>
    <col min="2" max="2" width="65.109375" customWidth="1"/>
    <col min="3" max="3" width="22.33203125" customWidth="1"/>
    <col min="4" max="4" width="19.21875" customWidth="1"/>
    <col min="5" max="6" width="15.88671875" customWidth="1"/>
    <col min="7" max="8" width="12.33203125" customWidth="1"/>
    <col min="9" max="9" width="12" customWidth="1"/>
    <col min="10" max="10" width="13.33203125" bestFit="1" customWidth="1"/>
  </cols>
  <sheetData>
    <row r="1" spans="1:9" ht="8.1" customHeight="1" thickBot="1" x14ac:dyDescent="0.3">
      <c r="A1" s="22"/>
      <c r="B1" s="22"/>
      <c r="C1" s="23"/>
      <c r="D1" s="23"/>
      <c r="E1" s="23"/>
      <c r="F1" s="23"/>
      <c r="G1" s="23"/>
      <c r="H1" s="23"/>
      <c r="I1" s="23"/>
    </row>
    <row r="2" spans="1:9" ht="16.2" thickBot="1" x14ac:dyDescent="0.35">
      <c r="A2" s="630" t="s">
        <v>32</v>
      </c>
      <c r="B2" s="631"/>
      <c r="C2" s="631"/>
      <c r="D2" s="631"/>
      <c r="E2" s="631"/>
      <c r="F2" s="631"/>
      <c r="G2" s="631"/>
      <c r="H2" s="631"/>
      <c r="I2" s="632"/>
    </row>
    <row r="3" spans="1:9" ht="5.0999999999999996" customHeight="1" thickBot="1" x14ac:dyDescent="0.3">
      <c r="A3" s="47"/>
      <c r="B3" s="22"/>
      <c r="C3" s="23"/>
      <c r="D3" s="23"/>
      <c r="E3" s="22"/>
      <c r="F3" s="22"/>
      <c r="G3" s="22"/>
      <c r="H3" s="22"/>
      <c r="I3" s="306"/>
    </row>
    <row r="4" spans="1:9" ht="16.5" customHeight="1" thickBot="1" x14ac:dyDescent="0.3">
      <c r="A4" s="633" t="s">
        <v>21</v>
      </c>
      <c r="B4" s="634"/>
      <c r="C4" s="634"/>
      <c r="D4" s="634"/>
      <c r="E4" s="634"/>
      <c r="F4" s="634"/>
      <c r="G4" s="634"/>
      <c r="H4" s="634"/>
      <c r="I4" s="635"/>
    </row>
    <row r="5" spans="1:9" ht="17.399999999999999" customHeight="1" x14ac:dyDescent="0.25">
      <c r="A5" s="638" t="str">
        <f>'PLANILHA ORÇAMENTARIA'!A2:E2</f>
        <v>PREFEITURA: Prefeitura Municipal de Bom Jardim de Minas - MG</v>
      </c>
      <c r="B5" s="639"/>
      <c r="C5" s="77" t="s">
        <v>40</v>
      </c>
      <c r="D5" s="636">
        <f>'PLANILHA ORÇAMENTARIA'!I207</f>
        <v>569250.42546462256</v>
      </c>
      <c r="E5" s="637"/>
      <c r="F5" s="307"/>
      <c r="G5" s="626" t="str">
        <f>'PLANILHA ORÇAMENTARIA'!F3</f>
        <v>DATA: 26/11/2024</v>
      </c>
      <c r="H5" s="627"/>
      <c r="I5" s="628"/>
    </row>
    <row r="6" spans="1:9" ht="28.8" customHeight="1" thickBot="1" x14ac:dyDescent="0.3">
      <c r="A6" s="643" t="str">
        <f>'PLANILHA ORÇAMENTARIA'!A3:E3</f>
        <v>OBRA: CONSTRUÇÃO DA SEDE  DO SERVIÇO DE ATENDIMENTO MOVEL - SAMU</v>
      </c>
      <c r="B6" s="642"/>
      <c r="C6" s="640" t="str">
        <f>'PLANILHA ORÇAMENTARIA'!A4</f>
        <v>LOCAL:  Rua José Nogueira de Paula  - Lt nº 115, Bairro Hospital - Bom Jardim de Minas / MG</v>
      </c>
      <c r="D6" s="641"/>
      <c r="E6" s="642"/>
      <c r="F6" s="227"/>
      <c r="G6" s="645" t="s">
        <v>337</v>
      </c>
      <c r="H6" s="646"/>
      <c r="I6" s="647"/>
    </row>
    <row r="7" spans="1:9" x14ac:dyDescent="0.25">
      <c r="A7" s="42" t="s">
        <v>0</v>
      </c>
      <c r="B7" s="35" t="s">
        <v>22</v>
      </c>
      <c r="C7" s="34" t="s">
        <v>23</v>
      </c>
      <c r="D7" s="34" t="s">
        <v>24</v>
      </c>
      <c r="E7" s="35" t="s">
        <v>25</v>
      </c>
      <c r="F7" s="35" t="s">
        <v>26</v>
      </c>
      <c r="G7" s="24" t="s">
        <v>50</v>
      </c>
      <c r="H7" s="35" t="s">
        <v>335</v>
      </c>
      <c r="I7" s="308" t="s">
        <v>336</v>
      </c>
    </row>
    <row r="8" spans="1:9" ht="12.75" customHeight="1" x14ac:dyDescent="0.25">
      <c r="A8" s="619">
        <v>1</v>
      </c>
      <c r="B8" s="629" t="s">
        <v>39</v>
      </c>
      <c r="C8" s="25" t="s">
        <v>27</v>
      </c>
      <c r="D8" s="26">
        <f>D9/$D$42</f>
        <v>3.4716290054012743E-2</v>
      </c>
      <c r="E8" s="27">
        <v>1</v>
      </c>
      <c r="F8" s="27"/>
      <c r="G8" s="27"/>
      <c r="H8" s="27"/>
      <c r="I8" s="309"/>
    </row>
    <row r="9" spans="1:9" ht="13.8" thickBot="1" x14ac:dyDescent="0.3">
      <c r="A9" s="620"/>
      <c r="B9" s="644"/>
      <c r="C9" s="57" t="s">
        <v>28</v>
      </c>
      <c r="D9" s="112">
        <f>'PLANILHA ORÇAMENTARIA'!I9</f>
        <v>19762.262883800002</v>
      </c>
      <c r="E9" s="112">
        <f>E8*D9</f>
        <v>19762.262883800002</v>
      </c>
      <c r="F9" s="112"/>
      <c r="G9" s="113"/>
      <c r="H9" s="112"/>
      <c r="I9" s="310"/>
    </row>
    <row r="10" spans="1:9" s="92" customFormat="1" ht="18" customHeight="1" thickBot="1" x14ac:dyDescent="0.3">
      <c r="A10" s="114"/>
      <c r="B10" s="623" t="s">
        <v>218</v>
      </c>
      <c r="C10" s="624"/>
      <c r="D10" s="624"/>
      <c r="E10" s="624"/>
      <c r="F10" s="624"/>
      <c r="G10" s="624"/>
      <c r="H10" s="624"/>
      <c r="I10" s="625"/>
    </row>
    <row r="11" spans="1:9" ht="12.75" customHeight="1" x14ac:dyDescent="0.25">
      <c r="A11" s="619">
        <v>2</v>
      </c>
      <c r="B11" s="629" t="str">
        <f>'PLANILHA ORÇAMENTARIA'!C15</f>
        <v xml:space="preserve">DEMOLIÇÕES E REMOÇÕES </v>
      </c>
      <c r="C11" s="25" t="s">
        <v>27</v>
      </c>
      <c r="D11" s="26">
        <f>D12/$D$42</f>
        <v>1.8996857854209996E-3</v>
      </c>
      <c r="E11" s="27">
        <v>1</v>
      </c>
      <c r="F11" s="27"/>
      <c r="G11" s="27"/>
      <c r="H11" s="27"/>
      <c r="I11" s="309"/>
    </row>
    <row r="12" spans="1:9" x14ac:dyDescent="0.25">
      <c r="A12" s="620"/>
      <c r="B12" s="622"/>
      <c r="C12" s="28" t="s">
        <v>28</v>
      </c>
      <c r="D12" s="29">
        <f>'PLANILHA ORÇAMENTARIA'!I15</f>
        <v>1081.3969416</v>
      </c>
      <c r="E12" s="29">
        <f>E11*D12</f>
        <v>1081.3969416</v>
      </c>
      <c r="F12" s="29"/>
      <c r="G12" s="29"/>
      <c r="H12" s="29"/>
      <c r="I12" s="311"/>
    </row>
    <row r="13" spans="1:9" ht="12.75" customHeight="1" x14ac:dyDescent="0.25">
      <c r="A13" s="619">
        <v>3</v>
      </c>
      <c r="B13" s="629" t="str">
        <f>'PLANILHA ORÇAMENTARIA'!C18</f>
        <v>MOVIMENTAÇÃO DE TERRA</v>
      </c>
      <c r="C13" s="25" t="s">
        <v>27</v>
      </c>
      <c r="D13" s="26">
        <f>D14/$D$42</f>
        <v>1.9454466312063826E-2</v>
      </c>
      <c r="E13" s="27">
        <v>1</v>
      </c>
      <c r="F13" s="27"/>
      <c r="G13" s="27"/>
      <c r="H13" s="27"/>
      <c r="I13" s="309"/>
    </row>
    <row r="14" spans="1:9" x14ac:dyDescent="0.25">
      <c r="A14" s="620"/>
      <c r="B14" s="622"/>
      <c r="C14" s="28" t="s">
        <v>28</v>
      </c>
      <c r="D14" s="29">
        <f>'PLANILHA ORÇAMENTARIA'!I18</f>
        <v>11074.463225329502</v>
      </c>
      <c r="E14" s="29">
        <f>E13*D14</f>
        <v>11074.463225329502</v>
      </c>
      <c r="F14" s="29"/>
      <c r="G14" s="29"/>
      <c r="H14" s="29"/>
      <c r="I14" s="311"/>
    </row>
    <row r="15" spans="1:9" ht="12.75" customHeight="1" x14ac:dyDescent="0.25">
      <c r="A15" s="619">
        <v>4</v>
      </c>
      <c r="B15" s="629" t="str">
        <f>'PLANILHA ORÇAMENTARIA'!C23</f>
        <v>FUNDAÇÃO E SUPERESTRUTURA</v>
      </c>
      <c r="C15" s="25" t="s">
        <v>27</v>
      </c>
      <c r="D15" s="26">
        <f>D16/$D$42</f>
        <v>0.26774911737314983</v>
      </c>
      <c r="E15" s="27">
        <v>0.7</v>
      </c>
      <c r="F15" s="27">
        <v>0.3</v>
      </c>
      <c r="G15" s="27"/>
      <c r="H15" s="27"/>
      <c r="I15" s="309"/>
    </row>
    <row r="16" spans="1:9" x14ac:dyDescent="0.25">
      <c r="A16" s="620"/>
      <c r="B16" s="622"/>
      <c r="C16" s="28" t="s">
        <v>28</v>
      </c>
      <c r="D16" s="29">
        <f>'PLANILHA ORÇAMENTARIA'!I23</f>
        <v>152416.29898244273</v>
      </c>
      <c r="E16" s="29">
        <f>E15*D16</f>
        <v>106691.4092877099</v>
      </c>
      <c r="F16" s="29">
        <f>F15*D16</f>
        <v>45724.889694732818</v>
      </c>
      <c r="G16" s="29"/>
      <c r="H16" s="29"/>
      <c r="I16" s="311"/>
    </row>
    <row r="17" spans="1:9" ht="12.75" customHeight="1" x14ac:dyDescent="0.25">
      <c r="A17" s="619">
        <v>5</v>
      </c>
      <c r="B17" s="629" t="str">
        <f>'PLANILHA ORÇAMENTARIA'!C30</f>
        <v>ALVENARIA</v>
      </c>
      <c r="C17" s="25" t="s">
        <v>27</v>
      </c>
      <c r="D17" s="26">
        <f>D18/$D$42</f>
        <v>7.8829840074566157E-2</v>
      </c>
      <c r="E17" s="27"/>
      <c r="F17" s="27">
        <v>0.5</v>
      </c>
      <c r="G17" s="27">
        <v>0.5</v>
      </c>
      <c r="H17" s="27"/>
      <c r="I17" s="309"/>
    </row>
    <row r="18" spans="1:9" x14ac:dyDescent="0.25">
      <c r="A18" s="620"/>
      <c r="B18" s="622"/>
      <c r="C18" s="28" t="s">
        <v>28</v>
      </c>
      <c r="D18" s="29">
        <f>'PLANILHA ORÇAMENTARIA'!I30</f>
        <v>44873.920001754945</v>
      </c>
      <c r="E18" s="29"/>
      <c r="F18" s="29">
        <f>F17*D18</f>
        <v>22436.960000877472</v>
      </c>
      <c r="G18" s="29">
        <f>G17*D18</f>
        <v>22436.960000877472</v>
      </c>
      <c r="H18" s="29"/>
      <c r="I18" s="311"/>
    </row>
    <row r="19" spans="1:9" ht="12.75" customHeight="1" x14ac:dyDescent="0.25">
      <c r="A19" s="619">
        <v>6</v>
      </c>
      <c r="B19" s="629" t="str">
        <f>'PLANILHA ORÇAMENTARIA'!C35</f>
        <v>PONTOS DE INSTALAÇÕES HIDROSSANITÁRIAS</v>
      </c>
      <c r="C19" s="25" t="s">
        <v>27</v>
      </c>
      <c r="D19" s="26">
        <f>D20/$D$42</f>
        <v>2.3447419201497829E-2</v>
      </c>
      <c r="E19" s="27"/>
      <c r="F19" s="27"/>
      <c r="G19" s="27">
        <v>1</v>
      </c>
      <c r="H19" s="27"/>
      <c r="I19" s="309"/>
    </row>
    <row r="20" spans="1:9" x14ac:dyDescent="0.25">
      <c r="A20" s="620"/>
      <c r="B20" s="622"/>
      <c r="C20" s="28" t="s">
        <v>28</v>
      </c>
      <c r="D20" s="29">
        <f>'PLANILHA ORÇAMENTARIA'!I35</f>
        <v>13347.453356500002</v>
      </c>
      <c r="E20" s="29"/>
      <c r="F20" s="29"/>
      <c r="G20" s="29">
        <f>G19*D20</f>
        <v>13347.453356500002</v>
      </c>
      <c r="H20" s="29"/>
      <c r="I20" s="311"/>
    </row>
    <row r="21" spans="1:9" ht="12.75" customHeight="1" x14ac:dyDescent="0.25">
      <c r="A21" s="619">
        <v>7</v>
      </c>
      <c r="B21" s="629" t="str">
        <f>'PLANILHA ORÇAMENTARIA'!C66</f>
        <v>PONTOS DE INSTALAÇÕES ELÉTRICAS</v>
      </c>
      <c r="C21" s="25" t="s">
        <v>27</v>
      </c>
      <c r="D21" s="26">
        <f>D22/$D$42</f>
        <v>5.4285052543341719E-2</v>
      </c>
      <c r="E21" s="27"/>
      <c r="F21" s="27"/>
      <c r="G21" s="27">
        <v>1</v>
      </c>
      <c r="H21" s="27"/>
      <c r="I21" s="309"/>
    </row>
    <row r="22" spans="1:9" x14ac:dyDescent="0.25">
      <c r="A22" s="620"/>
      <c r="B22" s="622"/>
      <c r="C22" s="28" t="s">
        <v>28</v>
      </c>
      <c r="D22" s="29">
        <f>'PLANILHA ORÇAMENTARIA'!I66</f>
        <v>30901.789256666671</v>
      </c>
      <c r="E22" s="29"/>
      <c r="F22" s="29"/>
      <c r="G22" s="29">
        <f>G21*D22</f>
        <v>30901.789256666671</v>
      </c>
      <c r="H22" s="29"/>
      <c r="I22" s="311"/>
    </row>
    <row r="23" spans="1:9" ht="12.75" customHeight="1" x14ac:dyDescent="0.25">
      <c r="A23" s="619">
        <v>8</v>
      </c>
      <c r="B23" s="621" t="str">
        <f>'PLANILHA ORÇAMENTARIA'!C105</f>
        <v>REVESTIMENTOS DE PAREDE INT./EXT. E TETO</v>
      </c>
      <c r="C23" s="25" t="s">
        <v>27</v>
      </c>
      <c r="D23" s="26">
        <f>D24/$D$42</f>
        <v>0.12605217673812152</v>
      </c>
      <c r="E23" s="27"/>
      <c r="F23" s="27"/>
      <c r="G23" s="27">
        <v>0.3</v>
      </c>
      <c r="H23" s="27">
        <v>0.7</v>
      </c>
      <c r="I23" s="309"/>
    </row>
    <row r="24" spans="1:9" x14ac:dyDescent="0.25">
      <c r="A24" s="620"/>
      <c r="B24" s="622"/>
      <c r="C24" s="57" t="s">
        <v>28</v>
      </c>
      <c r="D24" s="29">
        <f>'PLANILHA ORÇAMENTARIA'!I105</f>
        <v>71755.255238917496</v>
      </c>
      <c r="E24" s="29"/>
      <c r="F24" s="29"/>
      <c r="G24" s="29">
        <f>G23*D24</f>
        <v>21526.576571675247</v>
      </c>
      <c r="H24" s="29">
        <f>H23*D24</f>
        <v>50228.678667242246</v>
      </c>
      <c r="I24" s="311"/>
    </row>
    <row r="25" spans="1:9" ht="12.75" customHeight="1" x14ac:dyDescent="0.25">
      <c r="A25" s="619">
        <v>9</v>
      </c>
      <c r="B25" s="621" t="str">
        <f>'PLANILHA ORÇAMENTARIA'!C111</f>
        <v>REVESTIMENTO DE PISO INT. E EXT.</v>
      </c>
      <c r="C25" s="25" t="s">
        <v>27</v>
      </c>
      <c r="D25" s="26">
        <f>D26/$D$42</f>
        <v>5.8864625366718278E-2</v>
      </c>
      <c r="E25" s="27"/>
      <c r="F25" s="27"/>
      <c r="G25" s="27">
        <v>0.5</v>
      </c>
      <c r="H25" s="27">
        <v>0.5</v>
      </c>
      <c r="I25" s="309"/>
    </row>
    <row r="26" spans="1:9" x14ac:dyDescent="0.25">
      <c r="A26" s="620"/>
      <c r="B26" s="622"/>
      <c r="C26" s="57" t="s">
        <v>28</v>
      </c>
      <c r="D26" s="29">
        <f>'PLANILHA ORÇAMENTARIA'!I111</f>
        <v>33508.713034820001</v>
      </c>
      <c r="E26" s="29"/>
      <c r="F26" s="29"/>
      <c r="G26" s="29">
        <f>G25*D26</f>
        <v>16754.35651741</v>
      </c>
      <c r="H26" s="29">
        <f>H25*D26</f>
        <v>16754.35651741</v>
      </c>
      <c r="I26" s="311"/>
    </row>
    <row r="27" spans="1:9" ht="12.75" customHeight="1" x14ac:dyDescent="0.25">
      <c r="A27" s="619">
        <v>10</v>
      </c>
      <c r="B27" s="621" t="str">
        <f>'PLANILHA ORÇAMENTARIA'!C121</f>
        <v xml:space="preserve">ESQUADRIAS </v>
      </c>
      <c r="C27" s="25" t="s">
        <v>27</v>
      </c>
      <c r="D27" s="26">
        <f>D28/$D$42</f>
        <v>8.7545434376134892E-2</v>
      </c>
      <c r="E27" s="27"/>
      <c r="F27" s="27"/>
      <c r="G27" s="27">
        <v>0.5</v>
      </c>
      <c r="H27" s="27">
        <v>0.5</v>
      </c>
      <c r="I27" s="309"/>
    </row>
    <row r="28" spans="1:9" x14ac:dyDescent="0.25">
      <c r="A28" s="620"/>
      <c r="B28" s="622"/>
      <c r="C28" s="57" t="s">
        <v>28</v>
      </c>
      <c r="D28" s="29">
        <f>'PLANILHA ORÇAMENTARIA'!I121</f>
        <v>49835.275766099992</v>
      </c>
      <c r="E28" s="29"/>
      <c r="F28" s="29"/>
      <c r="G28" s="29">
        <f>G27*D28</f>
        <v>24917.637883049996</v>
      </c>
      <c r="H28" s="29">
        <f>H27*D28</f>
        <v>24917.637883049996</v>
      </c>
      <c r="I28" s="311"/>
    </row>
    <row r="29" spans="1:9" ht="12.75" customHeight="1" x14ac:dyDescent="0.25">
      <c r="A29" s="619">
        <v>11</v>
      </c>
      <c r="B29" s="621" t="str">
        <f>'PLANILHA ORÇAMENTARIA'!C131</f>
        <v>LOUÇAS, METAIS E ACESSÓRIOS</v>
      </c>
      <c r="C29" s="25" t="s">
        <v>27</v>
      </c>
      <c r="D29" s="26">
        <f>D30/$D$42</f>
        <v>5.4581946603710657E-2</v>
      </c>
      <c r="E29" s="27"/>
      <c r="F29" s="27"/>
      <c r="G29" s="27"/>
      <c r="H29" s="27">
        <v>1</v>
      </c>
      <c r="I29" s="309"/>
    </row>
    <row r="30" spans="1:9" x14ac:dyDescent="0.25">
      <c r="A30" s="620"/>
      <c r="B30" s="622"/>
      <c r="C30" s="57" t="s">
        <v>28</v>
      </c>
      <c r="D30" s="29">
        <f>'PLANILHA ORÇAMENTARIA'!I131</f>
        <v>31070.79632684961</v>
      </c>
      <c r="E30" s="29"/>
      <c r="F30" s="29"/>
      <c r="G30" s="29"/>
      <c r="H30" s="29">
        <f>H29*D30</f>
        <v>31070.79632684961</v>
      </c>
      <c r="I30" s="311"/>
    </row>
    <row r="31" spans="1:9" ht="12.75" customHeight="1" x14ac:dyDescent="0.25">
      <c r="A31" s="619">
        <v>12</v>
      </c>
      <c r="B31" s="621" t="str">
        <f>'PLANILHA ORÇAMENTARIA'!C151</f>
        <v>PINTURA</v>
      </c>
      <c r="C31" s="25" t="s">
        <v>27</v>
      </c>
      <c r="D31" s="26">
        <f>D32/$D$42</f>
        <v>5.5766249707784113E-2</v>
      </c>
      <c r="E31" s="27"/>
      <c r="F31" s="27"/>
      <c r="G31" s="27"/>
      <c r="H31" s="27">
        <v>0.5</v>
      </c>
      <c r="I31" s="309">
        <v>0.5</v>
      </c>
    </row>
    <row r="32" spans="1:9" x14ac:dyDescent="0.25">
      <c r="A32" s="620"/>
      <c r="B32" s="622"/>
      <c r="C32" s="57" t="s">
        <v>28</v>
      </c>
      <c r="D32" s="29">
        <f>'PLANILHA ORÇAMENTARIA'!I151</f>
        <v>31744.961372722497</v>
      </c>
      <c r="E32" s="29"/>
      <c r="F32" s="29"/>
      <c r="G32" s="29"/>
      <c r="H32" s="29">
        <f>H31*D32</f>
        <v>15872.480686361248</v>
      </c>
      <c r="I32" s="311">
        <f>I31*D32</f>
        <v>15872.480686361248</v>
      </c>
    </row>
    <row r="33" spans="1:10" ht="12.75" customHeight="1" x14ac:dyDescent="0.25">
      <c r="A33" s="619">
        <v>13</v>
      </c>
      <c r="B33" s="621" t="str">
        <f>'PLANILHA ORÇAMENTARIA'!C160</f>
        <v xml:space="preserve">COBERTURA </v>
      </c>
      <c r="C33" s="25" t="s">
        <v>27</v>
      </c>
      <c r="D33" s="26">
        <f>D34/$D$42</f>
        <v>6.476387606024489E-2</v>
      </c>
      <c r="E33" s="27"/>
      <c r="F33" s="27">
        <v>0.5</v>
      </c>
      <c r="G33" s="27"/>
      <c r="H33" s="27"/>
      <c r="I33" s="309">
        <v>0.5</v>
      </c>
    </row>
    <row r="34" spans="1:10" x14ac:dyDescent="0.25">
      <c r="A34" s="620"/>
      <c r="B34" s="622"/>
      <c r="C34" s="57" t="s">
        <v>28</v>
      </c>
      <c r="D34" s="29">
        <f>'PLANILHA ORÇAMENTARIA'!I160</f>
        <v>36866.864002032497</v>
      </c>
      <c r="E34" s="29"/>
      <c r="F34" s="29">
        <f>F33*D34</f>
        <v>18433.432001016248</v>
      </c>
      <c r="G34" s="29"/>
      <c r="H34" s="29"/>
      <c r="I34" s="311">
        <f>I33*D34</f>
        <v>18433.432001016248</v>
      </c>
    </row>
    <row r="35" spans="1:10" ht="12.75" customHeight="1" x14ac:dyDescent="0.25">
      <c r="A35" s="619">
        <v>14</v>
      </c>
      <c r="B35" s="621" t="str">
        <f>'PLANILHA ORÇAMENTARIA'!C166</f>
        <v>TELEFONIA E DADOS</v>
      </c>
      <c r="C35" s="25" t="s">
        <v>27</v>
      </c>
      <c r="D35" s="26">
        <f>D36/$D$42</f>
        <v>3.0771823102347353E-2</v>
      </c>
      <c r="E35" s="27"/>
      <c r="F35" s="27">
        <v>0.5</v>
      </c>
      <c r="G35" s="27"/>
      <c r="H35" s="27"/>
      <c r="I35" s="309">
        <v>0.5</v>
      </c>
    </row>
    <row r="36" spans="1:10" x14ac:dyDescent="0.25">
      <c r="A36" s="620"/>
      <c r="B36" s="622"/>
      <c r="C36" s="57" t="s">
        <v>28</v>
      </c>
      <c r="D36" s="29">
        <f>'PLANILHA ORÇAMENTARIA'!I166</f>
        <v>17516.873393333335</v>
      </c>
      <c r="E36" s="29"/>
      <c r="F36" s="29">
        <f>F35*D36</f>
        <v>8758.4366966666676</v>
      </c>
      <c r="G36" s="29"/>
      <c r="H36" s="29"/>
      <c r="I36" s="311">
        <f>I35*D36</f>
        <v>8758.4366966666676</v>
      </c>
    </row>
    <row r="37" spans="1:10" ht="12.75" customHeight="1" x14ac:dyDescent="0.25">
      <c r="A37" s="619">
        <v>15</v>
      </c>
      <c r="B37" s="621" t="str">
        <f>'PLANILHA ORÇAMENTARIA'!C187</f>
        <v>SPDA</v>
      </c>
      <c r="C37" s="25" t="s">
        <v>27</v>
      </c>
      <c r="D37" s="26">
        <f>D38/$D$42</f>
        <v>3.221350006484909E-2</v>
      </c>
      <c r="E37" s="27"/>
      <c r="F37" s="27"/>
      <c r="G37" s="27"/>
      <c r="H37" s="27"/>
      <c r="I37" s="309">
        <v>1</v>
      </c>
    </row>
    <row r="38" spans="1:10" x14ac:dyDescent="0.25">
      <c r="A38" s="620"/>
      <c r="B38" s="622"/>
      <c r="C38" s="57" t="s">
        <v>28</v>
      </c>
      <c r="D38" s="29">
        <f>'PLANILHA ORÇAMENTARIA'!I187</f>
        <v>18337.548617619996</v>
      </c>
      <c r="E38" s="29"/>
      <c r="F38" s="29"/>
      <c r="G38" s="29"/>
      <c r="H38" s="29"/>
      <c r="I38" s="311">
        <f>I37*D38</f>
        <v>18337.548617619996</v>
      </c>
    </row>
    <row r="39" spans="1:10" x14ac:dyDescent="0.25">
      <c r="A39" s="619">
        <v>16</v>
      </c>
      <c r="B39" s="621" t="str">
        <f>'PLANILHA ORÇAMENTARIA'!C204</f>
        <v>SERVIÇOS FINAIS</v>
      </c>
      <c r="C39" s="28" t="s">
        <v>27</v>
      </c>
      <c r="D39" s="26">
        <f>D40/$D$42</f>
        <v>9.0584966360359783E-3</v>
      </c>
      <c r="E39" s="27"/>
      <c r="F39" s="27"/>
      <c r="G39" s="27"/>
      <c r="H39" s="27"/>
      <c r="I39" s="309">
        <v>1</v>
      </c>
    </row>
    <row r="40" spans="1:10" x14ac:dyDescent="0.25">
      <c r="A40" s="620"/>
      <c r="B40" s="622"/>
      <c r="C40" s="28" t="s">
        <v>28</v>
      </c>
      <c r="D40" s="29">
        <f>'PLANILHA ORÇAMENTARIA'!I204</f>
        <v>5156.5530641333344</v>
      </c>
      <c r="E40" s="29"/>
      <c r="F40" s="29"/>
      <c r="G40" s="29"/>
      <c r="H40" s="29"/>
      <c r="I40" s="311">
        <f>I39*D40</f>
        <v>5156.5530641333344</v>
      </c>
    </row>
    <row r="41" spans="1:10" x14ac:dyDescent="0.25">
      <c r="A41" s="651" t="s">
        <v>29</v>
      </c>
      <c r="B41" s="652"/>
      <c r="C41" s="30" t="s">
        <v>27</v>
      </c>
      <c r="D41" s="31">
        <f>D39+D23+D21+D19+D17+D15+D13+D8+D33+D31+D29+D27+D25+D37+D35+D11</f>
        <v>1</v>
      </c>
      <c r="E41" s="31">
        <f>E42/$D$42</f>
        <v>0.24349482431270242</v>
      </c>
      <c r="F41" s="31">
        <f>F42/$D$42</f>
        <v>0.16750750483052415</v>
      </c>
      <c r="G41" s="31">
        <f>G42/$D$42</f>
        <v>0.22816807467498568</v>
      </c>
      <c r="H41" s="31">
        <f>H42/$D$42</f>
        <v>0.24390662504571434</v>
      </c>
      <c r="I41" s="312">
        <f>I42/D42</f>
        <v>0.11692297113607326</v>
      </c>
      <c r="J41" s="115"/>
    </row>
    <row r="42" spans="1:10" ht="13.8" thickBot="1" x14ac:dyDescent="0.3">
      <c r="A42" s="653"/>
      <c r="B42" s="654"/>
      <c r="C42" s="32" t="s">
        <v>28</v>
      </c>
      <c r="D42" s="33">
        <f>D40+D24+D22+D20+D18+D16+D14+D9+D34+D32+D30+D28+D26+D38+D36+D12</f>
        <v>569250.42546462268</v>
      </c>
      <c r="E42" s="33">
        <f>E40+E24+E22+E20+E18+E16+E14+E9+E34+E32+E30+E28+E26+E38+E36+E12</f>
        <v>138609.5323384394</v>
      </c>
      <c r="F42" s="33">
        <f>F40+F24+F22+F20+F18+F16+F14+F9+F34+F32+F30+F28+F26+F38+F36+F12</f>
        <v>95353.718393293209</v>
      </c>
      <c r="G42" s="33">
        <f>G40+G24+G22+G20+G18+G16+G14+G9+G34+G32+G30+G28+G26+G38+G36+G12</f>
        <v>129884.77358617939</v>
      </c>
      <c r="H42" s="33">
        <f>H40+H24+H22+H20+H18+H16+H14+H9+H34+H32+H30+H28+H26+H38+H36+H12</f>
        <v>138843.95008091308</v>
      </c>
      <c r="I42" s="313">
        <f>I40+I24+I22+I20+I18+I16+I14+I9+I34+I32+I30+I28+I26+I38+I36+I12</f>
        <v>66558.451065797504</v>
      </c>
      <c r="J42" s="115"/>
    </row>
    <row r="43" spans="1:10" ht="5.0999999999999996" customHeight="1" thickBot="1" x14ac:dyDescent="0.3">
      <c r="A43" s="75"/>
      <c r="B43" s="76"/>
      <c r="C43" s="76"/>
      <c r="D43" s="76"/>
      <c r="E43" s="76"/>
      <c r="F43" s="76"/>
      <c r="G43" s="76"/>
      <c r="H43" s="76"/>
      <c r="I43" s="314"/>
    </row>
    <row r="44" spans="1:10" x14ac:dyDescent="0.25">
      <c r="A44" s="315"/>
      <c r="B44" s="316"/>
      <c r="C44" s="316"/>
      <c r="D44" s="316"/>
      <c r="E44" s="316"/>
      <c r="F44" s="316"/>
      <c r="G44" s="316"/>
      <c r="H44" s="316"/>
      <c r="I44" s="658"/>
    </row>
    <row r="45" spans="1:10" x14ac:dyDescent="0.25">
      <c r="A45" s="58"/>
      <c r="B45" s="59"/>
      <c r="C45" s="317"/>
      <c r="D45" s="657"/>
      <c r="E45" s="657"/>
      <c r="F45" s="318"/>
      <c r="G45" s="318"/>
      <c r="H45" s="318"/>
      <c r="I45" s="659"/>
    </row>
    <row r="46" spans="1:10" x14ac:dyDescent="0.25">
      <c r="A46" s="60"/>
      <c r="B46" s="655"/>
      <c r="C46" s="319"/>
      <c r="D46" s="650" t="s">
        <v>30</v>
      </c>
      <c r="E46" s="650"/>
      <c r="F46" s="320"/>
      <c r="G46" s="61"/>
      <c r="H46" s="61"/>
      <c r="I46" s="648"/>
    </row>
    <row r="47" spans="1:10" x14ac:dyDescent="0.25">
      <c r="A47" s="62"/>
      <c r="B47" s="656"/>
      <c r="C47" s="319"/>
      <c r="D47" s="63"/>
      <c r="E47" s="319"/>
      <c r="F47" s="319"/>
      <c r="G47" s="63"/>
      <c r="H47" s="63"/>
      <c r="I47" s="648"/>
    </row>
    <row r="48" spans="1:10" ht="13.8" thickBot="1" x14ac:dyDescent="0.3">
      <c r="A48" s="64"/>
      <c r="B48" s="65"/>
      <c r="C48" s="66"/>
      <c r="D48" s="66"/>
      <c r="E48" s="65"/>
      <c r="F48" s="65"/>
      <c r="G48" s="65"/>
      <c r="H48" s="65"/>
      <c r="I48" s="649"/>
    </row>
    <row r="49" spans="1:9" x14ac:dyDescent="0.25">
      <c r="A49" s="22"/>
      <c r="B49" s="22"/>
      <c r="C49" s="23"/>
      <c r="D49" s="23"/>
      <c r="E49" s="22"/>
      <c r="F49" s="22"/>
      <c r="G49" s="22"/>
      <c r="H49" s="22"/>
      <c r="I49" s="22"/>
    </row>
    <row r="50" spans="1:9" x14ac:dyDescent="0.25">
      <c r="A50" s="22"/>
      <c r="B50" s="22"/>
      <c r="C50" s="23"/>
      <c r="D50" s="23"/>
      <c r="E50" s="22"/>
      <c r="F50" s="22"/>
      <c r="G50" s="22"/>
      <c r="H50" s="22"/>
      <c r="I50" s="22"/>
    </row>
    <row r="51" spans="1:9" x14ac:dyDescent="0.25">
      <c r="A51" s="22"/>
      <c r="B51" s="22"/>
      <c r="C51" s="23"/>
      <c r="D51" s="23"/>
      <c r="E51" s="22"/>
      <c r="F51" s="22"/>
      <c r="G51" s="22"/>
      <c r="H51" s="22"/>
      <c r="I51" s="22"/>
    </row>
    <row r="52" spans="1:9" x14ac:dyDescent="0.25">
      <c r="A52" s="22"/>
      <c r="B52" s="22"/>
      <c r="C52" s="23"/>
      <c r="D52" s="23"/>
      <c r="E52" s="22"/>
      <c r="F52" s="22"/>
      <c r="G52" s="22"/>
      <c r="H52" s="22"/>
      <c r="I52" s="22"/>
    </row>
    <row r="53" spans="1:9" x14ac:dyDescent="0.25">
      <c r="A53" s="22"/>
      <c r="B53" s="22"/>
      <c r="C53" s="23"/>
      <c r="D53" s="23"/>
      <c r="E53" s="22"/>
      <c r="F53" s="22"/>
      <c r="G53" s="22"/>
      <c r="H53" s="22"/>
      <c r="I53" s="22"/>
    </row>
    <row r="54" spans="1:9" x14ac:dyDescent="0.25">
      <c r="A54" s="22"/>
      <c r="B54" s="22"/>
      <c r="C54" s="23"/>
      <c r="D54" s="23"/>
      <c r="E54" s="22"/>
      <c r="F54" s="22"/>
      <c r="G54" s="22"/>
      <c r="H54" s="22"/>
      <c r="I54" s="22"/>
    </row>
    <row r="55" spans="1:9" x14ac:dyDescent="0.25">
      <c r="A55" s="22"/>
      <c r="B55" s="22"/>
      <c r="C55" s="23"/>
      <c r="D55" s="23"/>
      <c r="E55" s="22"/>
      <c r="F55" s="22"/>
      <c r="G55" s="22"/>
      <c r="H55" s="22"/>
      <c r="I55" s="22"/>
    </row>
  </sheetData>
  <mergeCells count="47">
    <mergeCell ref="I46:I48"/>
    <mergeCell ref="A39:A40"/>
    <mergeCell ref="B39:B40"/>
    <mergeCell ref="D46:E46"/>
    <mergeCell ref="A41:B42"/>
    <mergeCell ref="B46:B47"/>
    <mergeCell ref="D45:E45"/>
    <mergeCell ref="I44:I45"/>
    <mergeCell ref="A2:I2"/>
    <mergeCell ref="A4:I4"/>
    <mergeCell ref="B23:B24"/>
    <mergeCell ref="A23:A24"/>
    <mergeCell ref="D5:E5"/>
    <mergeCell ref="A5:B5"/>
    <mergeCell ref="C6:E6"/>
    <mergeCell ref="A8:A9"/>
    <mergeCell ref="A6:B6"/>
    <mergeCell ref="B8:B9"/>
    <mergeCell ref="A13:A14"/>
    <mergeCell ref="B13:B14"/>
    <mergeCell ref="G6:I6"/>
    <mergeCell ref="A15:A16"/>
    <mergeCell ref="B15:B16"/>
    <mergeCell ref="A17:A18"/>
    <mergeCell ref="G5:I5"/>
    <mergeCell ref="B17:B18"/>
    <mergeCell ref="B21:B22"/>
    <mergeCell ref="A19:A20"/>
    <mergeCell ref="B19:B20"/>
    <mergeCell ref="A21:A22"/>
    <mergeCell ref="A11:A12"/>
    <mergeCell ref="B11:B12"/>
    <mergeCell ref="A35:A36"/>
    <mergeCell ref="B35:B36"/>
    <mergeCell ref="A37:A38"/>
    <mergeCell ref="B37:B38"/>
    <mergeCell ref="B10:I10"/>
    <mergeCell ref="A31:A32"/>
    <mergeCell ref="B31:B32"/>
    <mergeCell ref="A33:A34"/>
    <mergeCell ref="B33:B34"/>
    <mergeCell ref="A25:A26"/>
    <mergeCell ref="B25:B26"/>
    <mergeCell ref="A27:A28"/>
    <mergeCell ref="B27:B28"/>
    <mergeCell ref="A29:A30"/>
    <mergeCell ref="B29:B30"/>
  </mergeCells>
  <printOptions horizontalCentered="1"/>
  <pageMargins left="0.19685039370078741" right="0.19685039370078741" top="0.39370078740157483" bottom="0" header="0" footer="0"/>
  <pageSetup paperSize="9" scale="7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45"/>
  <sheetViews>
    <sheetView view="pageBreakPreview" topLeftCell="A138" zoomScaleNormal="115" zoomScaleSheetLayoutView="100" workbookViewId="0">
      <selection activeCell="C142" sqref="C142:C144"/>
    </sheetView>
  </sheetViews>
  <sheetFormatPr defaultRowHeight="13.2" x14ac:dyDescent="0.25"/>
  <cols>
    <col min="1" max="1" width="10.5546875" customWidth="1"/>
    <col min="2" max="2" width="16" customWidth="1"/>
    <col min="3" max="3" width="40.6640625" customWidth="1"/>
    <col min="4" max="4" width="7.109375" bestFit="1" customWidth="1"/>
    <col min="5" max="5" width="10.44140625" bestFit="1" customWidth="1"/>
    <col min="6" max="6" width="11.88671875" bestFit="1" customWidth="1"/>
    <col min="7" max="7" width="15.6640625" customWidth="1"/>
    <col min="10" max="10" width="12.33203125" customWidth="1"/>
    <col min="11" max="11" width="13.109375" customWidth="1"/>
    <col min="12" max="12" width="12.109375" customWidth="1"/>
    <col min="257" max="257" width="10.5546875" customWidth="1"/>
    <col min="258" max="258" width="16" customWidth="1"/>
    <col min="259" max="259" width="40.6640625" customWidth="1"/>
    <col min="260" max="260" width="7.109375" bestFit="1" customWidth="1"/>
    <col min="261" max="261" width="10.44140625" bestFit="1" customWidth="1"/>
    <col min="262" max="262" width="11.88671875" bestFit="1" customWidth="1"/>
    <col min="263" max="263" width="15.6640625" customWidth="1"/>
    <col min="266" max="266" width="12.33203125" customWidth="1"/>
    <col min="267" max="267" width="13.109375" customWidth="1"/>
    <col min="268" max="268" width="12.109375" customWidth="1"/>
    <col min="513" max="513" width="10.5546875" customWidth="1"/>
    <col min="514" max="514" width="16" customWidth="1"/>
    <col min="515" max="515" width="40.6640625" customWidth="1"/>
    <col min="516" max="516" width="7.109375" bestFit="1" customWidth="1"/>
    <col min="517" max="517" width="10.44140625" bestFit="1" customWidth="1"/>
    <col min="518" max="518" width="11.88671875" bestFit="1" customWidth="1"/>
    <col min="519" max="519" width="15.6640625" customWidth="1"/>
    <col min="522" max="522" width="12.33203125" customWidth="1"/>
    <col min="523" max="523" width="13.109375" customWidth="1"/>
    <col min="524" max="524" width="12.109375" customWidth="1"/>
    <col min="769" max="769" width="10.5546875" customWidth="1"/>
    <col min="770" max="770" width="16" customWidth="1"/>
    <col min="771" max="771" width="40.6640625" customWidth="1"/>
    <col min="772" max="772" width="7.109375" bestFit="1" customWidth="1"/>
    <col min="773" max="773" width="10.44140625" bestFit="1" customWidth="1"/>
    <col min="774" max="774" width="11.88671875" bestFit="1" customWidth="1"/>
    <col min="775" max="775" width="15.6640625" customWidth="1"/>
    <col min="778" max="778" width="12.33203125" customWidth="1"/>
    <col min="779" max="779" width="13.109375" customWidth="1"/>
    <col min="780" max="780" width="12.109375" customWidth="1"/>
    <col min="1025" max="1025" width="10.5546875" customWidth="1"/>
    <col min="1026" max="1026" width="16" customWidth="1"/>
    <col min="1027" max="1027" width="40.6640625" customWidth="1"/>
    <col min="1028" max="1028" width="7.109375" bestFit="1" customWidth="1"/>
    <col min="1029" max="1029" width="10.44140625" bestFit="1" customWidth="1"/>
    <col min="1030" max="1030" width="11.88671875" bestFit="1" customWidth="1"/>
    <col min="1031" max="1031" width="15.6640625" customWidth="1"/>
    <col min="1034" max="1034" width="12.33203125" customWidth="1"/>
    <col min="1035" max="1035" width="13.109375" customWidth="1"/>
    <col min="1036" max="1036" width="12.109375" customWidth="1"/>
    <col min="1281" max="1281" width="10.5546875" customWidth="1"/>
    <col min="1282" max="1282" width="16" customWidth="1"/>
    <col min="1283" max="1283" width="40.6640625" customWidth="1"/>
    <col min="1284" max="1284" width="7.109375" bestFit="1" customWidth="1"/>
    <col min="1285" max="1285" width="10.44140625" bestFit="1" customWidth="1"/>
    <col min="1286" max="1286" width="11.88671875" bestFit="1" customWidth="1"/>
    <col min="1287" max="1287" width="15.6640625" customWidth="1"/>
    <col min="1290" max="1290" width="12.33203125" customWidth="1"/>
    <col min="1291" max="1291" width="13.109375" customWidth="1"/>
    <col min="1292" max="1292" width="12.109375" customWidth="1"/>
    <col min="1537" max="1537" width="10.5546875" customWidth="1"/>
    <col min="1538" max="1538" width="16" customWidth="1"/>
    <col min="1539" max="1539" width="40.6640625" customWidth="1"/>
    <col min="1540" max="1540" width="7.109375" bestFit="1" customWidth="1"/>
    <col min="1541" max="1541" width="10.44140625" bestFit="1" customWidth="1"/>
    <col min="1542" max="1542" width="11.88671875" bestFit="1" customWidth="1"/>
    <col min="1543" max="1543" width="15.6640625" customWidth="1"/>
    <col min="1546" max="1546" width="12.33203125" customWidth="1"/>
    <col min="1547" max="1547" width="13.109375" customWidth="1"/>
    <col min="1548" max="1548" width="12.109375" customWidth="1"/>
    <col min="1793" max="1793" width="10.5546875" customWidth="1"/>
    <col min="1794" max="1794" width="16" customWidth="1"/>
    <col min="1795" max="1795" width="40.6640625" customWidth="1"/>
    <col min="1796" max="1796" width="7.109375" bestFit="1" customWidth="1"/>
    <col min="1797" max="1797" width="10.44140625" bestFit="1" customWidth="1"/>
    <col min="1798" max="1798" width="11.88671875" bestFit="1" customWidth="1"/>
    <col min="1799" max="1799" width="15.6640625" customWidth="1"/>
    <col min="1802" max="1802" width="12.33203125" customWidth="1"/>
    <col min="1803" max="1803" width="13.109375" customWidth="1"/>
    <col min="1804" max="1804" width="12.109375" customWidth="1"/>
    <col min="2049" max="2049" width="10.5546875" customWidth="1"/>
    <col min="2050" max="2050" width="16" customWidth="1"/>
    <col min="2051" max="2051" width="40.6640625" customWidth="1"/>
    <col min="2052" max="2052" width="7.109375" bestFit="1" customWidth="1"/>
    <col min="2053" max="2053" width="10.44140625" bestFit="1" customWidth="1"/>
    <col min="2054" max="2054" width="11.88671875" bestFit="1" customWidth="1"/>
    <col min="2055" max="2055" width="15.6640625" customWidth="1"/>
    <col min="2058" max="2058" width="12.33203125" customWidth="1"/>
    <col min="2059" max="2059" width="13.109375" customWidth="1"/>
    <col min="2060" max="2060" width="12.109375" customWidth="1"/>
    <col min="2305" max="2305" width="10.5546875" customWidth="1"/>
    <col min="2306" max="2306" width="16" customWidth="1"/>
    <col min="2307" max="2307" width="40.6640625" customWidth="1"/>
    <col min="2308" max="2308" width="7.109375" bestFit="1" customWidth="1"/>
    <col min="2309" max="2309" width="10.44140625" bestFit="1" customWidth="1"/>
    <col min="2310" max="2310" width="11.88671875" bestFit="1" customWidth="1"/>
    <col min="2311" max="2311" width="15.6640625" customWidth="1"/>
    <col min="2314" max="2314" width="12.33203125" customWidth="1"/>
    <col min="2315" max="2315" width="13.109375" customWidth="1"/>
    <col min="2316" max="2316" width="12.109375" customWidth="1"/>
    <col min="2561" max="2561" width="10.5546875" customWidth="1"/>
    <col min="2562" max="2562" width="16" customWidth="1"/>
    <col min="2563" max="2563" width="40.6640625" customWidth="1"/>
    <col min="2564" max="2564" width="7.109375" bestFit="1" customWidth="1"/>
    <col min="2565" max="2565" width="10.44140625" bestFit="1" customWidth="1"/>
    <col min="2566" max="2566" width="11.88671875" bestFit="1" customWidth="1"/>
    <col min="2567" max="2567" width="15.6640625" customWidth="1"/>
    <col min="2570" max="2570" width="12.33203125" customWidth="1"/>
    <col min="2571" max="2571" width="13.109375" customWidth="1"/>
    <col min="2572" max="2572" width="12.109375" customWidth="1"/>
    <col min="2817" max="2817" width="10.5546875" customWidth="1"/>
    <col min="2818" max="2818" width="16" customWidth="1"/>
    <col min="2819" max="2819" width="40.6640625" customWidth="1"/>
    <col min="2820" max="2820" width="7.109375" bestFit="1" customWidth="1"/>
    <col min="2821" max="2821" width="10.44140625" bestFit="1" customWidth="1"/>
    <col min="2822" max="2822" width="11.88671875" bestFit="1" customWidth="1"/>
    <col min="2823" max="2823" width="15.6640625" customWidth="1"/>
    <col min="2826" max="2826" width="12.33203125" customWidth="1"/>
    <col min="2827" max="2827" width="13.109375" customWidth="1"/>
    <col min="2828" max="2828" width="12.109375" customWidth="1"/>
    <col min="3073" max="3073" width="10.5546875" customWidth="1"/>
    <col min="3074" max="3074" width="16" customWidth="1"/>
    <col min="3075" max="3075" width="40.6640625" customWidth="1"/>
    <col min="3076" max="3076" width="7.109375" bestFit="1" customWidth="1"/>
    <col min="3077" max="3077" width="10.44140625" bestFit="1" customWidth="1"/>
    <col min="3078" max="3078" width="11.88671875" bestFit="1" customWidth="1"/>
    <col min="3079" max="3079" width="15.6640625" customWidth="1"/>
    <col min="3082" max="3082" width="12.33203125" customWidth="1"/>
    <col min="3083" max="3083" width="13.109375" customWidth="1"/>
    <col min="3084" max="3084" width="12.109375" customWidth="1"/>
    <col min="3329" max="3329" width="10.5546875" customWidth="1"/>
    <col min="3330" max="3330" width="16" customWidth="1"/>
    <col min="3331" max="3331" width="40.6640625" customWidth="1"/>
    <col min="3332" max="3332" width="7.109375" bestFit="1" customWidth="1"/>
    <col min="3333" max="3333" width="10.44140625" bestFit="1" customWidth="1"/>
    <col min="3334" max="3334" width="11.88671875" bestFit="1" customWidth="1"/>
    <col min="3335" max="3335" width="15.6640625" customWidth="1"/>
    <col min="3338" max="3338" width="12.33203125" customWidth="1"/>
    <col min="3339" max="3339" width="13.109375" customWidth="1"/>
    <col min="3340" max="3340" width="12.109375" customWidth="1"/>
    <col min="3585" max="3585" width="10.5546875" customWidth="1"/>
    <col min="3586" max="3586" width="16" customWidth="1"/>
    <col min="3587" max="3587" width="40.6640625" customWidth="1"/>
    <col min="3588" max="3588" width="7.109375" bestFit="1" customWidth="1"/>
    <col min="3589" max="3589" width="10.44140625" bestFit="1" customWidth="1"/>
    <col min="3590" max="3590" width="11.88671875" bestFit="1" customWidth="1"/>
    <col min="3591" max="3591" width="15.6640625" customWidth="1"/>
    <col min="3594" max="3594" width="12.33203125" customWidth="1"/>
    <col min="3595" max="3595" width="13.109375" customWidth="1"/>
    <col min="3596" max="3596" width="12.109375" customWidth="1"/>
    <col min="3841" max="3841" width="10.5546875" customWidth="1"/>
    <col min="3842" max="3842" width="16" customWidth="1"/>
    <col min="3843" max="3843" width="40.6640625" customWidth="1"/>
    <col min="3844" max="3844" width="7.109375" bestFit="1" customWidth="1"/>
    <col min="3845" max="3845" width="10.44140625" bestFit="1" customWidth="1"/>
    <col min="3846" max="3846" width="11.88671875" bestFit="1" customWidth="1"/>
    <col min="3847" max="3847" width="15.6640625" customWidth="1"/>
    <col min="3850" max="3850" width="12.33203125" customWidth="1"/>
    <col min="3851" max="3851" width="13.109375" customWidth="1"/>
    <col min="3852" max="3852" width="12.109375" customWidth="1"/>
    <col min="4097" max="4097" width="10.5546875" customWidth="1"/>
    <col min="4098" max="4098" width="16" customWidth="1"/>
    <col min="4099" max="4099" width="40.6640625" customWidth="1"/>
    <col min="4100" max="4100" width="7.109375" bestFit="1" customWidth="1"/>
    <col min="4101" max="4101" width="10.44140625" bestFit="1" customWidth="1"/>
    <col min="4102" max="4102" width="11.88671875" bestFit="1" customWidth="1"/>
    <col min="4103" max="4103" width="15.6640625" customWidth="1"/>
    <col min="4106" max="4106" width="12.33203125" customWidth="1"/>
    <col min="4107" max="4107" width="13.109375" customWidth="1"/>
    <col min="4108" max="4108" width="12.109375" customWidth="1"/>
    <col min="4353" max="4353" width="10.5546875" customWidth="1"/>
    <col min="4354" max="4354" width="16" customWidth="1"/>
    <col min="4355" max="4355" width="40.6640625" customWidth="1"/>
    <col min="4356" max="4356" width="7.109375" bestFit="1" customWidth="1"/>
    <col min="4357" max="4357" width="10.44140625" bestFit="1" customWidth="1"/>
    <col min="4358" max="4358" width="11.88671875" bestFit="1" customWidth="1"/>
    <col min="4359" max="4359" width="15.6640625" customWidth="1"/>
    <col min="4362" max="4362" width="12.33203125" customWidth="1"/>
    <col min="4363" max="4363" width="13.109375" customWidth="1"/>
    <col min="4364" max="4364" width="12.109375" customWidth="1"/>
    <col min="4609" max="4609" width="10.5546875" customWidth="1"/>
    <col min="4610" max="4610" width="16" customWidth="1"/>
    <col min="4611" max="4611" width="40.6640625" customWidth="1"/>
    <col min="4612" max="4612" width="7.109375" bestFit="1" customWidth="1"/>
    <col min="4613" max="4613" width="10.44140625" bestFit="1" customWidth="1"/>
    <col min="4614" max="4614" width="11.88671875" bestFit="1" customWidth="1"/>
    <col min="4615" max="4615" width="15.6640625" customWidth="1"/>
    <col min="4618" max="4618" width="12.33203125" customWidth="1"/>
    <col min="4619" max="4619" width="13.109375" customWidth="1"/>
    <col min="4620" max="4620" width="12.109375" customWidth="1"/>
    <col min="4865" max="4865" width="10.5546875" customWidth="1"/>
    <col min="4866" max="4866" width="16" customWidth="1"/>
    <col min="4867" max="4867" width="40.6640625" customWidth="1"/>
    <col min="4868" max="4868" width="7.109375" bestFit="1" customWidth="1"/>
    <col min="4869" max="4869" width="10.44140625" bestFit="1" customWidth="1"/>
    <col min="4870" max="4870" width="11.88671875" bestFit="1" customWidth="1"/>
    <col min="4871" max="4871" width="15.6640625" customWidth="1"/>
    <col min="4874" max="4874" width="12.33203125" customWidth="1"/>
    <col min="4875" max="4875" width="13.109375" customWidth="1"/>
    <col min="4876" max="4876" width="12.109375" customWidth="1"/>
    <col min="5121" max="5121" width="10.5546875" customWidth="1"/>
    <col min="5122" max="5122" width="16" customWidth="1"/>
    <col min="5123" max="5123" width="40.6640625" customWidth="1"/>
    <col min="5124" max="5124" width="7.109375" bestFit="1" customWidth="1"/>
    <col min="5125" max="5125" width="10.44140625" bestFit="1" customWidth="1"/>
    <col min="5126" max="5126" width="11.88671875" bestFit="1" customWidth="1"/>
    <col min="5127" max="5127" width="15.6640625" customWidth="1"/>
    <col min="5130" max="5130" width="12.33203125" customWidth="1"/>
    <col min="5131" max="5131" width="13.109375" customWidth="1"/>
    <col min="5132" max="5132" width="12.109375" customWidth="1"/>
    <col min="5377" max="5377" width="10.5546875" customWidth="1"/>
    <col min="5378" max="5378" width="16" customWidth="1"/>
    <col min="5379" max="5379" width="40.6640625" customWidth="1"/>
    <col min="5380" max="5380" width="7.109375" bestFit="1" customWidth="1"/>
    <col min="5381" max="5381" width="10.44140625" bestFit="1" customWidth="1"/>
    <col min="5382" max="5382" width="11.88671875" bestFit="1" customWidth="1"/>
    <col min="5383" max="5383" width="15.6640625" customWidth="1"/>
    <col min="5386" max="5386" width="12.33203125" customWidth="1"/>
    <col min="5387" max="5387" width="13.109375" customWidth="1"/>
    <col min="5388" max="5388" width="12.109375" customWidth="1"/>
    <col min="5633" max="5633" width="10.5546875" customWidth="1"/>
    <col min="5634" max="5634" width="16" customWidth="1"/>
    <col min="5635" max="5635" width="40.6640625" customWidth="1"/>
    <col min="5636" max="5636" width="7.109375" bestFit="1" customWidth="1"/>
    <col min="5637" max="5637" width="10.44140625" bestFit="1" customWidth="1"/>
    <col min="5638" max="5638" width="11.88671875" bestFit="1" customWidth="1"/>
    <col min="5639" max="5639" width="15.6640625" customWidth="1"/>
    <col min="5642" max="5642" width="12.33203125" customWidth="1"/>
    <col min="5643" max="5643" width="13.109375" customWidth="1"/>
    <col min="5644" max="5644" width="12.109375" customWidth="1"/>
    <col min="5889" max="5889" width="10.5546875" customWidth="1"/>
    <col min="5890" max="5890" width="16" customWidth="1"/>
    <col min="5891" max="5891" width="40.6640625" customWidth="1"/>
    <col min="5892" max="5892" width="7.109375" bestFit="1" customWidth="1"/>
    <col min="5893" max="5893" width="10.44140625" bestFit="1" customWidth="1"/>
    <col min="5894" max="5894" width="11.88671875" bestFit="1" customWidth="1"/>
    <col min="5895" max="5895" width="15.6640625" customWidth="1"/>
    <col min="5898" max="5898" width="12.33203125" customWidth="1"/>
    <col min="5899" max="5899" width="13.109375" customWidth="1"/>
    <col min="5900" max="5900" width="12.109375" customWidth="1"/>
    <col min="6145" max="6145" width="10.5546875" customWidth="1"/>
    <col min="6146" max="6146" width="16" customWidth="1"/>
    <col min="6147" max="6147" width="40.6640625" customWidth="1"/>
    <col min="6148" max="6148" width="7.109375" bestFit="1" customWidth="1"/>
    <col min="6149" max="6149" width="10.44140625" bestFit="1" customWidth="1"/>
    <col min="6150" max="6150" width="11.88671875" bestFit="1" customWidth="1"/>
    <col min="6151" max="6151" width="15.6640625" customWidth="1"/>
    <col min="6154" max="6154" width="12.33203125" customWidth="1"/>
    <col min="6155" max="6155" width="13.109375" customWidth="1"/>
    <col min="6156" max="6156" width="12.109375" customWidth="1"/>
    <col min="6401" max="6401" width="10.5546875" customWidth="1"/>
    <col min="6402" max="6402" width="16" customWidth="1"/>
    <col min="6403" max="6403" width="40.6640625" customWidth="1"/>
    <col min="6404" max="6404" width="7.109375" bestFit="1" customWidth="1"/>
    <col min="6405" max="6405" width="10.44140625" bestFit="1" customWidth="1"/>
    <col min="6406" max="6406" width="11.88671875" bestFit="1" customWidth="1"/>
    <col min="6407" max="6407" width="15.6640625" customWidth="1"/>
    <col min="6410" max="6410" width="12.33203125" customWidth="1"/>
    <col min="6411" max="6411" width="13.109375" customWidth="1"/>
    <col min="6412" max="6412" width="12.109375" customWidth="1"/>
    <col min="6657" max="6657" width="10.5546875" customWidth="1"/>
    <col min="6658" max="6658" width="16" customWidth="1"/>
    <col min="6659" max="6659" width="40.6640625" customWidth="1"/>
    <col min="6660" max="6660" width="7.109375" bestFit="1" customWidth="1"/>
    <col min="6661" max="6661" width="10.44140625" bestFit="1" customWidth="1"/>
    <col min="6662" max="6662" width="11.88671875" bestFit="1" customWidth="1"/>
    <col min="6663" max="6663" width="15.6640625" customWidth="1"/>
    <col min="6666" max="6666" width="12.33203125" customWidth="1"/>
    <col min="6667" max="6667" width="13.109375" customWidth="1"/>
    <col min="6668" max="6668" width="12.109375" customWidth="1"/>
    <col min="6913" max="6913" width="10.5546875" customWidth="1"/>
    <col min="6914" max="6914" width="16" customWidth="1"/>
    <col min="6915" max="6915" width="40.6640625" customWidth="1"/>
    <col min="6916" max="6916" width="7.109375" bestFit="1" customWidth="1"/>
    <col min="6917" max="6917" width="10.44140625" bestFit="1" customWidth="1"/>
    <col min="6918" max="6918" width="11.88671875" bestFit="1" customWidth="1"/>
    <col min="6919" max="6919" width="15.6640625" customWidth="1"/>
    <col min="6922" max="6922" width="12.33203125" customWidth="1"/>
    <col min="6923" max="6923" width="13.109375" customWidth="1"/>
    <col min="6924" max="6924" width="12.109375" customWidth="1"/>
    <col min="7169" max="7169" width="10.5546875" customWidth="1"/>
    <col min="7170" max="7170" width="16" customWidth="1"/>
    <col min="7171" max="7171" width="40.6640625" customWidth="1"/>
    <col min="7172" max="7172" width="7.109375" bestFit="1" customWidth="1"/>
    <col min="7173" max="7173" width="10.44140625" bestFit="1" customWidth="1"/>
    <col min="7174" max="7174" width="11.88671875" bestFit="1" customWidth="1"/>
    <col min="7175" max="7175" width="15.6640625" customWidth="1"/>
    <col min="7178" max="7178" width="12.33203125" customWidth="1"/>
    <col min="7179" max="7179" width="13.109375" customWidth="1"/>
    <col min="7180" max="7180" width="12.109375" customWidth="1"/>
    <col min="7425" max="7425" width="10.5546875" customWidth="1"/>
    <col min="7426" max="7426" width="16" customWidth="1"/>
    <col min="7427" max="7427" width="40.6640625" customWidth="1"/>
    <col min="7428" max="7428" width="7.109375" bestFit="1" customWidth="1"/>
    <col min="7429" max="7429" width="10.44140625" bestFit="1" customWidth="1"/>
    <col min="7430" max="7430" width="11.88671875" bestFit="1" customWidth="1"/>
    <col min="7431" max="7431" width="15.6640625" customWidth="1"/>
    <col min="7434" max="7434" width="12.33203125" customWidth="1"/>
    <col min="7435" max="7435" width="13.109375" customWidth="1"/>
    <col min="7436" max="7436" width="12.109375" customWidth="1"/>
    <col min="7681" max="7681" width="10.5546875" customWidth="1"/>
    <col min="7682" max="7682" width="16" customWidth="1"/>
    <col min="7683" max="7683" width="40.6640625" customWidth="1"/>
    <col min="7684" max="7684" width="7.109375" bestFit="1" customWidth="1"/>
    <col min="7685" max="7685" width="10.44140625" bestFit="1" customWidth="1"/>
    <col min="7686" max="7686" width="11.88671875" bestFit="1" customWidth="1"/>
    <col min="7687" max="7687" width="15.6640625" customWidth="1"/>
    <col min="7690" max="7690" width="12.33203125" customWidth="1"/>
    <col min="7691" max="7691" width="13.109375" customWidth="1"/>
    <col min="7692" max="7692" width="12.109375" customWidth="1"/>
    <col min="7937" max="7937" width="10.5546875" customWidth="1"/>
    <col min="7938" max="7938" width="16" customWidth="1"/>
    <col min="7939" max="7939" width="40.6640625" customWidth="1"/>
    <col min="7940" max="7940" width="7.109375" bestFit="1" customWidth="1"/>
    <col min="7941" max="7941" width="10.44140625" bestFit="1" customWidth="1"/>
    <col min="7942" max="7942" width="11.88671875" bestFit="1" customWidth="1"/>
    <col min="7943" max="7943" width="15.6640625" customWidth="1"/>
    <col min="7946" max="7946" width="12.33203125" customWidth="1"/>
    <col min="7947" max="7947" width="13.109375" customWidth="1"/>
    <col min="7948" max="7948" width="12.109375" customWidth="1"/>
    <col min="8193" max="8193" width="10.5546875" customWidth="1"/>
    <col min="8194" max="8194" width="16" customWidth="1"/>
    <col min="8195" max="8195" width="40.6640625" customWidth="1"/>
    <col min="8196" max="8196" width="7.109375" bestFit="1" customWidth="1"/>
    <col min="8197" max="8197" width="10.44140625" bestFit="1" customWidth="1"/>
    <col min="8198" max="8198" width="11.88671875" bestFit="1" customWidth="1"/>
    <col min="8199" max="8199" width="15.6640625" customWidth="1"/>
    <col min="8202" max="8202" width="12.33203125" customWidth="1"/>
    <col min="8203" max="8203" width="13.109375" customWidth="1"/>
    <col min="8204" max="8204" width="12.109375" customWidth="1"/>
    <col min="8449" max="8449" width="10.5546875" customWidth="1"/>
    <col min="8450" max="8450" width="16" customWidth="1"/>
    <col min="8451" max="8451" width="40.6640625" customWidth="1"/>
    <col min="8452" max="8452" width="7.109375" bestFit="1" customWidth="1"/>
    <col min="8453" max="8453" width="10.44140625" bestFit="1" customWidth="1"/>
    <col min="8454" max="8454" width="11.88671875" bestFit="1" customWidth="1"/>
    <col min="8455" max="8455" width="15.6640625" customWidth="1"/>
    <col min="8458" max="8458" width="12.33203125" customWidth="1"/>
    <col min="8459" max="8459" width="13.109375" customWidth="1"/>
    <col min="8460" max="8460" width="12.109375" customWidth="1"/>
    <col min="8705" max="8705" width="10.5546875" customWidth="1"/>
    <col min="8706" max="8706" width="16" customWidth="1"/>
    <col min="8707" max="8707" width="40.6640625" customWidth="1"/>
    <col min="8708" max="8708" width="7.109375" bestFit="1" customWidth="1"/>
    <col min="8709" max="8709" width="10.44140625" bestFit="1" customWidth="1"/>
    <col min="8710" max="8710" width="11.88671875" bestFit="1" customWidth="1"/>
    <col min="8711" max="8711" width="15.6640625" customWidth="1"/>
    <col min="8714" max="8714" width="12.33203125" customWidth="1"/>
    <col min="8715" max="8715" width="13.109375" customWidth="1"/>
    <col min="8716" max="8716" width="12.109375" customWidth="1"/>
    <col min="8961" max="8961" width="10.5546875" customWidth="1"/>
    <col min="8962" max="8962" width="16" customWidth="1"/>
    <col min="8963" max="8963" width="40.6640625" customWidth="1"/>
    <col min="8964" max="8964" width="7.109375" bestFit="1" customWidth="1"/>
    <col min="8965" max="8965" width="10.44140625" bestFit="1" customWidth="1"/>
    <col min="8966" max="8966" width="11.88671875" bestFit="1" customWidth="1"/>
    <col min="8967" max="8967" width="15.6640625" customWidth="1"/>
    <col min="8970" max="8970" width="12.33203125" customWidth="1"/>
    <col min="8971" max="8971" width="13.109375" customWidth="1"/>
    <col min="8972" max="8972" width="12.109375" customWidth="1"/>
    <col min="9217" max="9217" width="10.5546875" customWidth="1"/>
    <col min="9218" max="9218" width="16" customWidth="1"/>
    <col min="9219" max="9219" width="40.6640625" customWidth="1"/>
    <col min="9220" max="9220" width="7.109375" bestFit="1" customWidth="1"/>
    <col min="9221" max="9221" width="10.44140625" bestFit="1" customWidth="1"/>
    <col min="9222" max="9222" width="11.88671875" bestFit="1" customWidth="1"/>
    <col min="9223" max="9223" width="15.6640625" customWidth="1"/>
    <col min="9226" max="9226" width="12.33203125" customWidth="1"/>
    <col min="9227" max="9227" width="13.109375" customWidth="1"/>
    <col min="9228" max="9228" width="12.109375" customWidth="1"/>
    <col min="9473" max="9473" width="10.5546875" customWidth="1"/>
    <col min="9474" max="9474" width="16" customWidth="1"/>
    <col min="9475" max="9475" width="40.6640625" customWidth="1"/>
    <col min="9476" max="9476" width="7.109375" bestFit="1" customWidth="1"/>
    <col min="9477" max="9477" width="10.44140625" bestFit="1" customWidth="1"/>
    <col min="9478" max="9478" width="11.88671875" bestFit="1" customWidth="1"/>
    <col min="9479" max="9479" width="15.6640625" customWidth="1"/>
    <col min="9482" max="9482" width="12.33203125" customWidth="1"/>
    <col min="9483" max="9483" width="13.109375" customWidth="1"/>
    <col min="9484" max="9484" width="12.109375" customWidth="1"/>
    <col min="9729" max="9729" width="10.5546875" customWidth="1"/>
    <col min="9730" max="9730" width="16" customWidth="1"/>
    <col min="9731" max="9731" width="40.6640625" customWidth="1"/>
    <col min="9732" max="9732" width="7.109375" bestFit="1" customWidth="1"/>
    <col min="9733" max="9733" width="10.44140625" bestFit="1" customWidth="1"/>
    <col min="9734" max="9734" width="11.88671875" bestFit="1" customWidth="1"/>
    <col min="9735" max="9735" width="15.6640625" customWidth="1"/>
    <col min="9738" max="9738" width="12.33203125" customWidth="1"/>
    <col min="9739" max="9739" width="13.109375" customWidth="1"/>
    <col min="9740" max="9740" width="12.109375" customWidth="1"/>
    <col min="9985" max="9985" width="10.5546875" customWidth="1"/>
    <col min="9986" max="9986" width="16" customWidth="1"/>
    <col min="9987" max="9987" width="40.6640625" customWidth="1"/>
    <col min="9988" max="9988" width="7.109375" bestFit="1" customWidth="1"/>
    <col min="9989" max="9989" width="10.44140625" bestFit="1" customWidth="1"/>
    <col min="9990" max="9990" width="11.88671875" bestFit="1" customWidth="1"/>
    <col min="9991" max="9991" width="15.6640625" customWidth="1"/>
    <col min="9994" max="9994" width="12.33203125" customWidth="1"/>
    <col min="9995" max="9995" width="13.109375" customWidth="1"/>
    <col min="9996" max="9996" width="12.109375" customWidth="1"/>
    <col min="10241" max="10241" width="10.5546875" customWidth="1"/>
    <col min="10242" max="10242" width="16" customWidth="1"/>
    <col min="10243" max="10243" width="40.6640625" customWidth="1"/>
    <col min="10244" max="10244" width="7.109375" bestFit="1" customWidth="1"/>
    <col min="10245" max="10245" width="10.44140625" bestFit="1" customWidth="1"/>
    <col min="10246" max="10246" width="11.88671875" bestFit="1" customWidth="1"/>
    <col min="10247" max="10247" width="15.6640625" customWidth="1"/>
    <col min="10250" max="10250" width="12.33203125" customWidth="1"/>
    <col min="10251" max="10251" width="13.109375" customWidth="1"/>
    <col min="10252" max="10252" width="12.109375" customWidth="1"/>
    <col min="10497" max="10497" width="10.5546875" customWidth="1"/>
    <col min="10498" max="10498" width="16" customWidth="1"/>
    <col min="10499" max="10499" width="40.6640625" customWidth="1"/>
    <col min="10500" max="10500" width="7.109375" bestFit="1" customWidth="1"/>
    <col min="10501" max="10501" width="10.44140625" bestFit="1" customWidth="1"/>
    <col min="10502" max="10502" width="11.88671875" bestFit="1" customWidth="1"/>
    <col min="10503" max="10503" width="15.6640625" customWidth="1"/>
    <col min="10506" max="10506" width="12.33203125" customWidth="1"/>
    <col min="10507" max="10507" width="13.109375" customWidth="1"/>
    <col min="10508" max="10508" width="12.109375" customWidth="1"/>
    <col min="10753" max="10753" width="10.5546875" customWidth="1"/>
    <col min="10754" max="10754" width="16" customWidth="1"/>
    <col min="10755" max="10755" width="40.6640625" customWidth="1"/>
    <col min="10756" max="10756" width="7.109375" bestFit="1" customWidth="1"/>
    <col min="10757" max="10757" width="10.44140625" bestFit="1" customWidth="1"/>
    <col min="10758" max="10758" width="11.88671875" bestFit="1" customWidth="1"/>
    <col min="10759" max="10759" width="15.6640625" customWidth="1"/>
    <col min="10762" max="10762" width="12.33203125" customWidth="1"/>
    <col min="10763" max="10763" width="13.109375" customWidth="1"/>
    <col min="10764" max="10764" width="12.109375" customWidth="1"/>
    <col min="11009" max="11009" width="10.5546875" customWidth="1"/>
    <col min="11010" max="11010" width="16" customWidth="1"/>
    <col min="11011" max="11011" width="40.6640625" customWidth="1"/>
    <col min="11012" max="11012" width="7.109375" bestFit="1" customWidth="1"/>
    <col min="11013" max="11013" width="10.44140625" bestFit="1" customWidth="1"/>
    <col min="11014" max="11014" width="11.88671875" bestFit="1" customWidth="1"/>
    <col min="11015" max="11015" width="15.6640625" customWidth="1"/>
    <col min="11018" max="11018" width="12.33203125" customWidth="1"/>
    <col min="11019" max="11019" width="13.109375" customWidth="1"/>
    <col min="11020" max="11020" width="12.109375" customWidth="1"/>
    <col min="11265" max="11265" width="10.5546875" customWidth="1"/>
    <col min="11266" max="11266" width="16" customWidth="1"/>
    <col min="11267" max="11267" width="40.6640625" customWidth="1"/>
    <col min="11268" max="11268" width="7.109375" bestFit="1" customWidth="1"/>
    <col min="11269" max="11269" width="10.44140625" bestFit="1" customWidth="1"/>
    <col min="11270" max="11270" width="11.88671875" bestFit="1" customWidth="1"/>
    <col min="11271" max="11271" width="15.6640625" customWidth="1"/>
    <col min="11274" max="11274" width="12.33203125" customWidth="1"/>
    <col min="11275" max="11275" width="13.109375" customWidth="1"/>
    <col min="11276" max="11276" width="12.109375" customWidth="1"/>
    <col min="11521" max="11521" width="10.5546875" customWidth="1"/>
    <col min="11522" max="11522" width="16" customWidth="1"/>
    <col min="11523" max="11523" width="40.6640625" customWidth="1"/>
    <col min="11524" max="11524" width="7.109375" bestFit="1" customWidth="1"/>
    <col min="11525" max="11525" width="10.44140625" bestFit="1" customWidth="1"/>
    <col min="11526" max="11526" width="11.88671875" bestFit="1" customWidth="1"/>
    <col min="11527" max="11527" width="15.6640625" customWidth="1"/>
    <col min="11530" max="11530" width="12.33203125" customWidth="1"/>
    <col min="11531" max="11531" width="13.109375" customWidth="1"/>
    <col min="11532" max="11532" width="12.109375" customWidth="1"/>
    <col min="11777" max="11777" width="10.5546875" customWidth="1"/>
    <col min="11778" max="11778" width="16" customWidth="1"/>
    <col min="11779" max="11779" width="40.6640625" customWidth="1"/>
    <col min="11780" max="11780" width="7.109375" bestFit="1" customWidth="1"/>
    <col min="11781" max="11781" width="10.44140625" bestFit="1" customWidth="1"/>
    <col min="11782" max="11782" width="11.88671875" bestFit="1" customWidth="1"/>
    <col min="11783" max="11783" width="15.6640625" customWidth="1"/>
    <col min="11786" max="11786" width="12.33203125" customWidth="1"/>
    <col min="11787" max="11787" width="13.109375" customWidth="1"/>
    <col min="11788" max="11788" width="12.109375" customWidth="1"/>
    <col min="12033" max="12033" width="10.5546875" customWidth="1"/>
    <col min="12034" max="12034" width="16" customWidth="1"/>
    <col min="12035" max="12035" width="40.6640625" customWidth="1"/>
    <col min="12036" max="12036" width="7.109375" bestFit="1" customWidth="1"/>
    <col min="12037" max="12037" width="10.44140625" bestFit="1" customWidth="1"/>
    <col min="12038" max="12038" width="11.88671875" bestFit="1" customWidth="1"/>
    <col min="12039" max="12039" width="15.6640625" customWidth="1"/>
    <col min="12042" max="12042" width="12.33203125" customWidth="1"/>
    <col min="12043" max="12043" width="13.109375" customWidth="1"/>
    <col min="12044" max="12044" width="12.109375" customWidth="1"/>
    <col min="12289" max="12289" width="10.5546875" customWidth="1"/>
    <col min="12290" max="12290" width="16" customWidth="1"/>
    <col min="12291" max="12291" width="40.6640625" customWidth="1"/>
    <col min="12292" max="12292" width="7.109375" bestFit="1" customWidth="1"/>
    <col min="12293" max="12293" width="10.44140625" bestFit="1" customWidth="1"/>
    <col min="12294" max="12294" width="11.88671875" bestFit="1" customWidth="1"/>
    <col min="12295" max="12295" width="15.6640625" customWidth="1"/>
    <col min="12298" max="12298" width="12.33203125" customWidth="1"/>
    <col min="12299" max="12299" width="13.109375" customWidth="1"/>
    <col min="12300" max="12300" width="12.109375" customWidth="1"/>
    <col min="12545" max="12545" width="10.5546875" customWidth="1"/>
    <col min="12546" max="12546" width="16" customWidth="1"/>
    <col min="12547" max="12547" width="40.6640625" customWidth="1"/>
    <col min="12548" max="12548" width="7.109375" bestFit="1" customWidth="1"/>
    <col min="12549" max="12549" width="10.44140625" bestFit="1" customWidth="1"/>
    <col min="12550" max="12550" width="11.88671875" bestFit="1" customWidth="1"/>
    <col min="12551" max="12551" width="15.6640625" customWidth="1"/>
    <col min="12554" max="12554" width="12.33203125" customWidth="1"/>
    <col min="12555" max="12555" width="13.109375" customWidth="1"/>
    <col min="12556" max="12556" width="12.109375" customWidth="1"/>
    <col min="12801" max="12801" width="10.5546875" customWidth="1"/>
    <col min="12802" max="12802" width="16" customWidth="1"/>
    <col min="12803" max="12803" width="40.6640625" customWidth="1"/>
    <col min="12804" max="12804" width="7.109375" bestFit="1" customWidth="1"/>
    <col min="12805" max="12805" width="10.44140625" bestFit="1" customWidth="1"/>
    <col min="12806" max="12806" width="11.88671875" bestFit="1" customWidth="1"/>
    <col min="12807" max="12807" width="15.6640625" customWidth="1"/>
    <col min="12810" max="12810" width="12.33203125" customWidth="1"/>
    <col min="12811" max="12811" width="13.109375" customWidth="1"/>
    <col min="12812" max="12812" width="12.109375" customWidth="1"/>
    <col min="13057" max="13057" width="10.5546875" customWidth="1"/>
    <col min="13058" max="13058" width="16" customWidth="1"/>
    <col min="13059" max="13059" width="40.6640625" customWidth="1"/>
    <col min="13060" max="13060" width="7.109375" bestFit="1" customWidth="1"/>
    <col min="13061" max="13061" width="10.44140625" bestFit="1" customWidth="1"/>
    <col min="13062" max="13062" width="11.88671875" bestFit="1" customWidth="1"/>
    <col min="13063" max="13063" width="15.6640625" customWidth="1"/>
    <col min="13066" max="13066" width="12.33203125" customWidth="1"/>
    <col min="13067" max="13067" width="13.109375" customWidth="1"/>
    <col min="13068" max="13068" width="12.109375" customWidth="1"/>
    <col min="13313" max="13313" width="10.5546875" customWidth="1"/>
    <col min="13314" max="13314" width="16" customWidth="1"/>
    <col min="13315" max="13315" width="40.6640625" customWidth="1"/>
    <col min="13316" max="13316" width="7.109375" bestFit="1" customWidth="1"/>
    <col min="13317" max="13317" width="10.44140625" bestFit="1" customWidth="1"/>
    <col min="13318" max="13318" width="11.88671875" bestFit="1" customWidth="1"/>
    <col min="13319" max="13319" width="15.6640625" customWidth="1"/>
    <col min="13322" max="13322" width="12.33203125" customWidth="1"/>
    <col min="13323" max="13323" width="13.109375" customWidth="1"/>
    <col min="13324" max="13324" width="12.109375" customWidth="1"/>
    <col min="13569" max="13569" width="10.5546875" customWidth="1"/>
    <col min="13570" max="13570" width="16" customWidth="1"/>
    <col min="13571" max="13571" width="40.6640625" customWidth="1"/>
    <col min="13572" max="13572" width="7.109375" bestFit="1" customWidth="1"/>
    <col min="13573" max="13573" width="10.44140625" bestFit="1" customWidth="1"/>
    <col min="13574" max="13574" width="11.88671875" bestFit="1" customWidth="1"/>
    <col min="13575" max="13575" width="15.6640625" customWidth="1"/>
    <col min="13578" max="13578" width="12.33203125" customWidth="1"/>
    <col min="13579" max="13579" width="13.109375" customWidth="1"/>
    <col min="13580" max="13580" width="12.109375" customWidth="1"/>
    <col min="13825" max="13825" width="10.5546875" customWidth="1"/>
    <col min="13826" max="13826" width="16" customWidth="1"/>
    <col min="13827" max="13827" width="40.6640625" customWidth="1"/>
    <col min="13828" max="13828" width="7.109375" bestFit="1" customWidth="1"/>
    <col min="13829" max="13829" width="10.44140625" bestFit="1" customWidth="1"/>
    <col min="13830" max="13830" width="11.88671875" bestFit="1" customWidth="1"/>
    <col min="13831" max="13831" width="15.6640625" customWidth="1"/>
    <col min="13834" max="13834" width="12.33203125" customWidth="1"/>
    <col min="13835" max="13835" width="13.109375" customWidth="1"/>
    <col min="13836" max="13836" width="12.109375" customWidth="1"/>
    <col min="14081" max="14081" width="10.5546875" customWidth="1"/>
    <col min="14082" max="14082" width="16" customWidth="1"/>
    <col min="14083" max="14083" width="40.6640625" customWidth="1"/>
    <col min="14084" max="14084" width="7.109375" bestFit="1" customWidth="1"/>
    <col min="14085" max="14085" width="10.44140625" bestFit="1" customWidth="1"/>
    <col min="14086" max="14086" width="11.88671875" bestFit="1" customWidth="1"/>
    <col min="14087" max="14087" width="15.6640625" customWidth="1"/>
    <col min="14090" max="14090" width="12.33203125" customWidth="1"/>
    <col min="14091" max="14091" width="13.109375" customWidth="1"/>
    <col min="14092" max="14092" width="12.109375" customWidth="1"/>
    <col min="14337" max="14337" width="10.5546875" customWidth="1"/>
    <col min="14338" max="14338" width="16" customWidth="1"/>
    <col min="14339" max="14339" width="40.6640625" customWidth="1"/>
    <col min="14340" max="14340" width="7.109375" bestFit="1" customWidth="1"/>
    <col min="14341" max="14341" width="10.44140625" bestFit="1" customWidth="1"/>
    <col min="14342" max="14342" width="11.88671875" bestFit="1" customWidth="1"/>
    <col min="14343" max="14343" width="15.6640625" customWidth="1"/>
    <col min="14346" max="14346" width="12.33203125" customWidth="1"/>
    <col min="14347" max="14347" width="13.109375" customWidth="1"/>
    <col min="14348" max="14348" width="12.109375" customWidth="1"/>
    <col min="14593" max="14593" width="10.5546875" customWidth="1"/>
    <col min="14594" max="14594" width="16" customWidth="1"/>
    <col min="14595" max="14595" width="40.6640625" customWidth="1"/>
    <col min="14596" max="14596" width="7.109375" bestFit="1" customWidth="1"/>
    <col min="14597" max="14597" width="10.44140625" bestFit="1" customWidth="1"/>
    <col min="14598" max="14598" width="11.88671875" bestFit="1" customWidth="1"/>
    <col min="14599" max="14599" width="15.6640625" customWidth="1"/>
    <col min="14602" max="14602" width="12.33203125" customWidth="1"/>
    <col min="14603" max="14603" width="13.109375" customWidth="1"/>
    <col min="14604" max="14604" width="12.109375" customWidth="1"/>
    <col min="14849" max="14849" width="10.5546875" customWidth="1"/>
    <col min="14850" max="14850" width="16" customWidth="1"/>
    <col min="14851" max="14851" width="40.6640625" customWidth="1"/>
    <col min="14852" max="14852" width="7.109375" bestFit="1" customWidth="1"/>
    <col min="14853" max="14853" width="10.44140625" bestFit="1" customWidth="1"/>
    <col min="14854" max="14854" width="11.88671875" bestFit="1" customWidth="1"/>
    <col min="14855" max="14855" width="15.6640625" customWidth="1"/>
    <col min="14858" max="14858" width="12.33203125" customWidth="1"/>
    <col min="14859" max="14859" width="13.109375" customWidth="1"/>
    <col min="14860" max="14860" width="12.109375" customWidth="1"/>
    <col min="15105" max="15105" width="10.5546875" customWidth="1"/>
    <col min="15106" max="15106" width="16" customWidth="1"/>
    <col min="15107" max="15107" width="40.6640625" customWidth="1"/>
    <col min="15108" max="15108" width="7.109375" bestFit="1" customWidth="1"/>
    <col min="15109" max="15109" width="10.44140625" bestFit="1" customWidth="1"/>
    <col min="15110" max="15110" width="11.88671875" bestFit="1" customWidth="1"/>
    <col min="15111" max="15111" width="15.6640625" customWidth="1"/>
    <col min="15114" max="15114" width="12.33203125" customWidth="1"/>
    <col min="15115" max="15115" width="13.109375" customWidth="1"/>
    <col min="15116" max="15116" width="12.109375" customWidth="1"/>
    <col min="15361" max="15361" width="10.5546875" customWidth="1"/>
    <col min="15362" max="15362" width="16" customWidth="1"/>
    <col min="15363" max="15363" width="40.6640625" customWidth="1"/>
    <col min="15364" max="15364" width="7.109375" bestFit="1" customWidth="1"/>
    <col min="15365" max="15365" width="10.44140625" bestFit="1" customWidth="1"/>
    <col min="15366" max="15366" width="11.88671875" bestFit="1" customWidth="1"/>
    <col min="15367" max="15367" width="15.6640625" customWidth="1"/>
    <col min="15370" max="15370" width="12.33203125" customWidth="1"/>
    <col min="15371" max="15371" width="13.109375" customWidth="1"/>
    <col min="15372" max="15372" width="12.109375" customWidth="1"/>
    <col min="15617" max="15617" width="10.5546875" customWidth="1"/>
    <col min="15618" max="15618" width="16" customWidth="1"/>
    <col min="15619" max="15619" width="40.6640625" customWidth="1"/>
    <col min="15620" max="15620" width="7.109375" bestFit="1" customWidth="1"/>
    <col min="15621" max="15621" width="10.44140625" bestFit="1" customWidth="1"/>
    <col min="15622" max="15622" width="11.88671875" bestFit="1" customWidth="1"/>
    <col min="15623" max="15623" width="15.6640625" customWidth="1"/>
    <col min="15626" max="15626" width="12.33203125" customWidth="1"/>
    <col min="15627" max="15627" width="13.109375" customWidth="1"/>
    <col min="15628" max="15628" width="12.109375" customWidth="1"/>
    <col min="15873" max="15873" width="10.5546875" customWidth="1"/>
    <col min="15874" max="15874" width="16" customWidth="1"/>
    <col min="15875" max="15875" width="40.6640625" customWidth="1"/>
    <col min="15876" max="15876" width="7.109375" bestFit="1" customWidth="1"/>
    <col min="15877" max="15877" width="10.44140625" bestFit="1" customWidth="1"/>
    <col min="15878" max="15878" width="11.88671875" bestFit="1" customWidth="1"/>
    <col min="15879" max="15879" width="15.6640625" customWidth="1"/>
    <col min="15882" max="15882" width="12.33203125" customWidth="1"/>
    <col min="15883" max="15883" width="13.109375" customWidth="1"/>
    <col min="15884" max="15884" width="12.109375" customWidth="1"/>
    <col min="16129" max="16129" width="10.5546875" customWidth="1"/>
    <col min="16130" max="16130" width="16" customWidth="1"/>
    <col min="16131" max="16131" width="40.6640625" customWidth="1"/>
    <col min="16132" max="16132" width="7.109375" bestFit="1" customWidth="1"/>
    <col min="16133" max="16133" width="10.44140625" bestFit="1" customWidth="1"/>
    <col min="16134" max="16134" width="11.88671875" bestFit="1" customWidth="1"/>
    <col min="16135" max="16135" width="15.6640625" customWidth="1"/>
    <col min="16138" max="16138" width="12.33203125" customWidth="1"/>
    <col min="16139" max="16139" width="13.109375" customWidth="1"/>
    <col min="16140" max="16140" width="12.109375" customWidth="1"/>
  </cols>
  <sheetData>
    <row r="1" spans="1:7" x14ac:dyDescent="0.25">
      <c r="A1" s="321" t="str">
        <f>'PLANILHA ORÇAMENTARIA'!A2:E2</f>
        <v>PREFEITURA: Prefeitura Municipal de Bom Jardim de Minas - MG</v>
      </c>
      <c r="B1" s="322"/>
      <c r="C1" s="322"/>
      <c r="D1" s="322"/>
      <c r="E1" s="322"/>
      <c r="F1" s="322"/>
      <c r="G1" s="323"/>
    </row>
    <row r="2" spans="1:7" x14ac:dyDescent="0.25">
      <c r="A2" s="324" t="str">
        <f>'PLANILHA ORÇAMENTARIA'!A3:E3</f>
        <v>OBRA: CONSTRUÇÃO DA SEDE  DO SERVIÇO DE ATENDIMENTO MOVEL - SAMU</v>
      </c>
      <c r="B2" s="783"/>
      <c r="C2" s="783"/>
      <c r="D2" s="783"/>
      <c r="E2" s="783"/>
      <c r="F2" s="783"/>
      <c r="G2" s="325"/>
    </row>
    <row r="3" spans="1:7" x14ac:dyDescent="0.25">
      <c r="A3" s="324" t="str">
        <f>'PLANILHA ORÇAMENTARIA'!A4:E4</f>
        <v>LOCAL:  Rua José Nogueira de Paula  - Lt nº 115, Bairro Hospital - Bom Jardim de Minas / MG</v>
      </c>
      <c r="B3" s="783"/>
      <c r="C3" s="783"/>
      <c r="D3" s="783"/>
      <c r="E3" s="783"/>
      <c r="F3" s="783"/>
      <c r="G3" s="325"/>
    </row>
    <row r="4" spans="1:7" ht="26.4" customHeight="1" x14ac:dyDescent="0.25">
      <c r="A4" s="660" t="str">
        <f>'PLANILHA ORÇAMENTARIA'!A5:E5</f>
        <v>REGIÃO/MÊS DE REFERÊNCIA: SEINFRA REGIÃO LESTE JULHO/2024 E SINAPI SETEMBRO/2024 PREÇO DE CUSTO COM DESONERAÇÃO FISCAL - LEI 12.546/2011 e 12.844/2013</v>
      </c>
      <c r="B4" s="784"/>
      <c r="C4" s="784"/>
      <c r="D4" s="784"/>
      <c r="E4" s="784"/>
      <c r="F4" s="784"/>
      <c r="G4" s="661"/>
    </row>
    <row r="5" spans="1:7" x14ac:dyDescent="0.25">
      <c r="A5" s="324" t="str">
        <f>'PLANILHA ORÇAMENTARIA'!A6:E6</f>
        <v xml:space="preserve">PRAZO DE EXECUÇÃO: 5 meses </v>
      </c>
      <c r="B5" s="783"/>
      <c r="C5" s="783"/>
      <c r="D5" s="783"/>
      <c r="E5" s="783"/>
      <c r="F5" s="783"/>
      <c r="G5" s="325"/>
    </row>
    <row r="6" spans="1:7" ht="14.4" x14ac:dyDescent="0.3">
      <c r="A6" s="326"/>
      <c r="B6" s="662" t="s">
        <v>66</v>
      </c>
      <c r="C6" s="663"/>
      <c r="D6" s="663"/>
      <c r="E6" s="663"/>
      <c r="F6" s="663"/>
      <c r="G6" s="664"/>
    </row>
    <row r="7" spans="1:7" ht="3" customHeight="1" x14ac:dyDescent="0.25">
      <c r="A7" s="327"/>
      <c r="B7" s="205"/>
      <c r="C7" s="205"/>
      <c r="D7" s="205"/>
      <c r="E7" s="205"/>
      <c r="F7" s="205"/>
      <c r="G7" s="328"/>
    </row>
    <row r="8" spans="1:7" x14ac:dyDescent="0.25">
      <c r="A8" s="104"/>
      <c r="B8" s="105"/>
      <c r="C8" s="106" t="s">
        <v>34</v>
      </c>
      <c r="D8" s="107" t="s">
        <v>3</v>
      </c>
      <c r="E8" s="107" t="s">
        <v>35</v>
      </c>
      <c r="F8" s="107" t="s">
        <v>67</v>
      </c>
      <c r="G8" s="108" t="s">
        <v>36</v>
      </c>
    </row>
    <row r="9" spans="1:7" ht="30" customHeight="1" x14ac:dyDescent="0.25">
      <c r="A9" s="329"/>
      <c r="B9" s="121" t="s">
        <v>37</v>
      </c>
      <c r="C9" s="785" t="s">
        <v>646</v>
      </c>
      <c r="D9" s="118" t="s">
        <v>13</v>
      </c>
      <c r="E9" s="119" t="s">
        <v>649</v>
      </c>
      <c r="F9" s="259" t="s">
        <v>334</v>
      </c>
      <c r="G9" s="330">
        <f>SUM(G11:G12)</f>
        <v>110.52666666666667</v>
      </c>
    </row>
    <row r="10" spans="1:7" x14ac:dyDescent="0.25">
      <c r="A10" s="239"/>
      <c r="B10" s="121" t="s">
        <v>4</v>
      </c>
      <c r="C10" s="120" t="s">
        <v>68</v>
      </c>
      <c r="D10" s="122" t="s">
        <v>3</v>
      </c>
      <c r="E10" s="122" t="s">
        <v>69</v>
      </c>
      <c r="F10" s="122" t="s">
        <v>70</v>
      </c>
      <c r="G10" s="241" t="s">
        <v>71</v>
      </c>
    </row>
    <row r="11" spans="1:7" ht="19.95" customHeight="1" x14ac:dyDescent="0.25">
      <c r="A11" s="109" t="s">
        <v>332</v>
      </c>
      <c r="B11" s="123" t="s">
        <v>333</v>
      </c>
      <c r="C11" s="124" t="str">
        <f>COTAÇÕES!B7</f>
        <v>PLAFON LED QUADRADO DE SOBREPOR 20X20 18W, 4000K</v>
      </c>
      <c r="D11" s="99" t="str">
        <f>COTAÇÕES!C7</f>
        <v>UNID.</v>
      </c>
      <c r="E11" s="125">
        <v>1</v>
      </c>
      <c r="F11" s="111">
        <f>COTAÇÕES!F7</f>
        <v>59.266666666666673</v>
      </c>
      <c r="G11" s="331">
        <f>E11*F11</f>
        <v>59.266666666666673</v>
      </c>
    </row>
    <row r="12" spans="1:7" ht="19.95" customHeight="1" x14ac:dyDescent="0.25">
      <c r="A12" s="109" t="s">
        <v>72</v>
      </c>
      <c r="B12" s="123" t="s">
        <v>329</v>
      </c>
      <c r="C12" s="124" t="s">
        <v>330</v>
      </c>
      <c r="D12" s="99" t="s">
        <v>73</v>
      </c>
      <c r="E12" s="125">
        <v>2</v>
      </c>
      <c r="F12" s="111">
        <v>25.63</v>
      </c>
      <c r="G12" s="331">
        <f t="shared" ref="G12" si="0">E12*F12</f>
        <v>51.26</v>
      </c>
    </row>
    <row r="13" spans="1:7" ht="3" customHeight="1" x14ac:dyDescent="0.25">
      <c r="A13" s="327"/>
      <c r="B13" s="205"/>
      <c r="C13" s="205"/>
      <c r="D13" s="205"/>
      <c r="E13" s="205"/>
      <c r="F13" s="205"/>
      <c r="G13" s="328"/>
    </row>
    <row r="14" spans="1:7" x14ac:dyDescent="0.25">
      <c r="A14" s="104"/>
      <c r="B14" s="105"/>
      <c r="C14" s="106" t="s">
        <v>34</v>
      </c>
      <c r="D14" s="107" t="s">
        <v>3</v>
      </c>
      <c r="E14" s="107" t="s">
        <v>35</v>
      </c>
      <c r="F14" s="107" t="s">
        <v>67</v>
      </c>
      <c r="G14" s="108" t="s">
        <v>36</v>
      </c>
    </row>
    <row r="15" spans="1:7" ht="30" customHeight="1" x14ac:dyDescent="0.25">
      <c r="A15" s="329"/>
      <c r="B15" s="121" t="s">
        <v>77</v>
      </c>
      <c r="C15" s="785" t="s">
        <v>647</v>
      </c>
      <c r="D15" s="118" t="s">
        <v>13</v>
      </c>
      <c r="E15" s="119" t="s">
        <v>649</v>
      </c>
      <c r="F15" s="259" t="s">
        <v>334</v>
      </c>
      <c r="G15" s="330">
        <f>SUM(G17:G18)</f>
        <v>110.52666666666667</v>
      </c>
    </row>
    <row r="16" spans="1:7" x14ac:dyDescent="0.25">
      <c r="A16" s="239"/>
      <c r="B16" s="121" t="s">
        <v>4</v>
      </c>
      <c r="C16" s="120" t="s">
        <v>68</v>
      </c>
      <c r="D16" s="122" t="s">
        <v>3</v>
      </c>
      <c r="E16" s="122" t="s">
        <v>69</v>
      </c>
      <c r="F16" s="122" t="s">
        <v>70</v>
      </c>
      <c r="G16" s="241" t="s">
        <v>71</v>
      </c>
    </row>
    <row r="17" spans="1:7" ht="19.95" customHeight="1" x14ac:dyDescent="0.25">
      <c r="A17" s="109" t="s">
        <v>332</v>
      </c>
      <c r="B17" s="123" t="s">
        <v>628</v>
      </c>
      <c r="C17" s="124" t="str">
        <f>COTAÇÕES!B13</f>
        <v>PLAFON LED QUADRADO DE SOBREPOR 20X20 18W, 6500K</v>
      </c>
      <c r="D17" s="99" t="str">
        <f>COTAÇÕES!C13</f>
        <v>UNID.</v>
      </c>
      <c r="E17" s="125">
        <v>1</v>
      </c>
      <c r="F17" s="111">
        <f>COTAÇÕES!F13</f>
        <v>59.266666666666673</v>
      </c>
      <c r="G17" s="331">
        <f>E17*F17</f>
        <v>59.266666666666673</v>
      </c>
    </row>
    <row r="18" spans="1:7" ht="19.95" customHeight="1" x14ac:dyDescent="0.25">
      <c r="A18" s="109" t="s">
        <v>72</v>
      </c>
      <c r="B18" s="123" t="s">
        <v>329</v>
      </c>
      <c r="C18" s="124" t="s">
        <v>330</v>
      </c>
      <c r="D18" s="99" t="s">
        <v>73</v>
      </c>
      <c r="E18" s="125">
        <v>2</v>
      </c>
      <c r="F18" s="111">
        <v>25.63</v>
      </c>
      <c r="G18" s="331">
        <f t="shared" ref="G18" si="1">E18*F18</f>
        <v>51.26</v>
      </c>
    </row>
    <row r="19" spans="1:7" ht="3" customHeight="1" x14ac:dyDescent="0.25">
      <c r="A19" s="327"/>
      <c r="B19" s="205"/>
      <c r="C19" s="205"/>
      <c r="D19" s="205"/>
      <c r="E19" s="205"/>
      <c r="F19" s="205"/>
      <c r="G19" s="328"/>
    </row>
    <row r="20" spans="1:7" x14ac:dyDescent="0.25">
      <c r="A20" s="104"/>
      <c r="B20" s="105"/>
      <c r="C20" s="106" t="s">
        <v>34</v>
      </c>
      <c r="D20" s="107" t="s">
        <v>3</v>
      </c>
      <c r="E20" s="107" t="s">
        <v>35</v>
      </c>
      <c r="F20" s="107" t="s">
        <v>67</v>
      </c>
      <c r="G20" s="108" t="s">
        <v>36</v>
      </c>
    </row>
    <row r="21" spans="1:7" ht="30" customHeight="1" x14ac:dyDescent="0.25">
      <c r="A21" s="329"/>
      <c r="B21" s="121" t="s">
        <v>172</v>
      </c>
      <c r="C21" s="785" t="s">
        <v>648</v>
      </c>
      <c r="D21" s="118" t="s">
        <v>13</v>
      </c>
      <c r="E21" s="119" t="s">
        <v>649</v>
      </c>
      <c r="F21" s="259" t="s">
        <v>334</v>
      </c>
      <c r="G21" s="330">
        <f>SUM(G23:G24)</f>
        <v>75.926666666666662</v>
      </c>
    </row>
    <row r="22" spans="1:7" x14ac:dyDescent="0.25">
      <c r="A22" s="239"/>
      <c r="B22" s="121" t="s">
        <v>4</v>
      </c>
      <c r="C22" s="120" t="s">
        <v>68</v>
      </c>
      <c r="D22" s="122" t="s">
        <v>3</v>
      </c>
      <c r="E22" s="122" t="s">
        <v>69</v>
      </c>
      <c r="F22" s="122" t="s">
        <v>70</v>
      </c>
      <c r="G22" s="241" t="s">
        <v>71</v>
      </c>
    </row>
    <row r="23" spans="1:7" ht="19.8" customHeight="1" x14ac:dyDescent="0.25">
      <c r="A23" s="109" t="s">
        <v>332</v>
      </c>
      <c r="B23" s="258" t="s">
        <v>629</v>
      </c>
      <c r="C23" s="255" t="str">
        <f>COTAÇÕES!B19</f>
        <v xml:space="preserve"> SPOT LED PAINEL SOBREPOR AVANT 5W 3000K</v>
      </c>
      <c r="D23" s="99" t="str">
        <f>COTAÇÕES!C7</f>
        <v>UNID.</v>
      </c>
      <c r="E23" s="125">
        <v>1</v>
      </c>
      <c r="F23" s="111">
        <f>COTAÇÕES!F19</f>
        <v>24.666666666666668</v>
      </c>
      <c r="G23" s="331">
        <f>E23*F23</f>
        <v>24.666666666666668</v>
      </c>
    </row>
    <row r="24" spans="1:7" ht="19.8" customHeight="1" x14ac:dyDescent="0.25">
      <c r="A24" s="109" t="s">
        <v>72</v>
      </c>
      <c r="B24" s="123" t="s">
        <v>329</v>
      </c>
      <c r="C24" s="124" t="s">
        <v>330</v>
      </c>
      <c r="D24" s="99" t="s">
        <v>73</v>
      </c>
      <c r="E24" s="125">
        <v>2</v>
      </c>
      <c r="F24" s="111">
        <v>25.63</v>
      </c>
      <c r="G24" s="331">
        <f t="shared" ref="G24" si="2">E24*F24</f>
        <v>51.26</v>
      </c>
    </row>
    <row r="25" spans="1:7" ht="3" customHeight="1" x14ac:dyDescent="0.25">
      <c r="A25" s="327"/>
      <c r="B25" s="205"/>
      <c r="C25" s="205"/>
      <c r="D25" s="205"/>
      <c r="E25" s="205"/>
      <c r="F25" s="205"/>
      <c r="G25" s="328"/>
    </row>
    <row r="26" spans="1:7" x14ac:dyDescent="0.25">
      <c r="A26" s="104"/>
      <c r="B26" s="105"/>
      <c r="C26" s="106" t="s">
        <v>34</v>
      </c>
      <c r="D26" s="107" t="s">
        <v>3</v>
      </c>
      <c r="E26" s="107" t="s">
        <v>35</v>
      </c>
      <c r="F26" s="107" t="s">
        <v>67</v>
      </c>
      <c r="G26" s="108" t="s">
        <v>36</v>
      </c>
    </row>
    <row r="27" spans="1:7" s="6" customFormat="1" ht="30" customHeight="1" x14ac:dyDescent="0.25">
      <c r="A27" s="516"/>
      <c r="B27" s="517" t="s">
        <v>401</v>
      </c>
      <c r="C27" s="786" t="s">
        <v>915</v>
      </c>
      <c r="D27" s="518" t="s">
        <v>13</v>
      </c>
      <c r="E27" s="519" t="s">
        <v>743</v>
      </c>
      <c r="F27" s="259" t="s">
        <v>334</v>
      </c>
      <c r="G27" s="520">
        <f>SUM(G29:G30)</f>
        <v>213.51666666666665</v>
      </c>
    </row>
    <row r="28" spans="1:7" x14ac:dyDescent="0.25">
      <c r="A28" s="239"/>
      <c r="B28" s="121"/>
      <c r="C28" s="120"/>
      <c r="D28" s="122"/>
      <c r="E28" s="122"/>
      <c r="F28" s="122"/>
      <c r="G28" s="241"/>
    </row>
    <row r="29" spans="1:7" ht="19.95" customHeight="1" x14ac:dyDescent="0.25">
      <c r="A29" s="109" t="s">
        <v>332</v>
      </c>
      <c r="B29" s="495" t="s">
        <v>751</v>
      </c>
      <c r="C29" s="255" t="str">
        <f>COTAÇÕES!B31</f>
        <v>ESPETO LED PARA JARDIM 10W, 3000K (BRANCO QUENTE)</v>
      </c>
      <c r="D29" s="99" t="str">
        <f>COTAÇÕES!C31</f>
        <v>UNID.</v>
      </c>
      <c r="E29" s="125">
        <v>1</v>
      </c>
      <c r="F29" s="111">
        <f>COTAÇÕES!F31</f>
        <v>162.25666666666666</v>
      </c>
      <c r="G29" s="331">
        <f>E29*F29</f>
        <v>162.25666666666666</v>
      </c>
    </row>
    <row r="30" spans="1:7" ht="19.8" customHeight="1" x14ac:dyDescent="0.25">
      <c r="A30" s="109" t="s">
        <v>72</v>
      </c>
      <c r="B30" s="123" t="s">
        <v>329</v>
      </c>
      <c r="C30" s="124" t="s">
        <v>330</v>
      </c>
      <c r="D30" s="99" t="s">
        <v>73</v>
      </c>
      <c r="E30" s="125">
        <v>2</v>
      </c>
      <c r="F30" s="111">
        <v>25.63</v>
      </c>
      <c r="G30" s="331">
        <f t="shared" ref="G30" si="3">E30*F30</f>
        <v>51.26</v>
      </c>
    </row>
    <row r="31" spans="1:7" ht="3" customHeight="1" x14ac:dyDescent="0.25">
      <c r="A31" s="327"/>
      <c r="B31" s="205"/>
      <c r="C31" s="205"/>
      <c r="D31" s="205"/>
      <c r="E31" s="205"/>
      <c r="F31" s="205"/>
      <c r="G31" s="328"/>
    </row>
    <row r="32" spans="1:7" x14ac:dyDescent="0.25">
      <c r="A32" s="104"/>
      <c r="B32" s="105"/>
      <c r="C32" s="106" t="s">
        <v>34</v>
      </c>
      <c r="D32" s="107" t="s">
        <v>3</v>
      </c>
      <c r="E32" s="107" t="s">
        <v>35</v>
      </c>
      <c r="F32" s="107" t="s">
        <v>67</v>
      </c>
      <c r="G32" s="108" t="s">
        <v>36</v>
      </c>
    </row>
    <row r="33" spans="1:7" s="6" customFormat="1" ht="30" customHeight="1" x14ac:dyDescent="0.25">
      <c r="A33" s="516"/>
      <c r="B33" s="517" t="s">
        <v>550</v>
      </c>
      <c r="C33" s="786" t="s">
        <v>951</v>
      </c>
      <c r="D33" s="518" t="s">
        <v>13</v>
      </c>
      <c r="E33" s="519" t="s">
        <v>743</v>
      </c>
      <c r="F33" s="259" t="s">
        <v>334</v>
      </c>
      <c r="G33" s="520">
        <f>SUM(G35:G37)</f>
        <v>74.056666666666658</v>
      </c>
    </row>
    <row r="34" spans="1:7" s="6" customFormat="1" x14ac:dyDescent="0.25">
      <c r="A34" s="509"/>
      <c r="B34" s="517"/>
      <c r="C34" s="510"/>
      <c r="D34" s="511"/>
      <c r="E34" s="511"/>
      <c r="F34" s="511"/>
      <c r="G34" s="513"/>
    </row>
    <row r="35" spans="1:7" s="6" customFormat="1" ht="19.95" customHeight="1" x14ac:dyDescent="0.25">
      <c r="A35" s="109" t="s">
        <v>332</v>
      </c>
      <c r="B35" s="495" t="s">
        <v>760</v>
      </c>
      <c r="C35" s="255" t="str">
        <f>COTAÇÕES!B37</f>
        <v xml:space="preserve">PROJETOR LED 50W, 6000K/6500k, 3750lm, IP65 </v>
      </c>
      <c r="D35" s="99" t="str">
        <f>COTAÇÕES!C37</f>
        <v>UNID.</v>
      </c>
      <c r="E35" s="125">
        <v>1</v>
      </c>
      <c r="F35" s="111">
        <f>COTAÇÕES!F37</f>
        <v>27.596666666666664</v>
      </c>
      <c r="G35" s="534">
        <f>E35*F35</f>
        <v>27.596666666666664</v>
      </c>
    </row>
    <row r="36" spans="1:7" ht="19.8" customHeight="1" x14ac:dyDescent="0.25">
      <c r="A36" s="109" t="s">
        <v>72</v>
      </c>
      <c r="B36" s="123" t="s">
        <v>329</v>
      </c>
      <c r="C36" s="124" t="s">
        <v>330</v>
      </c>
      <c r="D36" s="99" t="s">
        <v>73</v>
      </c>
      <c r="E36" s="125">
        <v>1</v>
      </c>
      <c r="F36" s="111">
        <v>25.63</v>
      </c>
      <c r="G36" s="331">
        <f t="shared" ref="G36" si="4">E36*F36</f>
        <v>25.63</v>
      </c>
    </row>
    <row r="37" spans="1:7" ht="19.95" customHeight="1" x14ac:dyDescent="0.25">
      <c r="A37" s="109" t="s">
        <v>72</v>
      </c>
      <c r="B37" s="495" t="s">
        <v>957</v>
      </c>
      <c r="C37" s="255" t="s">
        <v>958</v>
      </c>
      <c r="D37" s="99" t="s">
        <v>73</v>
      </c>
      <c r="E37" s="125">
        <v>1</v>
      </c>
      <c r="F37" s="111">
        <v>20.83</v>
      </c>
      <c r="G37" s="331">
        <f>E37*F37</f>
        <v>20.83</v>
      </c>
    </row>
    <row r="38" spans="1:7" ht="19.95" customHeight="1" x14ac:dyDescent="0.25">
      <c r="A38" s="109"/>
      <c r="B38" s="495"/>
      <c r="C38" s="255"/>
      <c r="D38" s="99"/>
      <c r="E38" s="125"/>
      <c r="F38" s="111"/>
      <c r="G38" s="331"/>
    </row>
    <row r="39" spans="1:7" ht="3" customHeight="1" x14ac:dyDescent="0.25">
      <c r="A39" s="327"/>
      <c r="B39" s="205"/>
      <c r="C39" s="205"/>
      <c r="D39" s="205"/>
      <c r="E39" s="205"/>
      <c r="F39" s="205"/>
      <c r="G39" s="328"/>
    </row>
    <row r="40" spans="1:7" x14ac:dyDescent="0.25">
      <c r="A40" s="104"/>
      <c r="B40" s="105"/>
      <c r="C40" s="106" t="s">
        <v>34</v>
      </c>
      <c r="D40" s="107" t="s">
        <v>3</v>
      </c>
      <c r="E40" s="107" t="s">
        <v>35</v>
      </c>
      <c r="F40" s="107" t="s">
        <v>67</v>
      </c>
      <c r="G40" s="108" t="s">
        <v>36</v>
      </c>
    </row>
    <row r="41" spans="1:7" s="6" customFormat="1" ht="30" customHeight="1" x14ac:dyDescent="0.25">
      <c r="A41" s="516"/>
      <c r="B41" s="517" t="s">
        <v>691</v>
      </c>
      <c r="C41" s="786" t="s">
        <v>952</v>
      </c>
      <c r="D41" s="518" t="s">
        <v>13</v>
      </c>
      <c r="E41" s="519" t="s">
        <v>743</v>
      </c>
      <c r="F41" s="259" t="s">
        <v>334</v>
      </c>
      <c r="G41" s="520">
        <f>SUM(G43:G45)</f>
        <v>63.556666666666665</v>
      </c>
    </row>
    <row r="42" spans="1:7" s="6" customFormat="1" x14ac:dyDescent="0.25">
      <c r="A42" s="509"/>
      <c r="B42" s="517"/>
      <c r="C42" s="510"/>
      <c r="D42" s="511"/>
      <c r="E42" s="511"/>
      <c r="F42" s="511"/>
      <c r="G42" s="513"/>
    </row>
    <row r="43" spans="1:7" s="6" customFormat="1" ht="19.95" customHeight="1" x14ac:dyDescent="0.25">
      <c r="A43" s="109" t="s">
        <v>332</v>
      </c>
      <c r="B43" s="495" t="s">
        <v>761</v>
      </c>
      <c r="C43" s="255" t="str">
        <f>COTAÇÕES!B43</f>
        <v>PROJETOR LED 20W, 6000K/6500k, 1500lm, IP65</v>
      </c>
      <c r="D43" s="99" t="str">
        <f>COTAÇÕES!C43</f>
        <v>UNID.</v>
      </c>
      <c r="E43" s="125">
        <v>1</v>
      </c>
      <c r="F43" s="111">
        <f>COTAÇÕES!F43</f>
        <v>17.096666666666668</v>
      </c>
      <c r="G43" s="534">
        <f>E43*F43</f>
        <v>17.096666666666668</v>
      </c>
    </row>
    <row r="44" spans="1:7" s="6" customFormat="1" ht="19.95" customHeight="1" x14ac:dyDescent="0.25">
      <c r="A44" s="109" t="s">
        <v>72</v>
      </c>
      <c r="B44" s="123" t="s">
        <v>329</v>
      </c>
      <c r="C44" s="124" t="s">
        <v>330</v>
      </c>
      <c r="D44" s="99" t="s">
        <v>73</v>
      </c>
      <c r="E44" s="125">
        <v>1</v>
      </c>
      <c r="F44" s="111">
        <v>25.63</v>
      </c>
      <c r="G44" s="534">
        <f>E44*F44</f>
        <v>25.63</v>
      </c>
    </row>
    <row r="45" spans="1:7" s="6" customFormat="1" ht="19.95" customHeight="1" x14ac:dyDescent="0.25">
      <c r="A45" s="109" t="s">
        <v>72</v>
      </c>
      <c r="B45" s="495" t="s">
        <v>957</v>
      </c>
      <c r="C45" s="255" t="s">
        <v>958</v>
      </c>
      <c r="D45" s="99" t="s">
        <v>73</v>
      </c>
      <c r="E45" s="125">
        <v>1</v>
      </c>
      <c r="F45" s="111">
        <v>20.83</v>
      </c>
      <c r="G45" s="534">
        <f>E45*F45</f>
        <v>20.83</v>
      </c>
    </row>
    <row r="46" spans="1:7" ht="3" customHeight="1" x14ac:dyDescent="0.25">
      <c r="A46" s="327"/>
      <c r="B46" s="205"/>
      <c r="C46" s="205"/>
      <c r="D46" s="205"/>
      <c r="E46" s="205"/>
      <c r="F46" s="205"/>
      <c r="G46" s="328"/>
    </row>
    <row r="47" spans="1:7" x14ac:dyDescent="0.25">
      <c r="A47" s="104"/>
      <c r="B47" s="105"/>
      <c r="C47" s="106" t="s">
        <v>34</v>
      </c>
      <c r="D47" s="107" t="s">
        <v>3</v>
      </c>
      <c r="E47" s="107" t="s">
        <v>35</v>
      </c>
      <c r="F47" s="107" t="s">
        <v>67</v>
      </c>
      <c r="G47" s="108" t="s">
        <v>36</v>
      </c>
    </row>
    <row r="48" spans="1:7" s="6" customFormat="1" ht="40.200000000000003" customHeight="1" x14ac:dyDescent="0.25">
      <c r="A48" s="516"/>
      <c r="B48" s="517" t="s">
        <v>738</v>
      </c>
      <c r="C48" s="786" t="s">
        <v>947</v>
      </c>
      <c r="D48" s="518" t="s">
        <v>13</v>
      </c>
      <c r="E48" s="519" t="s">
        <v>743</v>
      </c>
      <c r="F48" s="259" t="s">
        <v>334</v>
      </c>
      <c r="G48" s="520">
        <f>SUM(G50)</f>
        <v>2413.1533333333332</v>
      </c>
    </row>
    <row r="49" spans="1:7" x14ac:dyDescent="0.25">
      <c r="A49" s="239"/>
      <c r="B49" s="121"/>
      <c r="C49" s="120"/>
      <c r="D49" s="122"/>
      <c r="E49" s="122"/>
      <c r="F49" s="122"/>
      <c r="G49" s="241"/>
    </row>
    <row r="50" spans="1:7" s="6" customFormat="1" ht="38.4" customHeight="1" x14ac:dyDescent="0.25">
      <c r="A50" s="109" t="s">
        <v>332</v>
      </c>
      <c r="B50" s="495" t="s">
        <v>762</v>
      </c>
      <c r="C50" s="255" t="str">
        <f>COTAÇÕES!B49</f>
        <v>AR CONDICIONADO SPLIT INVERTER CAPACIDADE DE REFRIGERAÇÃO 9.000BTU'S, TIPO CICLO FRIO, CONTROLE REMOTO, TENSÃO/VOLTAGEM 220V</v>
      </c>
      <c r="D50" s="99" t="str">
        <f>COTAÇÕES!C49</f>
        <v>UNID.</v>
      </c>
      <c r="E50" s="125">
        <v>1</v>
      </c>
      <c r="F50" s="111">
        <f>COTAÇÕES!F49</f>
        <v>2413.1533333333332</v>
      </c>
      <c r="G50" s="534">
        <f>E50*F50</f>
        <v>2413.1533333333332</v>
      </c>
    </row>
    <row r="51" spans="1:7" ht="3" customHeight="1" x14ac:dyDescent="0.25">
      <c r="A51" s="327"/>
      <c r="B51" s="205"/>
      <c r="C51" s="205"/>
      <c r="D51" s="205"/>
      <c r="E51" s="205"/>
      <c r="F51" s="205"/>
      <c r="G51" s="328"/>
    </row>
    <row r="52" spans="1:7" x14ac:dyDescent="0.25">
      <c r="A52" s="104"/>
      <c r="B52" s="105"/>
      <c r="C52" s="106" t="s">
        <v>34</v>
      </c>
      <c r="D52" s="107" t="s">
        <v>3</v>
      </c>
      <c r="E52" s="107" t="s">
        <v>35</v>
      </c>
      <c r="F52" s="107" t="s">
        <v>67</v>
      </c>
      <c r="G52" s="108" t="s">
        <v>36</v>
      </c>
    </row>
    <row r="53" spans="1:7" s="6" customFormat="1" ht="31.2" customHeight="1" x14ac:dyDescent="0.25">
      <c r="A53" s="516"/>
      <c r="B53" s="517" t="s">
        <v>739</v>
      </c>
      <c r="C53" s="786" t="s">
        <v>975</v>
      </c>
      <c r="D53" s="518" t="s">
        <v>13</v>
      </c>
      <c r="E53" s="519" t="s">
        <v>743</v>
      </c>
      <c r="F53" s="259" t="s">
        <v>334</v>
      </c>
      <c r="G53" s="520">
        <f>SUM(G55:G60)</f>
        <v>619.25333333333333</v>
      </c>
    </row>
    <row r="54" spans="1:7" x14ac:dyDescent="0.25">
      <c r="A54" s="239"/>
      <c r="B54" s="121"/>
      <c r="C54" s="120"/>
      <c r="D54" s="122"/>
      <c r="E54" s="122"/>
      <c r="F54" s="122"/>
      <c r="G54" s="241"/>
    </row>
    <row r="55" spans="1:7" s="6" customFormat="1" ht="32.4" customHeight="1" x14ac:dyDescent="0.25">
      <c r="A55" s="109" t="s">
        <v>332</v>
      </c>
      <c r="B55" s="495" t="s">
        <v>796</v>
      </c>
      <c r="C55" s="255" t="str">
        <f>COTAÇÕES!B55</f>
        <v xml:space="preserve">KIT PARA INSTALAÇÃO DE AR CONDICIONADO SPLIT INVERTER CAPACIDADE DE REFRIGERAÇÃO 9.000BTU'S A 12.000BTUS </v>
      </c>
      <c r="D55" s="99" t="str">
        <f>COTAÇÕES!C55</f>
        <v>UNID.</v>
      </c>
      <c r="E55" s="125">
        <v>1</v>
      </c>
      <c r="F55" s="111">
        <f>COTAÇÕES!F55</f>
        <v>324.09333333333331</v>
      </c>
      <c r="G55" s="534">
        <f>E55*F55</f>
        <v>324.09333333333331</v>
      </c>
    </row>
    <row r="56" spans="1:7" s="6" customFormat="1" ht="19.95" customHeight="1" x14ac:dyDescent="0.25">
      <c r="A56" s="109" t="s">
        <v>332</v>
      </c>
      <c r="B56" s="123" t="s">
        <v>901</v>
      </c>
      <c r="C56" s="124" t="str">
        <f>COTAÇÕES!B61</f>
        <v>CAIXA DE PASAGEM PARA AR CONDICIONADO 29X17X7</v>
      </c>
      <c r="D56" s="99" t="str">
        <f>COTAÇÕES!C61</f>
        <v>UNID.</v>
      </c>
      <c r="E56" s="125">
        <v>1</v>
      </c>
      <c r="F56" s="111">
        <f>COTAÇÕES!F61</f>
        <v>33.72</v>
      </c>
      <c r="G56" s="534">
        <f>E56*F56</f>
        <v>33.72</v>
      </c>
    </row>
    <row r="57" spans="1:7" s="305" customFormat="1" ht="38.4" customHeight="1" x14ac:dyDescent="0.25">
      <c r="A57" s="529" t="s">
        <v>72</v>
      </c>
      <c r="B57" s="530" t="s">
        <v>970</v>
      </c>
      <c r="C57" s="531" t="s">
        <v>971</v>
      </c>
      <c r="D57" s="244" t="s">
        <v>12</v>
      </c>
      <c r="E57" s="245">
        <v>2.5</v>
      </c>
      <c r="F57" s="532">
        <v>74.64</v>
      </c>
      <c r="G57" s="533">
        <f t="shared" ref="G57:G58" si="5">E57*F57</f>
        <v>186.6</v>
      </c>
    </row>
    <row r="58" spans="1:7" ht="30" customHeight="1" x14ac:dyDescent="0.25">
      <c r="A58" s="109" t="s">
        <v>982</v>
      </c>
      <c r="B58" s="256" t="s">
        <v>981</v>
      </c>
      <c r="C58" s="257" t="s">
        <v>983</v>
      </c>
      <c r="D58" s="99" t="s">
        <v>13</v>
      </c>
      <c r="E58" s="271">
        <v>1</v>
      </c>
      <c r="F58" s="111">
        <v>28.38</v>
      </c>
      <c r="G58" s="533">
        <f t="shared" si="5"/>
        <v>28.38</v>
      </c>
    </row>
    <row r="59" spans="1:7" ht="19.95" customHeight="1" x14ac:dyDescent="0.25">
      <c r="A59" s="109" t="s">
        <v>72</v>
      </c>
      <c r="B59" s="123" t="s">
        <v>329</v>
      </c>
      <c r="C59" s="124" t="s">
        <v>330</v>
      </c>
      <c r="D59" s="99" t="s">
        <v>73</v>
      </c>
      <c r="E59" s="125">
        <v>1</v>
      </c>
      <c r="F59" s="111">
        <v>25.63</v>
      </c>
      <c r="G59" s="331">
        <f>E59*F59</f>
        <v>25.63</v>
      </c>
    </row>
    <row r="60" spans="1:7" ht="19.95" customHeight="1" x14ac:dyDescent="0.25">
      <c r="A60" s="109" t="s">
        <v>72</v>
      </c>
      <c r="B60" s="495" t="s">
        <v>957</v>
      </c>
      <c r="C60" s="255" t="s">
        <v>958</v>
      </c>
      <c r="D60" s="99" t="s">
        <v>73</v>
      </c>
      <c r="E60" s="125">
        <v>1</v>
      </c>
      <c r="F60" s="111">
        <v>20.83</v>
      </c>
      <c r="G60" s="331">
        <f>E60*F60</f>
        <v>20.83</v>
      </c>
    </row>
    <row r="61" spans="1:7" ht="3" customHeight="1" thickBot="1" x14ac:dyDescent="0.3">
      <c r="A61" s="775"/>
      <c r="B61" s="776"/>
      <c r="C61" s="776"/>
      <c r="D61" s="776"/>
      <c r="E61" s="776"/>
      <c r="F61" s="776"/>
      <c r="G61" s="777"/>
    </row>
    <row r="62" spans="1:7" x14ac:dyDescent="0.25">
      <c r="A62" s="778"/>
      <c r="B62" s="779"/>
      <c r="C62" s="780" t="s">
        <v>34</v>
      </c>
      <c r="D62" s="781" t="s">
        <v>3</v>
      </c>
      <c r="E62" s="781" t="s">
        <v>35</v>
      </c>
      <c r="F62" s="781" t="s">
        <v>67</v>
      </c>
      <c r="G62" s="782" t="s">
        <v>36</v>
      </c>
    </row>
    <row r="63" spans="1:7" ht="30" customHeight="1" x14ac:dyDescent="0.25">
      <c r="A63" s="329"/>
      <c r="B63" s="121" t="s">
        <v>740</v>
      </c>
      <c r="C63" s="785" t="s">
        <v>886</v>
      </c>
      <c r="D63" s="118" t="s">
        <v>13</v>
      </c>
      <c r="E63" s="119">
        <v>45597</v>
      </c>
      <c r="F63" s="259" t="s">
        <v>72</v>
      </c>
      <c r="G63" s="330">
        <f>SUM(G65:G68)</f>
        <v>4782.0333333333338</v>
      </c>
    </row>
    <row r="64" spans="1:7" x14ac:dyDescent="0.25">
      <c r="A64" s="239"/>
      <c r="B64" s="121"/>
      <c r="C64" s="120"/>
      <c r="D64" s="122"/>
      <c r="E64" s="122"/>
      <c r="F64" s="122"/>
      <c r="G64" s="241"/>
    </row>
    <row r="65" spans="1:7" ht="19.95" customHeight="1" x14ac:dyDescent="0.25">
      <c r="A65" s="109" t="s">
        <v>885</v>
      </c>
      <c r="B65" s="495" t="s">
        <v>977</v>
      </c>
      <c r="C65" s="124" t="s">
        <v>883</v>
      </c>
      <c r="D65" s="99" t="s">
        <v>13</v>
      </c>
      <c r="E65" s="125">
        <v>1</v>
      </c>
      <c r="F65" s="111">
        <f>COTAÇÕES!F97</f>
        <v>2839.3333333333335</v>
      </c>
      <c r="G65" s="331">
        <f>E65*F65</f>
        <v>2839.3333333333335</v>
      </c>
    </row>
    <row r="66" spans="1:7" ht="19.95" customHeight="1" x14ac:dyDescent="0.25">
      <c r="A66" s="109" t="s">
        <v>885</v>
      </c>
      <c r="B66" s="496" t="s">
        <v>988</v>
      </c>
      <c r="C66" s="124" t="s">
        <v>884</v>
      </c>
      <c r="D66" s="99" t="s">
        <v>13</v>
      </c>
      <c r="E66" s="125">
        <v>1</v>
      </c>
      <c r="F66" s="111">
        <f>COTAÇÕES!F103</f>
        <v>1818</v>
      </c>
      <c r="G66" s="331">
        <f t="shared" ref="G66:G68" si="6">E66*F66</f>
        <v>1818</v>
      </c>
    </row>
    <row r="67" spans="1:7" ht="19.95" customHeight="1" x14ac:dyDescent="0.25">
      <c r="A67" s="109" t="s">
        <v>72</v>
      </c>
      <c r="B67" s="123" t="s">
        <v>86</v>
      </c>
      <c r="C67" s="124" t="s">
        <v>81</v>
      </c>
      <c r="D67" s="99" t="s">
        <v>73</v>
      </c>
      <c r="E67" s="125">
        <v>2</v>
      </c>
      <c r="F67" s="111">
        <v>25.29</v>
      </c>
      <c r="G67" s="331">
        <f t="shared" si="6"/>
        <v>50.58</v>
      </c>
    </row>
    <row r="68" spans="1:7" ht="19.95" customHeight="1" x14ac:dyDescent="0.25">
      <c r="A68" s="109" t="s">
        <v>72</v>
      </c>
      <c r="B68" s="123" t="s">
        <v>74</v>
      </c>
      <c r="C68" s="124" t="s">
        <v>75</v>
      </c>
      <c r="D68" s="99" t="s">
        <v>73</v>
      </c>
      <c r="E68" s="125">
        <v>4</v>
      </c>
      <c r="F68" s="111">
        <v>18.53</v>
      </c>
      <c r="G68" s="331">
        <f t="shared" si="6"/>
        <v>74.12</v>
      </c>
    </row>
    <row r="69" spans="1:7" ht="3" customHeight="1" x14ac:dyDescent="0.25">
      <c r="A69" s="327"/>
      <c r="B69" s="205"/>
      <c r="C69" s="205"/>
      <c r="D69" s="205"/>
      <c r="E69" s="205"/>
      <c r="F69" s="205"/>
      <c r="G69" s="328"/>
    </row>
    <row r="70" spans="1:7" x14ac:dyDescent="0.25">
      <c r="A70" s="104"/>
      <c r="B70" s="105"/>
      <c r="C70" s="106" t="s">
        <v>34</v>
      </c>
      <c r="D70" s="107" t="s">
        <v>3</v>
      </c>
      <c r="E70" s="107" t="s">
        <v>35</v>
      </c>
      <c r="F70" s="107" t="s">
        <v>67</v>
      </c>
      <c r="G70" s="108" t="s">
        <v>36</v>
      </c>
    </row>
    <row r="71" spans="1:7" ht="55.8" customHeight="1" x14ac:dyDescent="0.25">
      <c r="A71" s="329"/>
      <c r="B71" s="117" t="s">
        <v>741</v>
      </c>
      <c r="C71" s="787" t="s">
        <v>237</v>
      </c>
      <c r="D71" s="118" t="s">
        <v>13</v>
      </c>
      <c r="E71" s="119">
        <v>45474</v>
      </c>
      <c r="F71" s="110" t="s">
        <v>72</v>
      </c>
      <c r="G71" s="330">
        <f>SUM(G73:G83)</f>
        <v>1643.1017840589998</v>
      </c>
    </row>
    <row r="72" spans="1:7" x14ac:dyDescent="0.25">
      <c r="A72" s="239"/>
      <c r="B72" s="121" t="s">
        <v>4</v>
      </c>
      <c r="C72" s="120" t="s">
        <v>68</v>
      </c>
      <c r="D72" s="122" t="s">
        <v>3</v>
      </c>
      <c r="E72" s="122" t="s">
        <v>69</v>
      </c>
      <c r="F72" s="122" t="s">
        <v>70</v>
      </c>
      <c r="G72" s="241" t="s">
        <v>71</v>
      </c>
    </row>
    <row r="73" spans="1:7" ht="48.6" customHeight="1" x14ac:dyDescent="0.25">
      <c r="A73" s="109" t="s">
        <v>72</v>
      </c>
      <c r="B73" s="123" t="s">
        <v>174</v>
      </c>
      <c r="C73" s="124" t="s">
        <v>175</v>
      </c>
      <c r="D73" s="99" t="s">
        <v>9</v>
      </c>
      <c r="E73" s="125">
        <f>((0.75+0.75+1.5)*0.9)*1.1</f>
        <v>2.9700000000000006</v>
      </c>
      <c r="F73" s="111">
        <v>155.28</v>
      </c>
      <c r="G73" s="331">
        <f>E73*F73</f>
        <v>461.18160000000012</v>
      </c>
    </row>
    <row r="74" spans="1:7" ht="30" customHeight="1" x14ac:dyDescent="0.25">
      <c r="A74" s="109" t="s">
        <v>72</v>
      </c>
      <c r="B74" s="256" t="s">
        <v>177</v>
      </c>
      <c r="C74" s="257" t="s">
        <v>176</v>
      </c>
      <c r="D74" s="99" t="s">
        <v>33</v>
      </c>
      <c r="E74" s="271">
        <f>0.75*0.9</f>
        <v>0.67500000000000004</v>
      </c>
      <c r="F74" s="111">
        <v>63.2</v>
      </c>
      <c r="G74" s="272">
        <f t="shared" ref="G74:G81" si="7">E74*F74</f>
        <v>42.660000000000004</v>
      </c>
    </row>
    <row r="75" spans="1:7" ht="37.950000000000003" customHeight="1" x14ac:dyDescent="0.25">
      <c r="A75" s="109" t="s">
        <v>72</v>
      </c>
      <c r="B75" s="123" t="s">
        <v>99</v>
      </c>
      <c r="C75" s="124" t="s">
        <v>100</v>
      </c>
      <c r="D75" s="99" t="s">
        <v>9</v>
      </c>
      <c r="E75" s="125">
        <f>((1.5*1.5)+(0.75*0.9*2)+(0.75*1.5*2))*1.1</f>
        <v>6.4350000000000005</v>
      </c>
      <c r="F75" s="111">
        <v>8.6999999999999993</v>
      </c>
      <c r="G75" s="331">
        <f t="shared" si="7"/>
        <v>55.984499999999997</v>
      </c>
    </row>
    <row r="76" spans="1:7" ht="37.950000000000003" customHeight="1" x14ac:dyDescent="0.25">
      <c r="A76" s="109" t="s">
        <v>72</v>
      </c>
      <c r="B76" s="123" t="s">
        <v>101</v>
      </c>
      <c r="C76" s="124" t="s">
        <v>102</v>
      </c>
      <c r="D76" s="99" t="s">
        <v>9</v>
      </c>
      <c r="E76" s="125">
        <f>E75</f>
        <v>6.4350000000000005</v>
      </c>
      <c r="F76" s="111">
        <v>31.01</v>
      </c>
      <c r="G76" s="331">
        <f t="shared" si="7"/>
        <v>199.54935000000003</v>
      </c>
    </row>
    <row r="77" spans="1:7" ht="48.6" customHeight="1" x14ac:dyDescent="0.25">
      <c r="A77" s="109" t="s">
        <v>72</v>
      </c>
      <c r="B77" s="123" t="s">
        <v>103</v>
      </c>
      <c r="C77" s="124" t="s">
        <v>104</v>
      </c>
      <c r="D77" s="99" t="s">
        <v>9</v>
      </c>
      <c r="E77" s="125">
        <f>E76</f>
        <v>6.4350000000000005</v>
      </c>
      <c r="F77" s="111">
        <v>67.349999999999994</v>
      </c>
      <c r="G77" s="331">
        <f t="shared" si="7"/>
        <v>433.39724999999999</v>
      </c>
    </row>
    <row r="78" spans="1:7" ht="30" customHeight="1" x14ac:dyDescent="0.25">
      <c r="A78" s="109" t="s">
        <v>72</v>
      </c>
      <c r="B78" s="256" t="s">
        <v>233</v>
      </c>
      <c r="C78" s="257" t="s">
        <v>229</v>
      </c>
      <c r="D78" s="99" t="s">
        <v>59</v>
      </c>
      <c r="E78" s="271">
        <v>0.41907</v>
      </c>
      <c r="F78" s="111">
        <v>40</v>
      </c>
      <c r="G78" s="272">
        <f t="shared" si="7"/>
        <v>16.762799999999999</v>
      </c>
    </row>
    <row r="79" spans="1:7" ht="37.950000000000003" customHeight="1" x14ac:dyDescent="0.25">
      <c r="A79" s="109" t="s">
        <v>72</v>
      </c>
      <c r="B79" s="123" t="s">
        <v>234</v>
      </c>
      <c r="C79" s="124" t="s">
        <v>230</v>
      </c>
      <c r="D79" s="99" t="s">
        <v>13</v>
      </c>
      <c r="E79" s="125">
        <v>1</v>
      </c>
      <c r="F79" s="111">
        <v>279.75009999999997</v>
      </c>
      <c r="G79" s="331">
        <f t="shared" si="7"/>
        <v>279.75009999999997</v>
      </c>
    </row>
    <row r="80" spans="1:7" ht="30" customHeight="1" x14ac:dyDescent="0.25">
      <c r="A80" s="109" t="s">
        <v>72</v>
      </c>
      <c r="B80" s="256" t="s">
        <v>235</v>
      </c>
      <c r="C80" s="257" t="s">
        <v>231</v>
      </c>
      <c r="D80" s="99" t="s">
        <v>59</v>
      </c>
      <c r="E80" s="271">
        <v>2.4686999999999999E-3</v>
      </c>
      <c r="F80" s="111">
        <v>87.57</v>
      </c>
      <c r="G80" s="272">
        <f t="shared" si="7"/>
        <v>0.21618405899999998</v>
      </c>
    </row>
    <row r="81" spans="1:7" ht="37.950000000000003" customHeight="1" x14ac:dyDescent="0.25">
      <c r="A81" s="109" t="s">
        <v>72</v>
      </c>
      <c r="B81" s="123" t="s">
        <v>236</v>
      </c>
      <c r="C81" s="124" t="s">
        <v>232</v>
      </c>
      <c r="D81" s="99" t="s">
        <v>13</v>
      </c>
      <c r="E81" s="125">
        <v>1</v>
      </c>
      <c r="F81" s="111">
        <v>28.9</v>
      </c>
      <c r="G81" s="331">
        <f t="shared" si="7"/>
        <v>28.9</v>
      </c>
    </row>
    <row r="82" spans="1:7" ht="19.95" customHeight="1" x14ac:dyDescent="0.25">
      <c r="A82" s="109" t="s">
        <v>72</v>
      </c>
      <c r="B82" s="123" t="s">
        <v>86</v>
      </c>
      <c r="C82" s="124" t="s">
        <v>81</v>
      </c>
      <c r="D82" s="99" t="s">
        <v>73</v>
      </c>
      <c r="E82" s="125">
        <v>2</v>
      </c>
      <c r="F82" s="111">
        <v>25.29</v>
      </c>
      <c r="G82" s="331">
        <f t="shared" ref="G82:G83" si="8">E82*F82</f>
        <v>50.58</v>
      </c>
    </row>
    <row r="83" spans="1:7" ht="19.95" customHeight="1" x14ac:dyDescent="0.25">
      <c r="A83" s="109" t="s">
        <v>72</v>
      </c>
      <c r="B83" s="123" t="s">
        <v>74</v>
      </c>
      <c r="C83" s="124" t="s">
        <v>75</v>
      </c>
      <c r="D83" s="99" t="s">
        <v>73</v>
      </c>
      <c r="E83" s="125">
        <v>4</v>
      </c>
      <c r="F83" s="111">
        <v>18.53</v>
      </c>
      <c r="G83" s="331">
        <f t="shared" si="8"/>
        <v>74.12</v>
      </c>
    </row>
    <row r="84" spans="1:7" ht="3" customHeight="1" x14ac:dyDescent="0.25">
      <c r="A84" s="327"/>
      <c r="B84" s="205"/>
      <c r="C84" s="205"/>
      <c r="D84" s="205"/>
      <c r="E84" s="205"/>
      <c r="F84" s="205"/>
      <c r="G84" s="328"/>
    </row>
    <row r="85" spans="1:7" x14ac:dyDescent="0.25">
      <c r="A85" s="104"/>
      <c r="B85" s="105"/>
      <c r="C85" s="106" t="s">
        <v>34</v>
      </c>
      <c r="D85" s="107" t="s">
        <v>3</v>
      </c>
      <c r="E85" s="107" t="s">
        <v>35</v>
      </c>
      <c r="F85" s="107" t="s">
        <v>67</v>
      </c>
      <c r="G85" s="108" t="s">
        <v>36</v>
      </c>
    </row>
    <row r="86" spans="1:7" ht="35.4" customHeight="1" x14ac:dyDescent="0.25">
      <c r="A86" s="260"/>
      <c r="B86" s="261" t="s">
        <v>795</v>
      </c>
      <c r="C86" s="262" t="s">
        <v>907</v>
      </c>
      <c r="D86" s="263" t="s">
        <v>13</v>
      </c>
      <c r="E86" s="119">
        <v>45597</v>
      </c>
      <c r="F86" s="264" t="s">
        <v>72</v>
      </c>
      <c r="G86" s="265">
        <f>SUM(G88:G92)</f>
        <v>2437.1699999999996</v>
      </c>
    </row>
    <row r="87" spans="1:7" x14ac:dyDescent="0.25">
      <c r="A87" s="266"/>
      <c r="B87" s="267" t="s">
        <v>4</v>
      </c>
      <c r="C87" s="268" t="s">
        <v>68</v>
      </c>
      <c r="D87" s="269" t="s">
        <v>3</v>
      </c>
      <c r="E87" s="269" t="s">
        <v>69</v>
      </c>
      <c r="F87" s="269" t="s">
        <v>70</v>
      </c>
      <c r="G87" s="270" t="s">
        <v>71</v>
      </c>
    </row>
    <row r="88" spans="1:7" x14ac:dyDescent="0.25">
      <c r="A88" s="104"/>
      <c r="B88" s="105"/>
      <c r="C88" s="106"/>
      <c r="D88" s="107"/>
      <c r="E88" s="107"/>
      <c r="F88" s="107"/>
      <c r="G88" s="108"/>
    </row>
    <row r="89" spans="1:7" ht="30" customHeight="1" x14ac:dyDescent="0.25">
      <c r="A89" s="109" t="s">
        <v>332</v>
      </c>
      <c r="B89" s="258" t="s">
        <v>917</v>
      </c>
      <c r="C89" s="297" t="str">
        <f>COTAÇÕES!B67</f>
        <v>LAVADORA INDUSTRIAL DE ALTA PRESSÃO EL 4000V2 A MONO 127/220V COM CARRINHO</v>
      </c>
      <c r="D89" s="99" t="s">
        <v>13</v>
      </c>
      <c r="E89" s="271">
        <v>1</v>
      </c>
      <c r="F89" s="111">
        <f>COTAÇÕES!F67</f>
        <v>2312.4699999999998</v>
      </c>
      <c r="G89" s="272">
        <f t="shared" ref="G89:G91" si="9">E89*F89</f>
        <v>2312.4699999999998</v>
      </c>
    </row>
    <row r="90" spans="1:7" ht="19.95" customHeight="1" x14ac:dyDescent="0.25">
      <c r="A90" s="109" t="s">
        <v>72</v>
      </c>
      <c r="B90" s="123" t="s">
        <v>86</v>
      </c>
      <c r="C90" s="124" t="s">
        <v>81</v>
      </c>
      <c r="D90" s="99" t="s">
        <v>73</v>
      </c>
      <c r="E90" s="125">
        <v>2</v>
      </c>
      <c r="F90" s="111">
        <v>25.29</v>
      </c>
      <c r="G90" s="331">
        <f t="shared" si="9"/>
        <v>50.58</v>
      </c>
    </row>
    <row r="91" spans="1:7" ht="19.95" customHeight="1" x14ac:dyDescent="0.25">
      <c r="A91" s="109" t="s">
        <v>72</v>
      </c>
      <c r="B91" s="123" t="s">
        <v>74</v>
      </c>
      <c r="C91" s="124" t="s">
        <v>75</v>
      </c>
      <c r="D91" s="99" t="s">
        <v>73</v>
      </c>
      <c r="E91" s="125">
        <v>4</v>
      </c>
      <c r="F91" s="111">
        <v>18.53</v>
      </c>
      <c r="G91" s="331">
        <f t="shared" si="9"/>
        <v>74.12</v>
      </c>
    </row>
    <row r="92" spans="1:7" ht="3" customHeight="1" x14ac:dyDescent="0.25">
      <c r="A92" s="327"/>
      <c r="B92" s="205"/>
      <c r="C92" s="205"/>
      <c r="D92" s="205"/>
      <c r="E92" s="205"/>
      <c r="F92" s="205"/>
      <c r="G92" s="328"/>
    </row>
    <row r="93" spans="1:7" x14ac:dyDescent="0.25">
      <c r="A93" s="104"/>
      <c r="B93" s="105"/>
      <c r="C93" s="106" t="s">
        <v>34</v>
      </c>
      <c r="D93" s="107" t="s">
        <v>3</v>
      </c>
      <c r="E93" s="107" t="s">
        <v>35</v>
      </c>
      <c r="F93" s="107" t="s">
        <v>67</v>
      </c>
      <c r="G93" s="108" t="s">
        <v>36</v>
      </c>
    </row>
    <row r="94" spans="1:7" ht="38.4" customHeight="1" x14ac:dyDescent="0.25">
      <c r="A94" s="260"/>
      <c r="B94" s="261" t="s">
        <v>905</v>
      </c>
      <c r="C94" s="262" t="s">
        <v>403</v>
      </c>
      <c r="D94" s="263" t="s">
        <v>13</v>
      </c>
      <c r="E94" s="119">
        <v>45474</v>
      </c>
      <c r="F94" s="264" t="s">
        <v>72</v>
      </c>
      <c r="G94" s="265">
        <f>SUM(G96:G99)</f>
        <v>421.03499999999997</v>
      </c>
    </row>
    <row r="95" spans="1:7" x14ac:dyDescent="0.25">
      <c r="A95" s="266"/>
      <c r="B95" s="267" t="s">
        <v>4</v>
      </c>
      <c r="C95" s="268" t="s">
        <v>68</v>
      </c>
      <c r="D95" s="269" t="s">
        <v>3</v>
      </c>
      <c r="E95" s="269" t="s">
        <v>69</v>
      </c>
      <c r="F95" s="269" t="s">
        <v>70</v>
      </c>
      <c r="G95" s="270" t="s">
        <v>71</v>
      </c>
    </row>
    <row r="96" spans="1:7" ht="30" customHeight="1" x14ac:dyDescent="0.25">
      <c r="A96" s="109" t="s">
        <v>72</v>
      </c>
      <c r="B96" s="256" t="s">
        <v>393</v>
      </c>
      <c r="C96" s="257" t="s">
        <v>402</v>
      </c>
      <c r="D96" s="99" t="s">
        <v>9</v>
      </c>
      <c r="E96" s="271">
        <f>2.5*1.5</f>
        <v>3.75</v>
      </c>
      <c r="F96" s="111">
        <v>29.54</v>
      </c>
      <c r="G96" s="272">
        <f t="shared" ref="G96:G99" si="10">E96*F96</f>
        <v>110.77499999999999</v>
      </c>
    </row>
    <row r="97" spans="1:7" ht="19.95" customHeight="1" x14ac:dyDescent="0.25">
      <c r="A97" s="109" t="s">
        <v>72</v>
      </c>
      <c r="B97" s="256" t="s">
        <v>394</v>
      </c>
      <c r="C97" s="257" t="s">
        <v>395</v>
      </c>
      <c r="D97" s="99" t="s">
        <v>73</v>
      </c>
      <c r="E97" s="271">
        <v>4</v>
      </c>
      <c r="F97" s="111">
        <v>22.11</v>
      </c>
      <c r="G97" s="272">
        <f t="shared" si="10"/>
        <v>88.44</v>
      </c>
    </row>
    <row r="98" spans="1:7" ht="19.95" customHeight="1" x14ac:dyDescent="0.25">
      <c r="A98" s="109" t="s">
        <v>72</v>
      </c>
      <c r="B98" s="256" t="s">
        <v>396</v>
      </c>
      <c r="C98" s="257" t="s">
        <v>397</v>
      </c>
      <c r="D98" s="99" t="s">
        <v>73</v>
      </c>
      <c r="E98" s="271">
        <v>8</v>
      </c>
      <c r="F98" s="111">
        <v>26.79</v>
      </c>
      <c r="G98" s="272">
        <f t="shared" si="10"/>
        <v>214.32</v>
      </c>
    </row>
    <row r="99" spans="1:7" ht="30" customHeight="1" x14ac:dyDescent="0.25">
      <c r="A99" s="109" t="s">
        <v>398</v>
      </c>
      <c r="B99" s="256" t="s">
        <v>399</v>
      </c>
      <c r="C99" s="257" t="s">
        <v>400</v>
      </c>
      <c r="D99" s="99" t="s">
        <v>12</v>
      </c>
      <c r="E99" s="271">
        <v>50</v>
      </c>
      <c r="F99" s="111">
        <v>0.15</v>
      </c>
      <c r="G99" s="272">
        <f t="shared" si="10"/>
        <v>7.5</v>
      </c>
    </row>
    <row r="100" spans="1:7" ht="3" customHeight="1" x14ac:dyDescent="0.25">
      <c r="A100" s="327"/>
      <c r="B100" s="205"/>
      <c r="C100" s="205"/>
      <c r="D100" s="205"/>
      <c r="E100" s="205"/>
      <c r="F100" s="205"/>
      <c r="G100" s="328"/>
    </row>
    <row r="101" spans="1:7" x14ac:dyDescent="0.25">
      <c r="A101" s="104"/>
      <c r="B101" s="105"/>
      <c r="C101" s="106" t="s">
        <v>34</v>
      </c>
      <c r="D101" s="107" t="s">
        <v>3</v>
      </c>
      <c r="E101" s="107" t="s">
        <v>35</v>
      </c>
      <c r="F101" s="107" t="s">
        <v>67</v>
      </c>
      <c r="G101" s="108" t="s">
        <v>36</v>
      </c>
    </row>
    <row r="102" spans="1:7" ht="59.4" customHeight="1" x14ac:dyDescent="0.25">
      <c r="A102" s="260"/>
      <c r="B102" s="261" t="s">
        <v>920</v>
      </c>
      <c r="C102" s="262" t="s">
        <v>742</v>
      </c>
      <c r="D102" s="263" t="s">
        <v>13</v>
      </c>
      <c r="E102" s="119" t="s">
        <v>743</v>
      </c>
      <c r="F102" s="259" t="s">
        <v>334</v>
      </c>
      <c r="G102" s="265">
        <f>SUM(G104:G106)</f>
        <v>1173.4416666666666</v>
      </c>
    </row>
    <row r="103" spans="1:7" x14ac:dyDescent="0.25">
      <c r="A103" s="266"/>
      <c r="B103" s="267" t="s">
        <v>4</v>
      </c>
      <c r="C103" s="268" t="s">
        <v>68</v>
      </c>
      <c r="D103" s="269" t="s">
        <v>3</v>
      </c>
      <c r="E103" s="269" t="s">
        <v>69</v>
      </c>
      <c r="F103" s="269" t="s">
        <v>70</v>
      </c>
      <c r="G103" s="270" t="s">
        <v>71</v>
      </c>
    </row>
    <row r="104" spans="1:7" ht="49.8" customHeight="1" x14ac:dyDescent="0.25">
      <c r="A104" s="109" t="s">
        <v>332</v>
      </c>
      <c r="B104" s="258" t="s">
        <v>918</v>
      </c>
      <c r="C104" s="297" t="str">
        <f>COTAÇÕES!B73</f>
        <v>SWITCH 10/100 16 PORTAS POE, PADRÃO IEEE 802.3AF, IEEE 802.3AT, SUPORTA ATÉ 30W POE POR PORTA, SUPORTA ATÉ A POTENCIA POE DE 130W NO TOTAL, CERTIFICAÇÃO CE, ROHS, FCC, UL. REFERENCIA: HIKIVISION DS-3E0318P-E/M(B)</v>
      </c>
      <c r="D104" s="99" t="s">
        <v>13</v>
      </c>
      <c r="E104" s="271">
        <v>1</v>
      </c>
      <c r="F104" s="111">
        <f>COTAÇÕES!F73</f>
        <v>1139.1366666666665</v>
      </c>
      <c r="G104" s="272">
        <f>E104*F104</f>
        <v>1139.1366666666665</v>
      </c>
    </row>
    <row r="105" spans="1:7" ht="19.95" customHeight="1" x14ac:dyDescent="0.25">
      <c r="A105" s="109" t="s">
        <v>72</v>
      </c>
      <c r="B105" s="296" t="s">
        <v>329</v>
      </c>
      <c r="C105" s="297" t="s">
        <v>330</v>
      </c>
      <c r="D105" s="99" t="s">
        <v>73</v>
      </c>
      <c r="E105" s="271">
        <v>0.5</v>
      </c>
      <c r="F105" s="111">
        <v>25.63</v>
      </c>
      <c r="G105" s="272">
        <f t="shared" ref="G105:G106" si="11">E105*F105</f>
        <v>12.815</v>
      </c>
    </row>
    <row r="106" spans="1:7" ht="19.95" customHeight="1" x14ac:dyDescent="0.25">
      <c r="A106" s="109" t="s">
        <v>72</v>
      </c>
      <c r="B106" s="296" t="s">
        <v>763</v>
      </c>
      <c r="C106" s="297" t="s">
        <v>764</v>
      </c>
      <c r="D106" s="99" t="s">
        <v>73</v>
      </c>
      <c r="E106" s="271">
        <v>1</v>
      </c>
      <c r="F106" s="111">
        <v>21.49</v>
      </c>
      <c r="G106" s="272">
        <f t="shared" si="11"/>
        <v>21.49</v>
      </c>
    </row>
    <row r="107" spans="1:7" ht="3" customHeight="1" thickBot="1" x14ac:dyDescent="0.3">
      <c r="A107" s="788"/>
      <c r="B107" s="789"/>
      <c r="C107" s="789"/>
      <c r="D107" s="789"/>
      <c r="E107" s="789"/>
      <c r="F107" s="789"/>
      <c r="G107" s="790"/>
    </row>
    <row r="108" spans="1:7" x14ac:dyDescent="0.25">
      <c r="A108" s="778"/>
      <c r="B108" s="779"/>
      <c r="C108" s="780" t="s">
        <v>34</v>
      </c>
      <c r="D108" s="781" t="s">
        <v>3</v>
      </c>
      <c r="E108" s="781" t="s">
        <v>35</v>
      </c>
      <c r="F108" s="781" t="s">
        <v>67</v>
      </c>
      <c r="G108" s="782" t="s">
        <v>36</v>
      </c>
    </row>
    <row r="109" spans="1:7" ht="106.8" customHeight="1" x14ac:dyDescent="0.25">
      <c r="A109" s="260"/>
      <c r="B109" s="261" t="s">
        <v>964</v>
      </c>
      <c r="C109" s="262" t="s">
        <v>744</v>
      </c>
      <c r="D109" s="263" t="s">
        <v>13</v>
      </c>
      <c r="E109" s="119" t="s">
        <v>743</v>
      </c>
      <c r="F109" s="259" t="s">
        <v>334</v>
      </c>
      <c r="G109" s="265">
        <f>SUM(G111:G113)</f>
        <v>316.18666666666667</v>
      </c>
    </row>
    <row r="110" spans="1:7" x14ac:dyDescent="0.25">
      <c r="A110" s="266"/>
      <c r="B110" s="267" t="s">
        <v>4</v>
      </c>
      <c r="C110" s="268" t="s">
        <v>68</v>
      </c>
      <c r="D110" s="269" t="s">
        <v>3</v>
      </c>
      <c r="E110" s="269" t="s">
        <v>69</v>
      </c>
      <c r="F110" s="269" t="s">
        <v>70</v>
      </c>
      <c r="G110" s="270" t="s">
        <v>71</v>
      </c>
    </row>
    <row r="111" spans="1:7" ht="102.6" customHeight="1" x14ac:dyDescent="0.25">
      <c r="A111" s="109" t="s">
        <v>332</v>
      </c>
      <c r="B111" s="258" t="s">
        <v>948</v>
      </c>
      <c r="C111" s="297" t="str">
        <f>COTAÇÕES!B79</f>
        <v>CAMERA IP, BULLET 2MP, IR, LENTE FIXA 2,8MM, IP 67 (RESISTENTE A POEIRA E AGUA) SENSOR 1/2.9" PROGRESSIVE SCAN CMOS, COR: 0.01 LUX @ (F2.2, AGC ON),B/W: 0 LUX COM IR; TEMPO DO OBTURADOR: 1/3 S TO 1/100,000 S, LUZ IR SUPLEMENTAR ATÉ 30M (COMPRIMENTO DE ONDA IR 850NM), PORTA 1 RJ45 10/100, ALIMENTAÇÃO POE: IEEE 802.3AF, CLASS 3, MAX. 6.5 W, CONDIÇÃO DE OPERAÇÃO DE TEMPERATURA -30 °C TO 60 °C E 95% DE HUMIDADE DO AR OU MENOS. REFERÊNCIA: HIKIVISION DS-2CD1021G0-I(2,8MM)</v>
      </c>
      <c r="D111" s="99" t="s">
        <v>13</v>
      </c>
      <c r="E111" s="271">
        <v>1</v>
      </c>
      <c r="F111" s="111">
        <f>COTAÇÕES!F79</f>
        <v>178.96666666666667</v>
      </c>
      <c r="G111" s="272">
        <f>E111*F111</f>
        <v>178.96666666666667</v>
      </c>
    </row>
    <row r="112" spans="1:7" ht="19.95" customHeight="1" x14ac:dyDescent="0.25">
      <c r="A112" s="109" t="s">
        <v>72</v>
      </c>
      <c r="B112" s="296" t="s">
        <v>329</v>
      </c>
      <c r="C112" s="297" t="s">
        <v>330</v>
      </c>
      <c r="D112" s="99" t="s">
        <v>73</v>
      </c>
      <c r="E112" s="271">
        <v>2</v>
      </c>
      <c r="F112" s="111">
        <v>25.63</v>
      </c>
      <c r="G112" s="272">
        <f t="shared" ref="G112:G113" si="12">E112*F112</f>
        <v>51.26</v>
      </c>
    </row>
    <row r="113" spans="1:7" ht="19.95" customHeight="1" x14ac:dyDescent="0.25">
      <c r="A113" s="109" t="s">
        <v>72</v>
      </c>
      <c r="B113" s="296" t="s">
        <v>763</v>
      </c>
      <c r="C113" s="297" t="s">
        <v>764</v>
      </c>
      <c r="D113" s="99" t="s">
        <v>73</v>
      </c>
      <c r="E113" s="271">
        <v>4</v>
      </c>
      <c r="F113" s="111">
        <v>21.49</v>
      </c>
      <c r="G113" s="272">
        <f t="shared" si="12"/>
        <v>85.96</v>
      </c>
    </row>
    <row r="114" spans="1:7" ht="3" customHeight="1" x14ac:dyDescent="0.25">
      <c r="A114" s="327"/>
      <c r="B114" s="205"/>
      <c r="C114" s="205"/>
      <c r="D114" s="205"/>
      <c r="E114" s="205"/>
      <c r="F114" s="205"/>
      <c r="G114" s="328"/>
    </row>
    <row r="115" spans="1:7" x14ac:dyDescent="0.25">
      <c r="A115" s="104"/>
      <c r="B115" s="105"/>
      <c r="C115" s="106" t="s">
        <v>34</v>
      </c>
      <c r="D115" s="107" t="s">
        <v>3</v>
      </c>
      <c r="E115" s="107" t="s">
        <v>35</v>
      </c>
      <c r="F115" s="107" t="s">
        <v>67</v>
      </c>
      <c r="G115" s="108" t="s">
        <v>36</v>
      </c>
    </row>
    <row r="116" spans="1:7" ht="79.2" customHeight="1" x14ac:dyDescent="0.25">
      <c r="A116" s="260"/>
      <c r="B116" s="261" t="s">
        <v>965</v>
      </c>
      <c r="C116" s="262" t="s">
        <v>745</v>
      </c>
      <c r="D116" s="263" t="s">
        <v>13</v>
      </c>
      <c r="E116" s="119" t="s">
        <v>743</v>
      </c>
      <c r="F116" s="259" t="s">
        <v>334</v>
      </c>
      <c r="G116" s="265">
        <f>SUM(G118:G120)</f>
        <v>1757.5766666666666</v>
      </c>
    </row>
    <row r="117" spans="1:7" x14ac:dyDescent="0.25">
      <c r="A117" s="266"/>
      <c r="B117" s="267" t="s">
        <v>4</v>
      </c>
      <c r="C117" s="268" t="s">
        <v>68</v>
      </c>
      <c r="D117" s="269" t="s">
        <v>3</v>
      </c>
      <c r="E117" s="269" t="s">
        <v>69</v>
      </c>
      <c r="F117" s="269" t="s">
        <v>70</v>
      </c>
      <c r="G117" s="270" t="s">
        <v>71</v>
      </c>
    </row>
    <row r="118" spans="1:7" ht="77.400000000000006" customHeight="1" x14ac:dyDescent="0.25">
      <c r="A118" s="109" t="s">
        <v>332</v>
      </c>
      <c r="B118" s="258" t="s">
        <v>949</v>
      </c>
      <c r="C118" s="297" t="str">
        <f>COTAÇÕES!B85</f>
        <v>NVR 16 CANAIS IP, SUPORTE AOS PROTOCOLOS ONVIF (PROFILE S/G); SDK; ISAPI/ H.265+/H.265/H.264+/H.264, COM ANALÍTICO INTELIGENTE, DETECÇÃO FACIAL, SENSOR DE MOVIMENTO, PROTEÇÃO DE PERÍMETRO, SUPORTE PARA GRAVAÇÃO DE VÍDEO E AUDIO, CERTIFICAÇÃO FCC PART 15, ANSI C63.4-2014, CE, FCC, ROHS. COM 1 HD DE 6TB WD PURPLE,  REFERÊNCIA: HIKIVISION DS-7616NI-Q1(C)</v>
      </c>
      <c r="D118" s="99" t="s">
        <v>13</v>
      </c>
      <c r="E118" s="271">
        <v>1</v>
      </c>
      <c r="F118" s="111">
        <f>COTAÇÕES!F85</f>
        <v>1688.9666666666665</v>
      </c>
      <c r="G118" s="272">
        <f>E118*F118</f>
        <v>1688.9666666666665</v>
      </c>
    </row>
    <row r="119" spans="1:7" ht="19.95" customHeight="1" x14ac:dyDescent="0.25">
      <c r="A119" s="109" t="s">
        <v>72</v>
      </c>
      <c r="B119" s="296" t="s">
        <v>329</v>
      </c>
      <c r="C119" s="297" t="s">
        <v>330</v>
      </c>
      <c r="D119" s="99" t="s">
        <v>73</v>
      </c>
      <c r="E119" s="271">
        <v>1</v>
      </c>
      <c r="F119" s="111">
        <v>25.63</v>
      </c>
      <c r="G119" s="272">
        <f t="shared" ref="G119:G120" si="13">E119*F119</f>
        <v>25.63</v>
      </c>
    </row>
    <row r="120" spans="1:7" ht="19.95" customHeight="1" x14ac:dyDescent="0.25">
      <c r="A120" s="109" t="s">
        <v>72</v>
      </c>
      <c r="B120" s="296" t="s">
        <v>763</v>
      </c>
      <c r="C120" s="297" t="s">
        <v>764</v>
      </c>
      <c r="D120" s="99" t="s">
        <v>73</v>
      </c>
      <c r="E120" s="271">
        <v>2</v>
      </c>
      <c r="F120" s="111">
        <v>21.49</v>
      </c>
      <c r="G120" s="272">
        <f t="shared" si="13"/>
        <v>42.98</v>
      </c>
    </row>
    <row r="121" spans="1:7" ht="3" customHeight="1" x14ac:dyDescent="0.25">
      <c r="A121" s="327"/>
      <c r="B121" s="205"/>
      <c r="C121" s="205"/>
      <c r="D121" s="205"/>
      <c r="E121" s="205"/>
      <c r="F121" s="205"/>
      <c r="G121" s="328"/>
    </row>
    <row r="122" spans="1:7" x14ac:dyDescent="0.25">
      <c r="A122" s="104"/>
      <c r="B122" s="105"/>
      <c r="C122" s="106" t="s">
        <v>34</v>
      </c>
      <c r="D122" s="107" t="s">
        <v>3</v>
      </c>
      <c r="E122" s="107" t="s">
        <v>35</v>
      </c>
      <c r="F122" s="107" t="s">
        <v>67</v>
      </c>
      <c r="G122" s="108" t="s">
        <v>36</v>
      </c>
    </row>
    <row r="123" spans="1:7" ht="54" customHeight="1" x14ac:dyDescent="0.25">
      <c r="A123" s="260"/>
      <c r="B123" s="261" t="s">
        <v>966</v>
      </c>
      <c r="C123" s="262" t="s">
        <v>750</v>
      </c>
      <c r="D123" s="263" t="s">
        <v>13</v>
      </c>
      <c r="E123" s="119" t="s">
        <v>743</v>
      </c>
      <c r="F123" s="259" t="s">
        <v>334</v>
      </c>
      <c r="G123" s="265">
        <f>SUM(G125:G127)</f>
        <v>671.99166666666667</v>
      </c>
    </row>
    <row r="124" spans="1:7" x14ac:dyDescent="0.25">
      <c r="A124" s="266"/>
      <c r="B124" s="267" t="s">
        <v>4</v>
      </c>
      <c r="C124" s="268" t="s">
        <v>68</v>
      </c>
      <c r="D124" s="269" t="s">
        <v>3</v>
      </c>
      <c r="E124" s="269" t="s">
        <v>69</v>
      </c>
      <c r="F124" s="269" t="s">
        <v>70</v>
      </c>
      <c r="G124" s="270" t="s">
        <v>71</v>
      </c>
    </row>
    <row r="125" spans="1:7" ht="53.4" customHeight="1" x14ac:dyDescent="0.25">
      <c r="A125" s="109" t="s">
        <v>332</v>
      </c>
      <c r="B125" s="258" t="s">
        <v>950</v>
      </c>
      <c r="C125" s="297" t="str">
        <f>COTAÇÕES!B91</f>
        <v>ACCESS POINT DE PAREDE, MU-MIMO, WIRELESS AC1200, ALIMENTADO VIA POE, WI-FI DUAL BAND: SIMULTÂNEO 300 MBPS EM 2.4 GHZ E 867 MBPS EM 5 GHZ TOTAL 1167 MBPS. REF.:EAP225-WALL TP LINK</v>
      </c>
      <c r="D125" s="99" t="s">
        <v>13</v>
      </c>
      <c r="E125" s="271">
        <v>1</v>
      </c>
      <c r="F125" s="111">
        <f>COTAÇÕES!F91</f>
        <v>637.68666666666661</v>
      </c>
      <c r="G125" s="272">
        <f>E125*F125</f>
        <v>637.68666666666661</v>
      </c>
    </row>
    <row r="126" spans="1:7" ht="19.95" customHeight="1" x14ac:dyDescent="0.25">
      <c r="A126" s="109" t="s">
        <v>72</v>
      </c>
      <c r="B126" s="296" t="s">
        <v>329</v>
      </c>
      <c r="C126" s="297" t="s">
        <v>330</v>
      </c>
      <c r="D126" s="99" t="s">
        <v>73</v>
      </c>
      <c r="E126" s="271">
        <v>0.5</v>
      </c>
      <c r="F126" s="111">
        <v>25.63</v>
      </c>
      <c r="G126" s="272">
        <f t="shared" ref="G126:G127" si="14">E126*F126</f>
        <v>12.815</v>
      </c>
    </row>
    <row r="127" spans="1:7" ht="19.95" customHeight="1" x14ac:dyDescent="0.25">
      <c r="A127" s="109" t="s">
        <v>72</v>
      </c>
      <c r="B127" s="296" t="s">
        <v>763</v>
      </c>
      <c r="C127" s="297" t="s">
        <v>764</v>
      </c>
      <c r="D127" s="99" t="s">
        <v>73</v>
      </c>
      <c r="E127" s="271">
        <v>1</v>
      </c>
      <c r="F127" s="111">
        <v>21.49</v>
      </c>
      <c r="G127" s="272">
        <f t="shared" si="14"/>
        <v>21.49</v>
      </c>
    </row>
    <row r="128" spans="1:7" ht="3" customHeight="1" x14ac:dyDescent="0.25">
      <c r="A128" s="327"/>
      <c r="B128" s="205"/>
      <c r="C128" s="205"/>
      <c r="D128" s="205"/>
      <c r="E128" s="205"/>
      <c r="F128" s="205"/>
      <c r="G128" s="328"/>
    </row>
    <row r="129" spans="1:7" x14ac:dyDescent="0.25">
      <c r="A129" s="104"/>
      <c r="B129" s="105"/>
      <c r="C129" s="106" t="s">
        <v>34</v>
      </c>
      <c r="D129" s="107" t="s">
        <v>3</v>
      </c>
      <c r="E129" s="107" t="s">
        <v>35</v>
      </c>
      <c r="F129" s="107" t="s">
        <v>67</v>
      </c>
      <c r="G129" s="108" t="s">
        <v>36</v>
      </c>
    </row>
    <row r="130" spans="1:7" ht="30" customHeight="1" x14ac:dyDescent="0.25">
      <c r="A130" s="260"/>
      <c r="B130" s="261" t="s">
        <v>976</v>
      </c>
      <c r="C130" s="262" t="s">
        <v>692</v>
      </c>
      <c r="D130" s="263" t="s">
        <v>13</v>
      </c>
      <c r="E130" s="119">
        <v>45474</v>
      </c>
      <c r="F130" s="264" t="s">
        <v>72</v>
      </c>
      <c r="G130" s="265">
        <f>SUM(G132:G138)</f>
        <v>123.32866666666668</v>
      </c>
    </row>
    <row r="131" spans="1:7" x14ac:dyDescent="0.25">
      <c r="A131" s="266"/>
      <c r="B131" s="267" t="s">
        <v>4</v>
      </c>
      <c r="C131" s="268" t="s">
        <v>68</v>
      </c>
      <c r="D131" s="269" t="s">
        <v>3</v>
      </c>
      <c r="E131" s="269" t="s">
        <v>69</v>
      </c>
      <c r="F131" s="269" t="s">
        <v>70</v>
      </c>
      <c r="G131" s="270" t="s">
        <v>71</v>
      </c>
    </row>
    <row r="132" spans="1:7" ht="30" customHeight="1" x14ac:dyDescent="0.25">
      <c r="A132" s="109" t="s">
        <v>72</v>
      </c>
      <c r="B132" s="256" t="s">
        <v>693</v>
      </c>
      <c r="C132" s="257" t="s">
        <v>694</v>
      </c>
      <c r="D132" s="99" t="s">
        <v>13</v>
      </c>
      <c r="E132" s="271">
        <v>1</v>
      </c>
      <c r="F132" s="111">
        <v>51.4</v>
      </c>
      <c r="G132" s="272">
        <f t="shared" ref="G132:G138" si="15">E132*F132</f>
        <v>51.4</v>
      </c>
    </row>
    <row r="133" spans="1:7" ht="19.95" customHeight="1" x14ac:dyDescent="0.25">
      <c r="A133" s="109" t="s">
        <v>332</v>
      </c>
      <c r="B133" s="296" t="s">
        <v>705</v>
      </c>
      <c r="C133" s="297" t="str">
        <f>COTAÇÕES!B25</f>
        <v>FITA LED 12V 5W/ PEÇA COM 5M</v>
      </c>
      <c r="D133" s="99" t="s">
        <v>12</v>
      </c>
      <c r="E133" s="271">
        <v>1</v>
      </c>
      <c r="F133" s="111">
        <f>COTAÇÕES!F25</f>
        <v>46.486666666666672</v>
      </c>
      <c r="G133" s="272">
        <f t="shared" si="15"/>
        <v>46.486666666666672</v>
      </c>
    </row>
    <row r="134" spans="1:7" ht="19.95" customHeight="1" x14ac:dyDescent="0.25">
      <c r="A134" s="109" t="s">
        <v>72</v>
      </c>
      <c r="B134" s="256" t="s">
        <v>695</v>
      </c>
      <c r="C134" s="257" t="s">
        <v>696</v>
      </c>
      <c r="D134" s="99" t="s">
        <v>73</v>
      </c>
      <c r="E134" s="271">
        <v>0.2</v>
      </c>
      <c r="F134" s="111">
        <v>25.08</v>
      </c>
      <c r="G134" s="272">
        <f t="shared" si="15"/>
        <v>5.016</v>
      </c>
    </row>
    <row r="135" spans="1:7" ht="19.95" customHeight="1" x14ac:dyDescent="0.25">
      <c r="A135" s="109" t="s">
        <v>72</v>
      </c>
      <c r="B135" s="256" t="s">
        <v>697</v>
      </c>
      <c r="C135" s="257" t="s">
        <v>75</v>
      </c>
      <c r="D135" s="99" t="s">
        <v>73</v>
      </c>
      <c r="E135" s="271">
        <v>0.4</v>
      </c>
      <c r="F135" s="111">
        <v>18.53</v>
      </c>
      <c r="G135" s="272">
        <f t="shared" si="15"/>
        <v>7.4120000000000008</v>
      </c>
    </row>
    <row r="136" spans="1:7" ht="19.95" customHeight="1" x14ac:dyDescent="0.25">
      <c r="A136" s="109" t="s">
        <v>72</v>
      </c>
      <c r="B136" s="256" t="s">
        <v>329</v>
      </c>
      <c r="C136" s="257" t="s">
        <v>330</v>
      </c>
      <c r="D136" s="99" t="s">
        <v>73</v>
      </c>
      <c r="E136" s="271">
        <v>0.3</v>
      </c>
      <c r="F136" s="111">
        <v>25.63</v>
      </c>
      <c r="G136" s="272">
        <f t="shared" si="15"/>
        <v>7.6889999999999992</v>
      </c>
    </row>
    <row r="137" spans="1:7" ht="37.950000000000003" customHeight="1" x14ac:dyDescent="0.25">
      <c r="A137" s="109" t="s">
        <v>72</v>
      </c>
      <c r="B137" s="123" t="s">
        <v>698</v>
      </c>
      <c r="C137" s="124" t="s">
        <v>699</v>
      </c>
      <c r="D137" s="99" t="s">
        <v>700</v>
      </c>
      <c r="E137" s="125">
        <f>0.25*1</f>
        <v>0.25</v>
      </c>
      <c r="F137" s="111">
        <v>13.5</v>
      </c>
      <c r="G137" s="331">
        <f t="shared" si="15"/>
        <v>3.375</v>
      </c>
    </row>
    <row r="138" spans="1:7" ht="37.950000000000003" customHeight="1" x14ac:dyDescent="0.25">
      <c r="A138" s="109" t="s">
        <v>72</v>
      </c>
      <c r="B138" s="123" t="s">
        <v>701</v>
      </c>
      <c r="C138" s="124" t="s">
        <v>702</v>
      </c>
      <c r="D138" s="99" t="s">
        <v>9</v>
      </c>
      <c r="E138" s="125">
        <f>0.25*1</f>
        <v>0.25</v>
      </c>
      <c r="F138" s="111">
        <v>7.8</v>
      </c>
      <c r="G138" s="331">
        <f t="shared" si="15"/>
        <v>1.95</v>
      </c>
    </row>
    <row r="139" spans="1:7" ht="19.95" customHeight="1" thickBot="1" x14ac:dyDescent="0.3">
      <c r="A139" s="332"/>
      <c r="B139" s="333"/>
      <c r="C139" s="334"/>
      <c r="D139" s="335"/>
      <c r="E139" s="336"/>
      <c r="F139" s="337"/>
      <c r="G139" s="338"/>
    </row>
    <row r="140" spans="1:7" x14ac:dyDescent="0.25">
      <c r="A140" s="63"/>
      <c r="B140" s="63"/>
      <c r="C140" s="63"/>
      <c r="D140" s="63"/>
      <c r="E140" s="100"/>
      <c r="F140" s="63"/>
      <c r="G140" s="101"/>
    </row>
    <row r="141" spans="1:7" x14ac:dyDescent="0.25">
      <c r="A141" s="63"/>
      <c r="B141" s="63"/>
      <c r="C141" s="63"/>
      <c r="D141" s="63"/>
      <c r="E141" s="100"/>
      <c r="F141" s="63"/>
      <c r="G141" s="101"/>
    </row>
    <row r="142" spans="1:7" x14ac:dyDescent="0.25">
      <c r="A142" s="63"/>
      <c r="B142" s="63"/>
      <c r="C142" s="61" t="s">
        <v>49</v>
      </c>
      <c r="D142" s="63"/>
      <c r="E142" s="100"/>
      <c r="F142" s="63"/>
      <c r="G142" s="102"/>
    </row>
    <row r="143" spans="1:7" x14ac:dyDescent="0.25">
      <c r="A143" s="63"/>
      <c r="B143" s="63"/>
      <c r="C143" s="72" t="s">
        <v>44</v>
      </c>
      <c r="D143" s="63"/>
      <c r="E143" s="100"/>
      <c r="F143" s="63"/>
      <c r="G143" s="102"/>
    </row>
    <row r="144" spans="1:7" ht="13.8" x14ac:dyDescent="0.25">
      <c r="A144" s="63"/>
      <c r="B144" s="63"/>
      <c r="C144" s="73" t="s">
        <v>45</v>
      </c>
      <c r="D144" s="63"/>
      <c r="E144" s="63"/>
      <c r="F144" s="63"/>
      <c r="G144" s="103"/>
    </row>
    <row r="145" spans="1:7" x14ac:dyDescent="0.25">
      <c r="A145" s="63"/>
      <c r="B145" s="63"/>
      <c r="C145" s="63"/>
      <c r="D145" s="63"/>
      <c r="E145" s="63"/>
      <c r="F145" s="63"/>
      <c r="G145" s="63"/>
    </row>
  </sheetData>
  <mergeCells count="2">
    <mergeCell ref="A4:G4"/>
    <mergeCell ref="B6:G6"/>
  </mergeCells>
  <phoneticPr fontId="7" type="noConversion"/>
  <printOptions horizontalCentered="1"/>
  <pageMargins left="0" right="0" top="0.59055118110236227" bottom="0" header="0" footer="0"/>
  <pageSetup paperSize="9" scale="75" orientation="portrait" r:id="rId1"/>
  <rowBreaks count="2" manualBreakCount="2">
    <brk id="61" max="6" man="1"/>
    <brk id="107"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2"/>
  <sheetViews>
    <sheetView view="pageBreakPreview" topLeftCell="A62" zoomScaleNormal="100" zoomScaleSheetLayoutView="100" workbookViewId="0">
      <selection activeCell="F73" sqref="A73:F107"/>
    </sheetView>
  </sheetViews>
  <sheetFormatPr defaultRowHeight="13.2" x14ac:dyDescent="0.25"/>
  <cols>
    <col min="1" max="1" width="27" customWidth="1"/>
    <col min="2" max="2" width="52.109375" customWidth="1"/>
    <col min="3" max="3" width="12" bestFit="1" customWidth="1"/>
    <col min="4" max="4" width="10.88671875" bestFit="1" customWidth="1"/>
    <col min="5" max="5" width="14.21875" customWidth="1"/>
    <col min="6" max="6" width="15.88671875" customWidth="1"/>
    <col min="257" max="257" width="27" customWidth="1"/>
    <col min="258" max="258" width="52.109375" customWidth="1"/>
    <col min="259" max="259" width="12" bestFit="1" customWidth="1"/>
    <col min="260" max="260" width="10.88671875" bestFit="1" customWidth="1"/>
    <col min="261" max="261" width="14.21875" customWidth="1"/>
    <col min="262" max="262" width="15.88671875" customWidth="1"/>
    <col min="513" max="513" width="27" customWidth="1"/>
    <col min="514" max="514" width="52.109375" customWidth="1"/>
    <col min="515" max="515" width="12" bestFit="1" customWidth="1"/>
    <col min="516" max="516" width="10.88671875" bestFit="1" customWidth="1"/>
    <col min="517" max="517" width="14.21875" customWidth="1"/>
    <col min="518" max="518" width="15.88671875" customWidth="1"/>
    <col min="769" max="769" width="27" customWidth="1"/>
    <col min="770" max="770" width="52.109375" customWidth="1"/>
    <col min="771" max="771" width="12" bestFit="1" customWidth="1"/>
    <col min="772" max="772" width="10.88671875" bestFit="1" customWidth="1"/>
    <col min="773" max="773" width="14.21875" customWidth="1"/>
    <col min="774" max="774" width="15.88671875" customWidth="1"/>
    <col min="1025" max="1025" width="27" customWidth="1"/>
    <col min="1026" max="1026" width="52.109375" customWidth="1"/>
    <col min="1027" max="1027" width="12" bestFit="1" customWidth="1"/>
    <col min="1028" max="1028" width="10.88671875" bestFit="1" customWidth="1"/>
    <col min="1029" max="1029" width="14.21875" customWidth="1"/>
    <col min="1030" max="1030" width="15.88671875" customWidth="1"/>
    <col min="1281" max="1281" width="27" customWidth="1"/>
    <col min="1282" max="1282" width="52.109375" customWidth="1"/>
    <col min="1283" max="1283" width="12" bestFit="1" customWidth="1"/>
    <col min="1284" max="1284" width="10.88671875" bestFit="1" customWidth="1"/>
    <col min="1285" max="1285" width="14.21875" customWidth="1"/>
    <col min="1286" max="1286" width="15.88671875" customWidth="1"/>
    <col min="1537" max="1537" width="27" customWidth="1"/>
    <col min="1538" max="1538" width="52.109375" customWidth="1"/>
    <col min="1539" max="1539" width="12" bestFit="1" customWidth="1"/>
    <col min="1540" max="1540" width="10.88671875" bestFit="1" customWidth="1"/>
    <col min="1541" max="1541" width="14.21875" customWidth="1"/>
    <col min="1542" max="1542" width="15.88671875" customWidth="1"/>
    <col min="1793" max="1793" width="27" customWidth="1"/>
    <col min="1794" max="1794" width="52.109375" customWidth="1"/>
    <col min="1795" max="1795" width="12" bestFit="1" customWidth="1"/>
    <col min="1796" max="1796" width="10.88671875" bestFit="1" customWidth="1"/>
    <col min="1797" max="1797" width="14.21875" customWidth="1"/>
    <col min="1798" max="1798" width="15.88671875" customWidth="1"/>
    <col min="2049" max="2049" width="27" customWidth="1"/>
    <col min="2050" max="2050" width="52.109375" customWidth="1"/>
    <col min="2051" max="2051" width="12" bestFit="1" customWidth="1"/>
    <col min="2052" max="2052" width="10.88671875" bestFit="1" customWidth="1"/>
    <col min="2053" max="2053" width="14.21875" customWidth="1"/>
    <col min="2054" max="2054" width="15.88671875" customWidth="1"/>
    <col min="2305" max="2305" width="27" customWidth="1"/>
    <col min="2306" max="2306" width="52.109375" customWidth="1"/>
    <col min="2307" max="2307" width="12" bestFit="1" customWidth="1"/>
    <col min="2308" max="2308" width="10.88671875" bestFit="1" customWidth="1"/>
    <col min="2309" max="2309" width="14.21875" customWidth="1"/>
    <col min="2310" max="2310" width="15.88671875" customWidth="1"/>
    <col min="2561" max="2561" width="27" customWidth="1"/>
    <col min="2562" max="2562" width="52.109375" customWidth="1"/>
    <col min="2563" max="2563" width="12" bestFit="1" customWidth="1"/>
    <col min="2564" max="2564" width="10.88671875" bestFit="1" customWidth="1"/>
    <col min="2565" max="2565" width="14.21875" customWidth="1"/>
    <col min="2566" max="2566" width="15.88671875" customWidth="1"/>
    <col min="2817" max="2817" width="27" customWidth="1"/>
    <col min="2818" max="2818" width="52.109375" customWidth="1"/>
    <col min="2819" max="2819" width="12" bestFit="1" customWidth="1"/>
    <col min="2820" max="2820" width="10.88671875" bestFit="1" customWidth="1"/>
    <col min="2821" max="2821" width="14.21875" customWidth="1"/>
    <col min="2822" max="2822" width="15.88671875" customWidth="1"/>
    <col min="3073" max="3073" width="27" customWidth="1"/>
    <col min="3074" max="3074" width="52.109375" customWidth="1"/>
    <col min="3075" max="3075" width="12" bestFit="1" customWidth="1"/>
    <col min="3076" max="3076" width="10.88671875" bestFit="1" customWidth="1"/>
    <col min="3077" max="3077" width="14.21875" customWidth="1"/>
    <col min="3078" max="3078" width="15.88671875" customWidth="1"/>
    <col min="3329" max="3329" width="27" customWidth="1"/>
    <col min="3330" max="3330" width="52.109375" customWidth="1"/>
    <col min="3331" max="3331" width="12" bestFit="1" customWidth="1"/>
    <col min="3332" max="3332" width="10.88671875" bestFit="1" customWidth="1"/>
    <col min="3333" max="3333" width="14.21875" customWidth="1"/>
    <col min="3334" max="3334" width="15.88671875" customWidth="1"/>
    <col min="3585" max="3585" width="27" customWidth="1"/>
    <col min="3586" max="3586" width="52.109375" customWidth="1"/>
    <col min="3587" max="3587" width="12" bestFit="1" customWidth="1"/>
    <col min="3588" max="3588" width="10.88671875" bestFit="1" customWidth="1"/>
    <col min="3589" max="3589" width="14.21875" customWidth="1"/>
    <col min="3590" max="3590" width="15.88671875" customWidth="1"/>
    <col min="3841" max="3841" width="27" customWidth="1"/>
    <col min="3842" max="3842" width="52.109375" customWidth="1"/>
    <col min="3843" max="3843" width="12" bestFit="1" customWidth="1"/>
    <col min="3844" max="3844" width="10.88671875" bestFit="1" customWidth="1"/>
    <col min="3845" max="3845" width="14.21875" customWidth="1"/>
    <col min="3846" max="3846" width="15.88671875" customWidth="1"/>
    <col min="4097" max="4097" width="27" customWidth="1"/>
    <col min="4098" max="4098" width="52.109375" customWidth="1"/>
    <col min="4099" max="4099" width="12" bestFit="1" customWidth="1"/>
    <col min="4100" max="4100" width="10.88671875" bestFit="1" customWidth="1"/>
    <col min="4101" max="4101" width="14.21875" customWidth="1"/>
    <col min="4102" max="4102" width="15.88671875" customWidth="1"/>
    <col min="4353" max="4353" width="27" customWidth="1"/>
    <col min="4354" max="4354" width="52.109375" customWidth="1"/>
    <col min="4355" max="4355" width="12" bestFit="1" customWidth="1"/>
    <col min="4356" max="4356" width="10.88671875" bestFit="1" customWidth="1"/>
    <col min="4357" max="4357" width="14.21875" customWidth="1"/>
    <col min="4358" max="4358" width="15.88671875" customWidth="1"/>
    <col min="4609" max="4609" width="27" customWidth="1"/>
    <col min="4610" max="4610" width="52.109375" customWidth="1"/>
    <col min="4611" max="4611" width="12" bestFit="1" customWidth="1"/>
    <col min="4612" max="4612" width="10.88671875" bestFit="1" customWidth="1"/>
    <col min="4613" max="4613" width="14.21875" customWidth="1"/>
    <col min="4614" max="4614" width="15.88671875" customWidth="1"/>
    <col min="4865" max="4865" width="27" customWidth="1"/>
    <col min="4866" max="4866" width="52.109375" customWidth="1"/>
    <col min="4867" max="4867" width="12" bestFit="1" customWidth="1"/>
    <col min="4868" max="4868" width="10.88671875" bestFit="1" customWidth="1"/>
    <col min="4869" max="4869" width="14.21875" customWidth="1"/>
    <col min="4870" max="4870" width="15.88671875" customWidth="1"/>
    <col min="5121" max="5121" width="27" customWidth="1"/>
    <col min="5122" max="5122" width="52.109375" customWidth="1"/>
    <col min="5123" max="5123" width="12" bestFit="1" customWidth="1"/>
    <col min="5124" max="5124" width="10.88671875" bestFit="1" customWidth="1"/>
    <col min="5125" max="5125" width="14.21875" customWidth="1"/>
    <col min="5126" max="5126" width="15.88671875" customWidth="1"/>
    <col min="5377" max="5377" width="27" customWidth="1"/>
    <col min="5378" max="5378" width="52.109375" customWidth="1"/>
    <col min="5379" max="5379" width="12" bestFit="1" customWidth="1"/>
    <col min="5380" max="5380" width="10.88671875" bestFit="1" customWidth="1"/>
    <col min="5381" max="5381" width="14.21875" customWidth="1"/>
    <col min="5382" max="5382" width="15.88671875" customWidth="1"/>
    <col min="5633" max="5633" width="27" customWidth="1"/>
    <col min="5634" max="5634" width="52.109375" customWidth="1"/>
    <col min="5635" max="5635" width="12" bestFit="1" customWidth="1"/>
    <col min="5636" max="5636" width="10.88671875" bestFit="1" customWidth="1"/>
    <col min="5637" max="5637" width="14.21875" customWidth="1"/>
    <col min="5638" max="5638" width="15.88671875" customWidth="1"/>
    <col min="5889" max="5889" width="27" customWidth="1"/>
    <col min="5890" max="5890" width="52.109375" customWidth="1"/>
    <col min="5891" max="5891" width="12" bestFit="1" customWidth="1"/>
    <col min="5892" max="5892" width="10.88671875" bestFit="1" customWidth="1"/>
    <col min="5893" max="5893" width="14.21875" customWidth="1"/>
    <col min="5894" max="5894" width="15.88671875" customWidth="1"/>
    <col min="6145" max="6145" width="27" customWidth="1"/>
    <col min="6146" max="6146" width="52.109375" customWidth="1"/>
    <col min="6147" max="6147" width="12" bestFit="1" customWidth="1"/>
    <col min="6148" max="6148" width="10.88671875" bestFit="1" customWidth="1"/>
    <col min="6149" max="6149" width="14.21875" customWidth="1"/>
    <col min="6150" max="6150" width="15.88671875" customWidth="1"/>
    <col min="6401" max="6401" width="27" customWidth="1"/>
    <col min="6402" max="6402" width="52.109375" customWidth="1"/>
    <col min="6403" max="6403" width="12" bestFit="1" customWidth="1"/>
    <col min="6404" max="6404" width="10.88671875" bestFit="1" customWidth="1"/>
    <col min="6405" max="6405" width="14.21875" customWidth="1"/>
    <col min="6406" max="6406" width="15.88671875" customWidth="1"/>
    <col min="6657" max="6657" width="27" customWidth="1"/>
    <col min="6658" max="6658" width="52.109375" customWidth="1"/>
    <col min="6659" max="6659" width="12" bestFit="1" customWidth="1"/>
    <col min="6660" max="6660" width="10.88671875" bestFit="1" customWidth="1"/>
    <col min="6661" max="6661" width="14.21875" customWidth="1"/>
    <col min="6662" max="6662" width="15.88671875" customWidth="1"/>
    <col min="6913" max="6913" width="27" customWidth="1"/>
    <col min="6914" max="6914" width="52.109375" customWidth="1"/>
    <col min="6915" max="6915" width="12" bestFit="1" customWidth="1"/>
    <col min="6916" max="6916" width="10.88671875" bestFit="1" customWidth="1"/>
    <col min="6917" max="6917" width="14.21875" customWidth="1"/>
    <col min="6918" max="6918" width="15.88671875" customWidth="1"/>
    <col min="7169" max="7169" width="27" customWidth="1"/>
    <col min="7170" max="7170" width="52.109375" customWidth="1"/>
    <col min="7171" max="7171" width="12" bestFit="1" customWidth="1"/>
    <col min="7172" max="7172" width="10.88671875" bestFit="1" customWidth="1"/>
    <col min="7173" max="7173" width="14.21875" customWidth="1"/>
    <col min="7174" max="7174" width="15.88671875" customWidth="1"/>
    <col min="7425" max="7425" width="27" customWidth="1"/>
    <col min="7426" max="7426" width="52.109375" customWidth="1"/>
    <col min="7427" max="7427" width="12" bestFit="1" customWidth="1"/>
    <col min="7428" max="7428" width="10.88671875" bestFit="1" customWidth="1"/>
    <col min="7429" max="7429" width="14.21875" customWidth="1"/>
    <col min="7430" max="7430" width="15.88671875" customWidth="1"/>
    <col min="7681" max="7681" width="27" customWidth="1"/>
    <col min="7682" max="7682" width="52.109375" customWidth="1"/>
    <col min="7683" max="7683" width="12" bestFit="1" customWidth="1"/>
    <col min="7684" max="7684" width="10.88671875" bestFit="1" customWidth="1"/>
    <col min="7685" max="7685" width="14.21875" customWidth="1"/>
    <col min="7686" max="7686" width="15.88671875" customWidth="1"/>
    <col min="7937" max="7937" width="27" customWidth="1"/>
    <col min="7938" max="7938" width="52.109375" customWidth="1"/>
    <col min="7939" max="7939" width="12" bestFit="1" customWidth="1"/>
    <col min="7940" max="7940" width="10.88671875" bestFit="1" customWidth="1"/>
    <col min="7941" max="7941" width="14.21875" customWidth="1"/>
    <col min="7942" max="7942" width="15.88671875" customWidth="1"/>
    <col min="8193" max="8193" width="27" customWidth="1"/>
    <col min="8194" max="8194" width="52.109375" customWidth="1"/>
    <col min="8195" max="8195" width="12" bestFit="1" customWidth="1"/>
    <col min="8196" max="8196" width="10.88671875" bestFit="1" customWidth="1"/>
    <col min="8197" max="8197" width="14.21875" customWidth="1"/>
    <col min="8198" max="8198" width="15.88671875" customWidth="1"/>
    <col min="8449" max="8449" width="27" customWidth="1"/>
    <col min="8450" max="8450" width="52.109375" customWidth="1"/>
    <col min="8451" max="8451" width="12" bestFit="1" customWidth="1"/>
    <col min="8452" max="8452" width="10.88671875" bestFit="1" customWidth="1"/>
    <col min="8453" max="8453" width="14.21875" customWidth="1"/>
    <col min="8454" max="8454" width="15.88671875" customWidth="1"/>
    <col min="8705" max="8705" width="27" customWidth="1"/>
    <col min="8706" max="8706" width="52.109375" customWidth="1"/>
    <col min="8707" max="8707" width="12" bestFit="1" customWidth="1"/>
    <col min="8708" max="8708" width="10.88671875" bestFit="1" customWidth="1"/>
    <col min="8709" max="8709" width="14.21875" customWidth="1"/>
    <col min="8710" max="8710" width="15.88671875" customWidth="1"/>
    <col min="8961" max="8961" width="27" customWidth="1"/>
    <col min="8962" max="8962" width="52.109375" customWidth="1"/>
    <col min="8963" max="8963" width="12" bestFit="1" customWidth="1"/>
    <col min="8964" max="8964" width="10.88671875" bestFit="1" customWidth="1"/>
    <col min="8965" max="8965" width="14.21875" customWidth="1"/>
    <col min="8966" max="8966" width="15.88671875" customWidth="1"/>
    <col min="9217" max="9217" width="27" customWidth="1"/>
    <col min="9218" max="9218" width="52.109375" customWidth="1"/>
    <col min="9219" max="9219" width="12" bestFit="1" customWidth="1"/>
    <col min="9220" max="9220" width="10.88671875" bestFit="1" customWidth="1"/>
    <col min="9221" max="9221" width="14.21875" customWidth="1"/>
    <col min="9222" max="9222" width="15.88671875" customWidth="1"/>
    <col min="9473" max="9473" width="27" customWidth="1"/>
    <col min="9474" max="9474" width="52.109375" customWidth="1"/>
    <col min="9475" max="9475" width="12" bestFit="1" customWidth="1"/>
    <col min="9476" max="9476" width="10.88671875" bestFit="1" customWidth="1"/>
    <col min="9477" max="9477" width="14.21875" customWidth="1"/>
    <col min="9478" max="9478" width="15.88671875" customWidth="1"/>
    <col min="9729" max="9729" width="27" customWidth="1"/>
    <col min="9730" max="9730" width="52.109375" customWidth="1"/>
    <col min="9731" max="9731" width="12" bestFit="1" customWidth="1"/>
    <col min="9732" max="9732" width="10.88671875" bestFit="1" customWidth="1"/>
    <col min="9733" max="9733" width="14.21875" customWidth="1"/>
    <col min="9734" max="9734" width="15.88671875" customWidth="1"/>
    <col min="9985" max="9985" width="27" customWidth="1"/>
    <col min="9986" max="9986" width="52.109375" customWidth="1"/>
    <col min="9987" max="9987" width="12" bestFit="1" customWidth="1"/>
    <col min="9988" max="9988" width="10.88671875" bestFit="1" customWidth="1"/>
    <col min="9989" max="9989" width="14.21875" customWidth="1"/>
    <col min="9990" max="9990" width="15.88671875" customWidth="1"/>
    <col min="10241" max="10241" width="27" customWidth="1"/>
    <col min="10242" max="10242" width="52.109375" customWidth="1"/>
    <col min="10243" max="10243" width="12" bestFit="1" customWidth="1"/>
    <col min="10244" max="10244" width="10.88671875" bestFit="1" customWidth="1"/>
    <col min="10245" max="10245" width="14.21875" customWidth="1"/>
    <col min="10246" max="10246" width="15.88671875" customWidth="1"/>
    <col min="10497" max="10497" width="27" customWidth="1"/>
    <col min="10498" max="10498" width="52.109375" customWidth="1"/>
    <col min="10499" max="10499" width="12" bestFit="1" customWidth="1"/>
    <col min="10500" max="10500" width="10.88671875" bestFit="1" customWidth="1"/>
    <col min="10501" max="10501" width="14.21875" customWidth="1"/>
    <col min="10502" max="10502" width="15.88671875" customWidth="1"/>
    <col min="10753" max="10753" width="27" customWidth="1"/>
    <col min="10754" max="10754" width="52.109375" customWidth="1"/>
    <col min="10755" max="10755" width="12" bestFit="1" customWidth="1"/>
    <col min="10756" max="10756" width="10.88671875" bestFit="1" customWidth="1"/>
    <col min="10757" max="10757" width="14.21875" customWidth="1"/>
    <col min="10758" max="10758" width="15.88671875" customWidth="1"/>
    <col min="11009" max="11009" width="27" customWidth="1"/>
    <col min="11010" max="11010" width="52.109375" customWidth="1"/>
    <col min="11011" max="11011" width="12" bestFit="1" customWidth="1"/>
    <col min="11012" max="11012" width="10.88671875" bestFit="1" customWidth="1"/>
    <col min="11013" max="11013" width="14.21875" customWidth="1"/>
    <col min="11014" max="11014" width="15.88671875" customWidth="1"/>
    <col min="11265" max="11265" width="27" customWidth="1"/>
    <col min="11266" max="11266" width="52.109375" customWidth="1"/>
    <col min="11267" max="11267" width="12" bestFit="1" customWidth="1"/>
    <col min="11268" max="11268" width="10.88671875" bestFit="1" customWidth="1"/>
    <col min="11269" max="11269" width="14.21875" customWidth="1"/>
    <col min="11270" max="11270" width="15.88671875" customWidth="1"/>
    <col min="11521" max="11521" width="27" customWidth="1"/>
    <col min="11522" max="11522" width="52.109375" customWidth="1"/>
    <col min="11523" max="11523" width="12" bestFit="1" customWidth="1"/>
    <col min="11524" max="11524" width="10.88671875" bestFit="1" customWidth="1"/>
    <col min="11525" max="11525" width="14.21875" customWidth="1"/>
    <col min="11526" max="11526" width="15.88671875" customWidth="1"/>
    <col min="11777" max="11777" width="27" customWidth="1"/>
    <col min="11778" max="11778" width="52.109375" customWidth="1"/>
    <col min="11779" max="11779" width="12" bestFit="1" customWidth="1"/>
    <col min="11780" max="11780" width="10.88671875" bestFit="1" customWidth="1"/>
    <col min="11781" max="11781" width="14.21875" customWidth="1"/>
    <col min="11782" max="11782" width="15.88671875" customWidth="1"/>
    <col min="12033" max="12033" width="27" customWidth="1"/>
    <col min="12034" max="12034" width="52.109375" customWidth="1"/>
    <col min="12035" max="12035" width="12" bestFit="1" customWidth="1"/>
    <col min="12036" max="12036" width="10.88671875" bestFit="1" customWidth="1"/>
    <col min="12037" max="12037" width="14.21875" customWidth="1"/>
    <col min="12038" max="12038" width="15.88671875" customWidth="1"/>
    <col min="12289" max="12289" width="27" customWidth="1"/>
    <col min="12290" max="12290" width="52.109375" customWidth="1"/>
    <col min="12291" max="12291" width="12" bestFit="1" customWidth="1"/>
    <col min="12292" max="12292" width="10.88671875" bestFit="1" customWidth="1"/>
    <col min="12293" max="12293" width="14.21875" customWidth="1"/>
    <col min="12294" max="12294" width="15.88671875" customWidth="1"/>
    <col min="12545" max="12545" width="27" customWidth="1"/>
    <col min="12546" max="12546" width="52.109375" customWidth="1"/>
    <col min="12547" max="12547" width="12" bestFit="1" customWidth="1"/>
    <col min="12548" max="12548" width="10.88671875" bestFit="1" customWidth="1"/>
    <col min="12549" max="12549" width="14.21875" customWidth="1"/>
    <col min="12550" max="12550" width="15.88671875" customWidth="1"/>
    <col min="12801" max="12801" width="27" customWidth="1"/>
    <col min="12802" max="12802" width="52.109375" customWidth="1"/>
    <col min="12803" max="12803" width="12" bestFit="1" customWidth="1"/>
    <col min="12804" max="12804" width="10.88671875" bestFit="1" customWidth="1"/>
    <col min="12805" max="12805" width="14.21875" customWidth="1"/>
    <col min="12806" max="12806" width="15.88671875" customWidth="1"/>
    <col min="13057" max="13057" width="27" customWidth="1"/>
    <col min="13058" max="13058" width="52.109375" customWidth="1"/>
    <col min="13059" max="13059" width="12" bestFit="1" customWidth="1"/>
    <col min="13060" max="13060" width="10.88671875" bestFit="1" customWidth="1"/>
    <col min="13061" max="13061" width="14.21875" customWidth="1"/>
    <col min="13062" max="13062" width="15.88671875" customWidth="1"/>
    <col min="13313" max="13313" width="27" customWidth="1"/>
    <col min="13314" max="13314" width="52.109375" customWidth="1"/>
    <col min="13315" max="13315" width="12" bestFit="1" customWidth="1"/>
    <col min="13316" max="13316" width="10.88671875" bestFit="1" customWidth="1"/>
    <col min="13317" max="13317" width="14.21875" customWidth="1"/>
    <col min="13318" max="13318" width="15.88671875" customWidth="1"/>
    <col min="13569" max="13569" width="27" customWidth="1"/>
    <col min="13570" max="13570" width="52.109375" customWidth="1"/>
    <col min="13571" max="13571" width="12" bestFit="1" customWidth="1"/>
    <col min="13572" max="13572" width="10.88671875" bestFit="1" customWidth="1"/>
    <col min="13573" max="13573" width="14.21875" customWidth="1"/>
    <col min="13574" max="13574" width="15.88671875" customWidth="1"/>
    <col min="13825" max="13825" width="27" customWidth="1"/>
    <col min="13826" max="13826" width="52.109375" customWidth="1"/>
    <col min="13827" max="13827" width="12" bestFit="1" customWidth="1"/>
    <col min="13828" max="13828" width="10.88671875" bestFit="1" customWidth="1"/>
    <col min="13829" max="13829" width="14.21875" customWidth="1"/>
    <col min="13830" max="13830" width="15.88671875" customWidth="1"/>
    <col min="14081" max="14081" width="27" customWidth="1"/>
    <col min="14082" max="14082" width="52.109375" customWidth="1"/>
    <col min="14083" max="14083" width="12" bestFit="1" customWidth="1"/>
    <col min="14084" max="14084" width="10.88671875" bestFit="1" customWidth="1"/>
    <col min="14085" max="14085" width="14.21875" customWidth="1"/>
    <col min="14086" max="14086" width="15.88671875" customWidth="1"/>
    <col min="14337" max="14337" width="27" customWidth="1"/>
    <col min="14338" max="14338" width="52.109375" customWidth="1"/>
    <col min="14339" max="14339" width="12" bestFit="1" customWidth="1"/>
    <col min="14340" max="14340" width="10.88671875" bestFit="1" customWidth="1"/>
    <col min="14341" max="14341" width="14.21875" customWidth="1"/>
    <col min="14342" max="14342" width="15.88671875" customWidth="1"/>
    <col min="14593" max="14593" width="27" customWidth="1"/>
    <col min="14594" max="14594" width="52.109375" customWidth="1"/>
    <col min="14595" max="14595" width="12" bestFit="1" customWidth="1"/>
    <col min="14596" max="14596" width="10.88671875" bestFit="1" customWidth="1"/>
    <col min="14597" max="14597" width="14.21875" customWidth="1"/>
    <col min="14598" max="14598" width="15.88671875" customWidth="1"/>
    <col min="14849" max="14849" width="27" customWidth="1"/>
    <col min="14850" max="14850" width="52.109375" customWidth="1"/>
    <col min="14851" max="14851" width="12" bestFit="1" customWidth="1"/>
    <col min="14852" max="14852" width="10.88671875" bestFit="1" customWidth="1"/>
    <col min="14853" max="14853" width="14.21875" customWidth="1"/>
    <col min="14854" max="14854" width="15.88671875" customWidth="1"/>
    <col min="15105" max="15105" width="27" customWidth="1"/>
    <col min="15106" max="15106" width="52.109375" customWidth="1"/>
    <col min="15107" max="15107" width="12" bestFit="1" customWidth="1"/>
    <col min="15108" max="15108" width="10.88671875" bestFit="1" customWidth="1"/>
    <col min="15109" max="15109" width="14.21875" customWidth="1"/>
    <col min="15110" max="15110" width="15.88671875" customWidth="1"/>
    <col min="15361" max="15361" width="27" customWidth="1"/>
    <col min="15362" max="15362" width="52.109375" customWidth="1"/>
    <col min="15363" max="15363" width="12" bestFit="1" customWidth="1"/>
    <col min="15364" max="15364" width="10.88671875" bestFit="1" customWidth="1"/>
    <col min="15365" max="15365" width="14.21875" customWidth="1"/>
    <col min="15366" max="15366" width="15.88671875" customWidth="1"/>
    <col min="15617" max="15617" width="27" customWidth="1"/>
    <col min="15618" max="15618" width="52.109375" customWidth="1"/>
    <col min="15619" max="15619" width="12" bestFit="1" customWidth="1"/>
    <col min="15620" max="15620" width="10.88671875" bestFit="1" customWidth="1"/>
    <col min="15621" max="15621" width="14.21875" customWidth="1"/>
    <col min="15622" max="15622" width="15.88671875" customWidth="1"/>
    <col min="15873" max="15873" width="27" customWidth="1"/>
    <col min="15874" max="15874" width="52.109375" customWidth="1"/>
    <col min="15875" max="15875" width="12" bestFit="1" customWidth="1"/>
    <col min="15876" max="15876" width="10.88671875" bestFit="1" customWidth="1"/>
    <col min="15877" max="15877" width="14.21875" customWidth="1"/>
    <col min="15878" max="15878" width="15.88671875" customWidth="1"/>
    <col min="16129" max="16129" width="27" customWidth="1"/>
    <col min="16130" max="16130" width="52.109375" customWidth="1"/>
    <col min="16131" max="16131" width="12" bestFit="1" customWidth="1"/>
    <col min="16132" max="16132" width="10.88671875" bestFit="1" customWidth="1"/>
    <col min="16133" max="16133" width="14.21875" customWidth="1"/>
    <col min="16134" max="16134" width="15.88671875" customWidth="1"/>
  </cols>
  <sheetData>
    <row r="1" spans="1:6" ht="15.6" x14ac:dyDescent="0.25">
      <c r="A1" s="668" t="s">
        <v>313</v>
      </c>
      <c r="B1" s="669"/>
      <c r="C1" s="669"/>
      <c r="D1" s="669"/>
      <c r="E1" s="669"/>
      <c r="F1" s="670"/>
    </row>
    <row r="2" spans="1:6" x14ac:dyDescent="0.25">
      <c r="A2" s="60" t="str">
        <f>'PLANILHA ORÇAMENTARIA'!A2:E2</f>
        <v>PREFEITURA: Prefeitura Municipal de Bom Jardim de Minas - MG</v>
      </c>
      <c r="B2" s="791"/>
      <c r="C2" s="791"/>
      <c r="D2" s="791"/>
      <c r="E2" s="791"/>
      <c r="F2" s="254"/>
    </row>
    <row r="3" spans="1:6" x14ac:dyDescent="0.25">
      <c r="A3" s="60" t="str">
        <f>'PLANILHA ORÇAMENTARIA'!A3:E3</f>
        <v>OBRA: CONSTRUÇÃO DA SEDE  DO SERVIÇO DE ATENDIMENTO MOVEL - SAMU</v>
      </c>
      <c r="B3" s="791"/>
      <c r="C3" s="791"/>
      <c r="D3" s="791"/>
      <c r="E3" s="791"/>
      <c r="F3" s="254"/>
    </row>
    <row r="4" spans="1:6" x14ac:dyDescent="0.25">
      <c r="A4" s="60" t="str">
        <f>'PLANILHA ORÇAMENTARIA'!A4:E4</f>
        <v>LOCAL:  Rua José Nogueira de Paula  - Lt nº 115, Bairro Hospital - Bom Jardim de Minas / MG</v>
      </c>
      <c r="B4" s="791"/>
      <c r="C4" s="791"/>
      <c r="D4" s="791"/>
      <c r="E4" s="791"/>
      <c r="F4" s="254"/>
    </row>
    <row r="5" spans="1:6" x14ac:dyDescent="0.25">
      <c r="A5" s="60"/>
      <c r="B5" s="791"/>
      <c r="C5" s="791"/>
      <c r="D5" s="791"/>
      <c r="E5" s="791"/>
      <c r="F5" s="254"/>
    </row>
    <row r="6" spans="1:6" x14ac:dyDescent="0.25">
      <c r="A6" s="232"/>
      <c r="B6" s="233" t="s">
        <v>34</v>
      </c>
      <c r="C6" s="234" t="s">
        <v>3</v>
      </c>
      <c r="D6" s="234" t="s">
        <v>35</v>
      </c>
      <c r="E6" s="235"/>
      <c r="F6" s="236" t="s">
        <v>36</v>
      </c>
    </row>
    <row r="7" spans="1:6" x14ac:dyDescent="0.25">
      <c r="A7" s="237" t="s">
        <v>331</v>
      </c>
      <c r="B7" s="792" t="s">
        <v>622</v>
      </c>
      <c r="C7" s="118" t="s">
        <v>13</v>
      </c>
      <c r="D7" s="275">
        <v>45566</v>
      </c>
      <c r="E7" s="235"/>
      <c r="F7" s="238">
        <f>SUM(F9:F11)/3</f>
        <v>59.266666666666673</v>
      </c>
    </row>
    <row r="8" spans="1:6" x14ac:dyDescent="0.25">
      <c r="A8" s="239" t="s">
        <v>314</v>
      </c>
      <c r="B8" s="120" t="s">
        <v>315</v>
      </c>
      <c r="C8" s="122" t="s">
        <v>316</v>
      </c>
      <c r="D8" s="122" t="s">
        <v>317</v>
      </c>
      <c r="E8" s="240" t="s">
        <v>318</v>
      </c>
      <c r="F8" s="241" t="s">
        <v>319</v>
      </c>
    </row>
    <row r="9" spans="1:6" x14ac:dyDescent="0.25">
      <c r="A9" s="252" t="s">
        <v>320</v>
      </c>
      <c r="B9" s="246" t="s">
        <v>321</v>
      </c>
      <c r="C9" s="247" t="s">
        <v>625</v>
      </c>
      <c r="D9" s="248" t="s">
        <v>624</v>
      </c>
      <c r="E9" s="273">
        <v>45588</v>
      </c>
      <c r="F9" s="274">
        <v>53.9</v>
      </c>
    </row>
    <row r="10" spans="1:6" x14ac:dyDescent="0.25">
      <c r="A10" s="242" t="s">
        <v>322</v>
      </c>
      <c r="B10" s="243" t="s">
        <v>323</v>
      </c>
      <c r="C10" s="244" t="s">
        <v>324</v>
      </c>
      <c r="D10" s="245" t="s">
        <v>626</v>
      </c>
      <c r="E10" s="273">
        <v>45588</v>
      </c>
      <c r="F10" s="276">
        <v>75</v>
      </c>
    </row>
    <row r="11" spans="1:6" x14ac:dyDescent="0.25">
      <c r="A11" s="253" t="s">
        <v>325</v>
      </c>
      <c r="B11" s="249" t="s">
        <v>326</v>
      </c>
      <c r="C11" s="250" t="s">
        <v>327</v>
      </c>
      <c r="D11" s="251" t="s">
        <v>328</v>
      </c>
      <c r="E11" s="273">
        <v>45588</v>
      </c>
      <c r="F11" s="277">
        <v>48.9</v>
      </c>
    </row>
    <row r="12" spans="1:6" x14ac:dyDescent="0.25">
      <c r="A12" s="665"/>
      <c r="B12" s="666"/>
      <c r="C12" s="666"/>
      <c r="D12" s="666"/>
      <c r="E12" s="666"/>
      <c r="F12" s="667"/>
    </row>
    <row r="13" spans="1:6" x14ac:dyDescent="0.25">
      <c r="A13" s="237" t="s">
        <v>620</v>
      </c>
      <c r="B13" s="792" t="s">
        <v>623</v>
      </c>
      <c r="C13" s="118" t="s">
        <v>13</v>
      </c>
      <c r="D13" s="275">
        <v>45566</v>
      </c>
      <c r="E13" s="235"/>
      <c r="F13" s="238">
        <f>SUM(F15:F17)/3</f>
        <v>59.266666666666673</v>
      </c>
    </row>
    <row r="14" spans="1:6" x14ac:dyDescent="0.25">
      <c r="A14" s="239" t="s">
        <v>314</v>
      </c>
      <c r="B14" s="120" t="s">
        <v>315</v>
      </c>
      <c r="C14" s="122" t="s">
        <v>316</v>
      </c>
      <c r="D14" s="122" t="s">
        <v>317</v>
      </c>
      <c r="E14" s="240" t="s">
        <v>318</v>
      </c>
      <c r="F14" s="241" t="s">
        <v>319</v>
      </c>
    </row>
    <row r="15" spans="1:6" x14ac:dyDescent="0.25">
      <c r="A15" s="252" t="s">
        <v>320</v>
      </c>
      <c r="B15" s="246" t="s">
        <v>321</v>
      </c>
      <c r="C15" s="247" t="s">
        <v>625</v>
      </c>
      <c r="D15" s="248" t="s">
        <v>624</v>
      </c>
      <c r="E15" s="273">
        <v>45588</v>
      </c>
      <c r="F15" s="274">
        <v>53.9</v>
      </c>
    </row>
    <row r="16" spans="1:6" x14ac:dyDescent="0.25">
      <c r="A16" s="242" t="s">
        <v>322</v>
      </c>
      <c r="B16" s="243" t="s">
        <v>323</v>
      </c>
      <c r="C16" s="244" t="s">
        <v>324</v>
      </c>
      <c r="D16" s="245" t="s">
        <v>626</v>
      </c>
      <c r="E16" s="273">
        <v>45588</v>
      </c>
      <c r="F16" s="276">
        <v>75</v>
      </c>
    </row>
    <row r="17" spans="1:6" x14ac:dyDescent="0.25">
      <c r="A17" s="253" t="s">
        <v>325</v>
      </c>
      <c r="B17" s="249" t="s">
        <v>326</v>
      </c>
      <c r="C17" s="250" t="s">
        <v>327</v>
      </c>
      <c r="D17" s="251" t="s">
        <v>328</v>
      </c>
      <c r="E17" s="273">
        <v>45588</v>
      </c>
      <c r="F17" s="277">
        <v>48.9</v>
      </c>
    </row>
    <row r="18" spans="1:6" x14ac:dyDescent="0.25">
      <c r="A18" s="665"/>
      <c r="B18" s="666"/>
      <c r="C18" s="666"/>
      <c r="D18" s="666"/>
      <c r="E18" s="666"/>
      <c r="F18" s="667"/>
    </row>
    <row r="19" spans="1:6" x14ac:dyDescent="0.25">
      <c r="A19" s="237" t="s">
        <v>621</v>
      </c>
      <c r="B19" s="792" t="s">
        <v>627</v>
      </c>
      <c r="C19" s="118" t="s">
        <v>13</v>
      </c>
      <c r="D19" s="275">
        <v>45566</v>
      </c>
      <c r="E19" s="235"/>
      <c r="F19" s="238">
        <f>SUM(F21:F23)/3</f>
        <v>24.666666666666668</v>
      </c>
    </row>
    <row r="20" spans="1:6" x14ac:dyDescent="0.25">
      <c r="A20" s="239" t="s">
        <v>314</v>
      </c>
      <c r="B20" s="120" t="s">
        <v>315</v>
      </c>
      <c r="C20" s="122" t="s">
        <v>316</v>
      </c>
      <c r="D20" s="122" t="s">
        <v>317</v>
      </c>
      <c r="E20" s="240" t="s">
        <v>318</v>
      </c>
      <c r="F20" s="241" t="s">
        <v>319</v>
      </c>
    </row>
    <row r="21" spans="1:6" x14ac:dyDescent="0.25">
      <c r="A21" s="252" t="s">
        <v>320</v>
      </c>
      <c r="B21" s="246" t="s">
        <v>321</v>
      </c>
      <c r="C21" s="247" t="s">
        <v>625</v>
      </c>
      <c r="D21" s="248" t="s">
        <v>624</v>
      </c>
      <c r="E21" s="273">
        <v>45588</v>
      </c>
      <c r="F21" s="274">
        <v>26</v>
      </c>
    </row>
    <row r="22" spans="1:6" x14ac:dyDescent="0.25">
      <c r="A22" s="242" t="s">
        <v>322</v>
      </c>
      <c r="B22" s="243" t="s">
        <v>323</v>
      </c>
      <c r="C22" s="244" t="s">
        <v>324</v>
      </c>
      <c r="D22" s="245" t="s">
        <v>626</v>
      </c>
      <c r="E22" s="273">
        <v>45588</v>
      </c>
      <c r="F22" s="276">
        <v>25</v>
      </c>
    </row>
    <row r="23" spans="1:6" x14ac:dyDescent="0.25">
      <c r="A23" s="253" t="s">
        <v>325</v>
      </c>
      <c r="B23" s="249" t="s">
        <v>326</v>
      </c>
      <c r="C23" s="250" t="s">
        <v>327</v>
      </c>
      <c r="D23" s="251" t="s">
        <v>328</v>
      </c>
      <c r="E23" s="273">
        <v>45588</v>
      </c>
      <c r="F23" s="277">
        <v>23</v>
      </c>
    </row>
    <row r="24" spans="1:6" x14ac:dyDescent="0.25">
      <c r="A24" s="291"/>
      <c r="B24" s="793"/>
      <c r="C24" s="794"/>
      <c r="D24" s="795"/>
      <c r="E24" s="292"/>
      <c r="F24" s="293"/>
    </row>
    <row r="25" spans="1:6" x14ac:dyDescent="0.25">
      <c r="A25" s="237" t="s">
        <v>703</v>
      </c>
      <c r="B25" s="294" t="s">
        <v>704</v>
      </c>
      <c r="C25" s="295" t="s">
        <v>13</v>
      </c>
      <c r="D25" s="275">
        <v>45566</v>
      </c>
      <c r="E25" s="235"/>
      <c r="F25" s="238">
        <f>SUM(F27:F29)/3</f>
        <v>46.486666666666672</v>
      </c>
    </row>
    <row r="26" spans="1:6" x14ac:dyDescent="0.25">
      <c r="A26" s="239" t="s">
        <v>314</v>
      </c>
      <c r="B26" s="120" t="s">
        <v>315</v>
      </c>
      <c r="C26" s="122" t="s">
        <v>316</v>
      </c>
      <c r="D26" s="122" t="s">
        <v>317</v>
      </c>
      <c r="E26" s="240" t="s">
        <v>318</v>
      </c>
      <c r="F26" s="241" t="s">
        <v>319</v>
      </c>
    </row>
    <row r="27" spans="1:6" x14ac:dyDescent="0.25">
      <c r="A27" s="252" t="s">
        <v>320</v>
      </c>
      <c r="B27" s="246" t="s">
        <v>321</v>
      </c>
      <c r="C27" s="247" t="s">
        <v>625</v>
      </c>
      <c r="D27" s="248" t="s">
        <v>624</v>
      </c>
      <c r="E27" s="273">
        <v>45588</v>
      </c>
      <c r="F27" s="274">
        <v>40.46</v>
      </c>
    </row>
    <row r="28" spans="1:6" x14ac:dyDescent="0.25">
      <c r="A28" s="242" t="s">
        <v>322</v>
      </c>
      <c r="B28" s="243" t="s">
        <v>323</v>
      </c>
      <c r="C28" s="244" t="s">
        <v>324</v>
      </c>
      <c r="D28" s="245" t="s">
        <v>626</v>
      </c>
      <c r="E28" s="273">
        <v>45588</v>
      </c>
      <c r="F28" s="276">
        <v>48</v>
      </c>
    </row>
    <row r="29" spans="1:6" x14ac:dyDescent="0.25">
      <c r="A29" s="253" t="s">
        <v>325</v>
      </c>
      <c r="B29" s="249" t="s">
        <v>326</v>
      </c>
      <c r="C29" s="250" t="s">
        <v>327</v>
      </c>
      <c r="D29" s="251" t="s">
        <v>328</v>
      </c>
      <c r="E29" s="273">
        <v>45588</v>
      </c>
      <c r="F29" s="277">
        <v>51</v>
      </c>
    </row>
    <row r="30" spans="1:6" x14ac:dyDescent="0.25">
      <c r="A30" s="291"/>
      <c r="B30" s="793"/>
      <c r="C30" s="794"/>
      <c r="D30" s="795"/>
      <c r="E30" s="292"/>
      <c r="F30" s="293"/>
    </row>
    <row r="31" spans="1:6" s="6" customFormat="1" x14ac:dyDescent="0.25">
      <c r="A31" s="503" t="s">
        <v>746</v>
      </c>
      <c r="B31" s="504" t="s">
        <v>914</v>
      </c>
      <c r="C31" s="505" t="s">
        <v>13</v>
      </c>
      <c r="D31" s="506">
        <v>45566</v>
      </c>
      <c r="E31" s="507"/>
      <c r="F31" s="508">
        <f>SUM(F33:F35)/3</f>
        <v>162.25666666666666</v>
      </c>
    </row>
    <row r="32" spans="1:6" s="6" customFormat="1" x14ac:dyDescent="0.25">
      <c r="A32" s="509"/>
      <c r="B32" s="510"/>
      <c r="C32" s="511"/>
      <c r="D32" s="511"/>
      <c r="E32" s="512"/>
      <c r="F32" s="513"/>
    </row>
    <row r="33" spans="1:6" s="6" customFormat="1" x14ac:dyDescent="0.25">
      <c r="A33" s="498" t="s">
        <v>320</v>
      </c>
      <c r="B33" s="499" t="s">
        <v>321</v>
      </c>
      <c r="C33" s="500" t="s">
        <v>625</v>
      </c>
      <c r="D33" s="501" t="s">
        <v>624</v>
      </c>
      <c r="E33" s="356">
        <v>45588</v>
      </c>
      <c r="F33" s="502">
        <v>166.72</v>
      </c>
    </row>
    <row r="34" spans="1:6" s="6" customFormat="1" x14ac:dyDescent="0.25">
      <c r="A34" s="514" t="s">
        <v>322</v>
      </c>
      <c r="B34" s="124" t="s">
        <v>323</v>
      </c>
      <c r="C34" s="99" t="s">
        <v>324</v>
      </c>
      <c r="D34" s="125" t="s">
        <v>626</v>
      </c>
      <c r="E34" s="356">
        <v>45588</v>
      </c>
      <c r="F34" s="515">
        <v>125.13</v>
      </c>
    </row>
    <row r="35" spans="1:6" s="6" customFormat="1" x14ac:dyDescent="0.25">
      <c r="A35" s="352" t="s">
        <v>325</v>
      </c>
      <c r="B35" s="353" t="s">
        <v>326</v>
      </c>
      <c r="C35" s="354" t="s">
        <v>327</v>
      </c>
      <c r="D35" s="355" t="s">
        <v>328</v>
      </c>
      <c r="E35" s="356">
        <v>45588</v>
      </c>
      <c r="F35" s="357">
        <v>194.92</v>
      </c>
    </row>
    <row r="36" spans="1:6" x14ac:dyDescent="0.25">
      <c r="A36" s="291"/>
      <c r="B36" s="793"/>
      <c r="C36" s="794"/>
      <c r="D36" s="795"/>
      <c r="E36" s="292"/>
      <c r="F36" s="293"/>
    </row>
    <row r="37" spans="1:6" s="6" customFormat="1" x14ac:dyDescent="0.25">
      <c r="A37" s="503" t="s">
        <v>747</v>
      </c>
      <c r="B37" s="504" t="s">
        <v>955</v>
      </c>
      <c r="C37" s="505" t="s">
        <v>13</v>
      </c>
      <c r="D37" s="506">
        <v>45566</v>
      </c>
      <c r="E37" s="507"/>
      <c r="F37" s="508">
        <f>SUM(F39:F41)/3</f>
        <v>27.596666666666664</v>
      </c>
    </row>
    <row r="38" spans="1:6" s="6" customFormat="1" x14ac:dyDescent="0.25">
      <c r="A38" s="509"/>
      <c r="B38" s="510"/>
      <c r="C38" s="511"/>
      <c r="D38" s="511"/>
      <c r="E38" s="512"/>
      <c r="F38" s="513"/>
    </row>
    <row r="39" spans="1:6" s="6" customFormat="1" x14ac:dyDescent="0.25">
      <c r="A39" s="498" t="s">
        <v>320</v>
      </c>
      <c r="B39" s="499" t="s">
        <v>321</v>
      </c>
      <c r="C39" s="500" t="s">
        <v>625</v>
      </c>
      <c r="D39" s="501" t="s">
        <v>624</v>
      </c>
      <c r="E39" s="356">
        <v>45588</v>
      </c>
      <c r="F39" s="502">
        <v>29.9</v>
      </c>
    </row>
    <row r="40" spans="1:6" s="6" customFormat="1" x14ac:dyDescent="0.25">
      <c r="A40" s="514" t="s">
        <v>322</v>
      </c>
      <c r="B40" s="124" t="s">
        <v>323</v>
      </c>
      <c r="C40" s="99" t="s">
        <v>324</v>
      </c>
      <c r="D40" s="125" t="s">
        <v>626</v>
      </c>
      <c r="E40" s="356">
        <v>45588</v>
      </c>
      <c r="F40" s="515">
        <v>32.9</v>
      </c>
    </row>
    <row r="41" spans="1:6" s="6" customFormat="1" x14ac:dyDescent="0.25">
      <c r="A41" s="352" t="s">
        <v>325</v>
      </c>
      <c r="B41" s="353" t="s">
        <v>326</v>
      </c>
      <c r="C41" s="354" t="s">
        <v>327</v>
      </c>
      <c r="D41" s="355" t="s">
        <v>328</v>
      </c>
      <c r="E41" s="356">
        <v>45588</v>
      </c>
      <c r="F41" s="357">
        <v>19.989999999999998</v>
      </c>
    </row>
    <row r="42" spans="1:6" s="497" customFormat="1" x14ac:dyDescent="0.25">
      <c r="A42" s="526"/>
      <c r="B42" s="796"/>
      <c r="C42" s="797"/>
      <c r="D42" s="798"/>
      <c r="E42" s="527"/>
      <c r="F42" s="528"/>
    </row>
    <row r="43" spans="1:6" s="6" customFormat="1" x14ac:dyDescent="0.25">
      <c r="A43" s="503" t="s">
        <v>748</v>
      </c>
      <c r="B43" s="504" t="s">
        <v>956</v>
      </c>
      <c r="C43" s="505" t="s">
        <v>13</v>
      </c>
      <c r="D43" s="506">
        <v>45566</v>
      </c>
      <c r="E43" s="507"/>
      <c r="F43" s="508">
        <f>SUM(F45:F47)/3</f>
        <v>17.096666666666668</v>
      </c>
    </row>
    <row r="44" spans="1:6" s="6" customFormat="1" x14ac:dyDescent="0.25">
      <c r="A44" s="509"/>
      <c r="B44" s="510"/>
      <c r="C44" s="511"/>
      <c r="D44" s="511"/>
      <c r="E44" s="512"/>
      <c r="F44" s="513"/>
    </row>
    <row r="45" spans="1:6" s="6" customFormat="1" x14ac:dyDescent="0.25">
      <c r="A45" s="498" t="s">
        <v>320</v>
      </c>
      <c r="B45" s="499" t="s">
        <v>321</v>
      </c>
      <c r="C45" s="500" t="s">
        <v>625</v>
      </c>
      <c r="D45" s="501" t="s">
        <v>624</v>
      </c>
      <c r="E45" s="356">
        <v>45588</v>
      </c>
      <c r="F45" s="502">
        <v>16.190000000000001</v>
      </c>
    </row>
    <row r="46" spans="1:6" s="6" customFormat="1" x14ac:dyDescent="0.25">
      <c r="A46" s="514" t="s">
        <v>322</v>
      </c>
      <c r="B46" s="124" t="s">
        <v>323</v>
      </c>
      <c r="C46" s="99" t="s">
        <v>324</v>
      </c>
      <c r="D46" s="125" t="s">
        <v>626</v>
      </c>
      <c r="E46" s="356">
        <v>45588</v>
      </c>
      <c r="F46" s="515">
        <v>18.899999999999999</v>
      </c>
    </row>
    <row r="47" spans="1:6" s="6" customFormat="1" x14ac:dyDescent="0.25">
      <c r="A47" s="352" t="s">
        <v>325</v>
      </c>
      <c r="B47" s="353" t="s">
        <v>326</v>
      </c>
      <c r="C47" s="354" t="s">
        <v>327</v>
      </c>
      <c r="D47" s="355" t="s">
        <v>328</v>
      </c>
      <c r="E47" s="356">
        <v>45588</v>
      </c>
      <c r="F47" s="357">
        <v>16.2</v>
      </c>
    </row>
    <row r="48" spans="1:6" s="497" customFormat="1" x14ac:dyDescent="0.25">
      <c r="A48" s="526"/>
      <c r="B48" s="796"/>
      <c r="C48" s="797"/>
      <c r="D48" s="798"/>
      <c r="E48" s="527"/>
      <c r="F48" s="528"/>
    </row>
    <row r="49" spans="1:6" s="6" customFormat="1" ht="24" customHeight="1" x14ac:dyDescent="0.25">
      <c r="A49" s="503" t="s">
        <v>749</v>
      </c>
      <c r="B49" s="504" t="s">
        <v>959</v>
      </c>
      <c r="C49" s="505" t="s">
        <v>13</v>
      </c>
      <c r="D49" s="506">
        <v>45597</v>
      </c>
      <c r="E49" s="507"/>
      <c r="F49" s="508">
        <f>SUM(F51:F53)/3</f>
        <v>2413.1533333333332</v>
      </c>
    </row>
    <row r="50" spans="1:6" s="497" customFormat="1" x14ac:dyDescent="0.25">
      <c r="A50" s="521"/>
      <c r="B50" s="522"/>
      <c r="C50" s="523"/>
      <c r="D50" s="523"/>
      <c r="E50" s="524"/>
      <c r="F50" s="525"/>
    </row>
    <row r="51" spans="1:6" s="6" customFormat="1" x14ac:dyDescent="0.25">
      <c r="A51" s="498" t="s">
        <v>999</v>
      </c>
      <c r="B51" s="499" t="s">
        <v>1000</v>
      </c>
      <c r="C51" s="500" t="s">
        <v>1001</v>
      </c>
      <c r="D51" s="501" t="s">
        <v>998</v>
      </c>
      <c r="E51" s="356">
        <v>45622</v>
      </c>
      <c r="F51" s="502">
        <v>2266.1</v>
      </c>
    </row>
    <row r="52" spans="1:6" s="6" customFormat="1" x14ac:dyDescent="0.25">
      <c r="A52" s="514" t="s">
        <v>1004</v>
      </c>
      <c r="B52" s="124" t="s">
        <v>1003</v>
      </c>
      <c r="C52" s="99" t="s">
        <v>1005</v>
      </c>
      <c r="D52" s="125" t="s">
        <v>1002</v>
      </c>
      <c r="E52" s="356">
        <v>45622</v>
      </c>
      <c r="F52" s="515">
        <v>2514.46</v>
      </c>
    </row>
    <row r="53" spans="1:6" s="6" customFormat="1" x14ac:dyDescent="0.25">
      <c r="A53" s="352" t="s">
        <v>1006</v>
      </c>
      <c r="B53" s="353" t="s">
        <v>1008</v>
      </c>
      <c r="C53" s="354" t="s">
        <v>1007</v>
      </c>
      <c r="D53" s="355" t="s">
        <v>1009</v>
      </c>
      <c r="E53" s="356">
        <v>45622</v>
      </c>
      <c r="F53" s="357">
        <v>2458.9</v>
      </c>
    </row>
    <row r="54" spans="1:6" s="497" customFormat="1" x14ac:dyDescent="0.25">
      <c r="A54" s="526"/>
      <c r="B54" s="796"/>
      <c r="C54" s="797"/>
      <c r="D54" s="798"/>
      <c r="E54" s="527"/>
      <c r="F54" s="528"/>
    </row>
    <row r="55" spans="1:6" s="6" customFormat="1" ht="24" customHeight="1" x14ac:dyDescent="0.25">
      <c r="A55" s="503" t="s">
        <v>782</v>
      </c>
      <c r="B55" s="504" t="s">
        <v>973</v>
      </c>
      <c r="C55" s="505" t="s">
        <v>13</v>
      </c>
      <c r="D55" s="506">
        <v>45597</v>
      </c>
      <c r="E55" s="507"/>
      <c r="F55" s="508">
        <f>SUM(F57:F59)/3</f>
        <v>324.09333333333331</v>
      </c>
    </row>
    <row r="56" spans="1:6" s="497" customFormat="1" x14ac:dyDescent="0.25">
      <c r="A56" s="521"/>
      <c r="B56" s="522"/>
      <c r="C56" s="523"/>
      <c r="D56" s="523"/>
      <c r="E56" s="524"/>
      <c r="F56" s="525"/>
    </row>
    <row r="57" spans="1:6" s="6" customFormat="1" x14ac:dyDescent="0.25">
      <c r="A57" s="498" t="s">
        <v>999</v>
      </c>
      <c r="B57" s="499" t="s">
        <v>1000</v>
      </c>
      <c r="C57" s="500" t="s">
        <v>1001</v>
      </c>
      <c r="D57" s="501" t="s">
        <v>998</v>
      </c>
      <c r="E57" s="356">
        <v>45622</v>
      </c>
      <c r="F57" s="502">
        <v>276.89999999999998</v>
      </c>
    </row>
    <row r="58" spans="1:6" s="6" customFormat="1" x14ac:dyDescent="0.25">
      <c r="A58" s="514" t="s">
        <v>1004</v>
      </c>
      <c r="B58" s="124" t="s">
        <v>1003</v>
      </c>
      <c r="C58" s="99" t="s">
        <v>1005</v>
      </c>
      <c r="D58" s="125" t="s">
        <v>1002</v>
      </c>
      <c r="E58" s="356">
        <v>45622</v>
      </c>
      <c r="F58" s="515">
        <v>265.88</v>
      </c>
    </row>
    <row r="59" spans="1:6" s="6" customFormat="1" x14ac:dyDescent="0.25">
      <c r="A59" s="352" t="s">
        <v>1006</v>
      </c>
      <c r="B59" s="353" t="s">
        <v>1008</v>
      </c>
      <c r="C59" s="354" t="s">
        <v>1007</v>
      </c>
      <c r="D59" s="355" t="s">
        <v>1009</v>
      </c>
      <c r="E59" s="356">
        <v>45622</v>
      </c>
      <c r="F59" s="357">
        <v>429.5</v>
      </c>
    </row>
    <row r="60" spans="1:6" s="497" customFormat="1" x14ac:dyDescent="0.25">
      <c r="A60" s="526"/>
      <c r="B60" s="796"/>
      <c r="C60" s="797"/>
      <c r="D60" s="798"/>
      <c r="E60" s="527"/>
      <c r="F60" s="528"/>
    </row>
    <row r="61" spans="1:6" s="6" customFormat="1" ht="24" customHeight="1" x14ac:dyDescent="0.25">
      <c r="A61" s="503" t="s">
        <v>899</v>
      </c>
      <c r="B61" s="504" t="s">
        <v>986</v>
      </c>
      <c r="C61" s="505" t="s">
        <v>13</v>
      </c>
      <c r="D61" s="506">
        <v>45597</v>
      </c>
      <c r="E61" s="507"/>
      <c r="F61" s="508">
        <f>SUM(F63:F65)/3</f>
        <v>33.72</v>
      </c>
    </row>
    <row r="62" spans="1:6" s="497" customFormat="1" x14ac:dyDescent="0.25">
      <c r="A62" s="521"/>
      <c r="B62" s="522"/>
      <c r="C62" s="523"/>
      <c r="D62" s="523"/>
      <c r="E62" s="524"/>
      <c r="F62" s="525"/>
    </row>
    <row r="63" spans="1:6" s="6" customFormat="1" x14ac:dyDescent="0.25">
      <c r="A63" s="498" t="s">
        <v>999</v>
      </c>
      <c r="B63" s="499" t="s">
        <v>1000</v>
      </c>
      <c r="C63" s="500" t="s">
        <v>1001</v>
      </c>
      <c r="D63" s="501" t="s">
        <v>998</v>
      </c>
      <c r="E63" s="356">
        <v>45622</v>
      </c>
      <c r="F63" s="502">
        <v>12.6</v>
      </c>
    </row>
    <row r="64" spans="1:6" s="6" customFormat="1" x14ac:dyDescent="0.25">
      <c r="A64" s="514" t="s">
        <v>1004</v>
      </c>
      <c r="B64" s="124" t="s">
        <v>1003</v>
      </c>
      <c r="C64" s="99" t="s">
        <v>1005</v>
      </c>
      <c r="D64" s="125" t="s">
        <v>1002</v>
      </c>
      <c r="E64" s="356">
        <v>45622</v>
      </c>
      <c r="F64" s="515">
        <v>31.15</v>
      </c>
    </row>
    <row r="65" spans="1:6" s="6" customFormat="1" x14ac:dyDescent="0.25">
      <c r="A65" s="352" t="s">
        <v>1006</v>
      </c>
      <c r="B65" s="353" t="s">
        <v>1008</v>
      </c>
      <c r="C65" s="354" t="s">
        <v>1007</v>
      </c>
      <c r="D65" s="355" t="s">
        <v>1009</v>
      </c>
      <c r="E65" s="356">
        <v>45622</v>
      </c>
      <c r="F65" s="357">
        <v>57.41</v>
      </c>
    </row>
    <row r="66" spans="1:6" s="497" customFormat="1" x14ac:dyDescent="0.25">
      <c r="A66" s="526"/>
      <c r="B66" s="796"/>
      <c r="C66" s="797"/>
      <c r="D66" s="798"/>
      <c r="E66" s="527"/>
      <c r="F66" s="528"/>
    </row>
    <row r="67" spans="1:6" ht="37.200000000000003" customHeight="1" x14ac:dyDescent="0.25">
      <c r="A67" s="237" t="s">
        <v>912</v>
      </c>
      <c r="B67" s="294" t="s">
        <v>908</v>
      </c>
      <c r="C67" s="295" t="s">
        <v>13</v>
      </c>
      <c r="D67" s="275">
        <v>45566</v>
      </c>
      <c r="E67" s="235"/>
      <c r="F67" s="238">
        <f>SUM(F69:F71)/3</f>
        <v>2312.4699999999998</v>
      </c>
    </row>
    <row r="68" spans="1:6" x14ac:dyDescent="0.25">
      <c r="A68" s="239" t="s">
        <v>314</v>
      </c>
      <c r="B68" s="120" t="s">
        <v>315</v>
      </c>
      <c r="C68" s="122" t="s">
        <v>316</v>
      </c>
      <c r="D68" s="122" t="s">
        <v>317</v>
      </c>
      <c r="E68" s="240" t="s">
        <v>318</v>
      </c>
      <c r="F68" s="241" t="s">
        <v>319</v>
      </c>
    </row>
    <row r="69" spans="1:6" s="6" customFormat="1" x14ac:dyDescent="0.25">
      <c r="A69" s="498" t="s">
        <v>784</v>
      </c>
      <c r="B69" s="499" t="s">
        <v>783</v>
      </c>
      <c r="C69" s="500" t="s">
        <v>785</v>
      </c>
      <c r="D69" s="501" t="s">
        <v>786</v>
      </c>
      <c r="E69" s="356">
        <v>45570</v>
      </c>
      <c r="F69" s="502">
        <v>2702.51</v>
      </c>
    </row>
    <row r="70" spans="1:6" ht="20.399999999999999" x14ac:dyDescent="0.25">
      <c r="A70" s="242" t="s">
        <v>788</v>
      </c>
      <c r="B70" s="243" t="s">
        <v>794</v>
      </c>
      <c r="C70" s="244" t="s">
        <v>789</v>
      </c>
      <c r="D70" s="245" t="s">
        <v>787</v>
      </c>
      <c r="E70" s="273">
        <v>45601</v>
      </c>
      <c r="F70" s="276">
        <v>2099.9899999999998</v>
      </c>
    </row>
    <row r="71" spans="1:6" s="305" customFormat="1" x14ac:dyDescent="0.25">
      <c r="A71" s="253" t="s">
        <v>792</v>
      </c>
      <c r="B71" s="249" t="s">
        <v>793</v>
      </c>
      <c r="C71" s="250" t="s">
        <v>791</v>
      </c>
      <c r="D71" s="251" t="s">
        <v>790</v>
      </c>
      <c r="E71" s="273">
        <v>45601</v>
      </c>
      <c r="F71" s="277">
        <v>2134.91</v>
      </c>
    </row>
    <row r="72" spans="1:6" ht="13.8" thickBot="1" x14ac:dyDescent="0.3">
      <c r="A72" s="799"/>
      <c r="B72" s="800"/>
      <c r="C72" s="801"/>
      <c r="D72" s="802"/>
      <c r="E72" s="803"/>
      <c r="F72" s="804"/>
    </row>
    <row r="73" spans="1:6" ht="37.200000000000003" customHeight="1" x14ac:dyDescent="0.25">
      <c r="A73" s="805" t="s">
        <v>913</v>
      </c>
      <c r="B73" s="806" t="s">
        <v>730</v>
      </c>
      <c r="C73" s="807" t="s">
        <v>13</v>
      </c>
      <c r="D73" s="808">
        <v>45566</v>
      </c>
      <c r="E73" s="809"/>
      <c r="F73" s="810">
        <f>SUM(F75:F77)/3</f>
        <v>1139.1366666666665</v>
      </c>
    </row>
    <row r="74" spans="1:6" x14ac:dyDescent="0.25">
      <c r="A74" s="239" t="s">
        <v>314</v>
      </c>
      <c r="B74" s="120" t="s">
        <v>315</v>
      </c>
      <c r="C74" s="122" t="s">
        <v>316</v>
      </c>
      <c r="D74" s="122" t="s">
        <v>317</v>
      </c>
      <c r="E74" s="240" t="s">
        <v>318</v>
      </c>
      <c r="F74" s="241" t="s">
        <v>319</v>
      </c>
    </row>
    <row r="75" spans="1:6" x14ac:dyDescent="0.25">
      <c r="A75" s="252" t="s">
        <v>753</v>
      </c>
      <c r="B75" s="246" t="s">
        <v>752</v>
      </c>
      <c r="C75" s="247" t="s">
        <v>754</v>
      </c>
      <c r="D75" s="248" t="s">
        <v>755</v>
      </c>
      <c r="E75" s="273">
        <v>45596</v>
      </c>
      <c r="F75" s="274">
        <v>1088</v>
      </c>
    </row>
    <row r="76" spans="1:6" x14ac:dyDescent="0.25">
      <c r="A76" s="242" t="s">
        <v>759</v>
      </c>
      <c r="B76" s="243" t="s">
        <v>757</v>
      </c>
      <c r="C76" s="244" t="s">
        <v>756</v>
      </c>
      <c r="D76" s="245" t="s">
        <v>758</v>
      </c>
      <c r="E76" s="273">
        <v>45597</v>
      </c>
      <c r="F76" s="276">
        <v>1047</v>
      </c>
    </row>
    <row r="77" spans="1:6" s="6" customFormat="1" x14ac:dyDescent="0.25">
      <c r="A77" s="352" t="s">
        <v>778</v>
      </c>
      <c r="B77" s="353" t="s">
        <v>780</v>
      </c>
      <c r="C77" s="354" t="s">
        <v>779</v>
      </c>
      <c r="D77" s="355" t="s">
        <v>777</v>
      </c>
      <c r="E77" s="356">
        <v>45600</v>
      </c>
      <c r="F77" s="357">
        <v>1282.4100000000001</v>
      </c>
    </row>
    <row r="78" spans="1:6" x14ac:dyDescent="0.25">
      <c r="A78" s="291"/>
      <c r="B78" s="793"/>
      <c r="C78" s="794"/>
      <c r="D78" s="795"/>
      <c r="E78" s="292"/>
      <c r="F78" s="293"/>
    </row>
    <row r="79" spans="1:6" ht="80.400000000000006" customHeight="1" x14ac:dyDescent="0.25">
      <c r="A79" s="237" t="s">
        <v>961</v>
      </c>
      <c r="B79" s="294" t="s">
        <v>731</v>
      </c>
      <c r="C79" s="295" t="s">
        <v>13</v>
      </c>
      <c r="D79" s="275">
        <v>45566</v>
      </c>
      <c r="E79" s="235"/>
      <c r="F79" s="238">
        <f>SUM(F81:F83)/3</f>
        <v>178.96666666666667</v>
      </c>
    </row>
    <row r="80" spans="1:6" x14ac:dyDescent="0.25">
      <c r="A80" s="239" t="s">
        <v>314</v>
      </c>
      <c r="B80" s="120" t="s">
        <v>315</v>
      </c>
      <c r="C80" s="122" t="s">
        <v>316</v>
      </c>
      <c r="D80" s="122" t="s">
        <v>317</v>
      </c>
      <c r="E80" s="240" t="s">
        <v>318</v>
      </c>
      <c r="F80" s="241" t="s">
        <v>319</v>
      </c>
    </row>
    <row r="81" spans="1:6" x14ac:dyDescent="0.25">
      <c r="A81" s="252" t="s">
        <v>753</v>
      </c>
      <c r="B81" s="246" t="s">
        <v>752</v>
      </c>
      <c r="C81" s="247" t="s">
        <v>754</v>
      </c>
      <c r="D81" s="248" t="s">
        <v>755</v>
      </c>
      <c r="E81" s="273">
        <v>45596</v>
      </c>
      <c r="F81" s="274">
        <v>169</v>
      </c>
    </row>
    <row r="82" spans="1:6" x14ac:dyDescent="0.25">
      <c r="A82" s="242" t="s">
        <v>759</v>
      </c>
      <c r="B82" s="243" t="s">
        <v>757</v>
      </c>
      <c r="C82" s="244" t="s">
        <v>756</v>
      </c>
      <c r="D82" s="245" t="s">
        <v>758</v>
      </c>
      <c r="E82" s="273">
        <v>45597</v>
      </c>
      <c r="F82" s="276">
        <v>158.99</v>
      </c>
    </row>
    <row r="83" spans="1:6" s="6" customFormat="1" x14ac:dyDescent="0.25">
      <c r="A83" s="352" t="s">
        <v>778</v>
      </c>
      <c r="B83" s="353" t="s">
        <v>780</v>
      </c>
      <c r="C83" s="354" t="s">
        <v>779</v>
      </c>
      <c r="D83" s="355" t="s">
        <v>777</v>
      </c>
      <c r="E83" s="356">
        <v>45600</v>
      </c>
      <c r="F83" s="357">
        <v>208.91</v>
      </c>
    </row>
    <row r="84" spans="1:6" x14ac:dyDescent="0.25">
      <c r="A84" s="291"/>
      <c r="B84" s="793"/>
      <c r="C84" s="794"/>
      <c r="D84" s="795"/>
      <c r="E84" s="292"/>
      <c r="F84" s="293"/>
    </row>
    <row r="85" spans="1:6" ht="64.2" customHeight="1" x14ac:dyDescent="0.25">
      <c r="A85" s="237" t="s">
        <v>962</v>
      </c>
      <c r="B85" s="294" t="s">
        <v>732</v>
      </c>
      <c r="C85" s="295" t="s">
        <v>13</v>
      </c>
      <c r="D85" s="275">
        <v>45566</v>
      </c>
      <c r="E85" s="235"/>
      <c r="F85" s="238">
        <f>SUM(F87:F89)/3</f>
        <v>1688.9666666666665</v>
      </c>
    </row>
    <row r="86" spans="1:6" x14ac:dyDescent="0.25">
      <c r="A86" s="239" t="s">
        <v>314</v>
      </c>
      <c r="B86" s="120" t="s">
        <v>315</v>
      </c>
      <c r="C86" s="122" t="s">
        <v>316</v>
      </c>
      <c r="D86" s="122" t="s">
        <v>317</v>
      </c>
      <c r="E86" s="240" t="s">
        <v>318</v>
      </c>
      <c r="F86" s="241" t="s">
        <v>319</v>
      </c>
    </row>
    <row r="87" spans="1:6" x14ac:dyDescent="0.25">
      <c r="A87" s="252" t="s">
        <v>753</v>
      </c>
      <c r="B87" s="246" t="s">
        <v>752</v>
      </c>
      <c r="C87" s="247" t="s">
        <v>754</v>
      </c>
      <c r="D87" s="248" t="s">
        <v>755</v>
      </c>
      <c r="E87" s="273">
        <v>45596</v>
      </c>
      <c r="F87" s="274">
        <v>860</v>
      </c>
    </row>
    <row r="88" spans="1:6" x14ac:dyDescent="0.25">
      <c r="A88" s="242" t="s">
        <v>759</v>
      </c>
      <c r="B88" s="243" t="s">
        <v>757</v>
      </c>
      <c r="C88" s="244" t="s">
        <v>756</v>
      </c>
      <c r="D88" s="245" t="s">
        <v>758</v>
      </c>
      <c r="E88" s="273">
        <v>45597</v>
      </c>
      <c r="F88" s="276">
        <v>2306.9899999999998</v>
      </c>
    </row>
    <row r="89" spans="1:6" s="6" customFormat="1" x14ac:dyDescent="0.25">
      <c r="A89" s="352" t="s">
        <v>778</v>
      </c>
      <c r="B89" s="353" t="s">
        <v>780</v>
      </c>
      <c r="C89" s="354" t="s">
        <v>779</v>
      </c>
      <c r="D89" s="355" t="s">
        <v>777</v>
      </c>
      <c r="E89" s="356">
        <v>45600</v>
      </c>
      <c r="F89" s="357">
        <v>1899.91</v>
      </c>
    </row>
    <row r="90" spans="1:6" x14ac:dyDescent="0.25">
      <c r="A90" s="291"/>
      <c r="B90" s="793"/>
      <c r="C90" s="794"/>
      <c r="D90" s="795"/>
      <c r="E90" s="292"/>
      <c r="F90" s="293"/>
    </row>
    <row r="91" spans="1:6" ht="43.2" customHeight="1" x14ac:dyDescent="0.25">
      <c r="A91" s="237" t="s">
        <v>963</v>
      </c>
      <c r="B91" s="294" t="s">
        <v>733</v>
      </c>
      <c r="C91" s="295" t="s">
        <v>13</v>
      </c>
      <c r="D91" s="275">
        <v>45566</v>
      </c>
      <c r="E91" s="235"/>
      <c r="F91" s="238">
        <f>SUM(F93:F95)/3</f>
        <v>637.68666666666661</v>
      </c>
    </row>
    <row r="92" spans="1:6" x14ac:dyDescent="0.25">
      <c r="A92" s="239" t="s">
        <v>314</v>
      </c>
      <c r="B92" s="120" t="s">
        <v>315</v>
      </c>
      <c r="C92" s="122" t="s">
        <v>316</v>
      </c>
      <c r="D92" s="122" t="s">
        <v>317</v>
      </c>
      <c r="E92" s="240" t="s">
        <v>318</v>
      </c>
      <c r="F92" s="241" t="s">
        <v>319</v>
      </c>
    </row>
    <row r="93" spans="1:6" x14ac:dyDescent="0.25">
      <c r="A93" s="252" t="s">
        <v>767</v>
      </c>
      <c r="B93" s="246" t="s">
        <v>765</v>
      </c>
      <c r="C93" s="247" t="s">
        <v>766</v>
      </c>
      <c r="D93" s="248" t="s">
        <v>768</v>
      </c>
      <c r="E93" s="273">
        <v>45597</v>
      </c>
      <c r="F93" s="274">
        <v>599</v>
      </c>
    </row>
    <row r="94" spans="1:6" x14ac:dyDescent="0.25">
      <c r="A94" s="242" t="s">
        <v>770</v>
      </c>
      <c r="B94" s="243" t="s">
        <v>769</v>
      </c>
      <c r="C94" s="244" t="s">
        <v>771</v>
      </c>
      <c r="D94" s="245" t="s">
        <v>772</v>
      </c>
      <c r="E94" s="273">
        <v>45597</v>
      </c>
      <c r="F94" s="276">
        <v>837.06</v>
      </c>
    </row>
    <row r="95" spans="1:6" s="305" customFormat="1" x14ac:dyDescent="0.25">
      <c r="A95" s="253" t="s">
        <v>774</v>
      </c>
      <c r="B95" s="249" t="s">
        <v>776</v>
      </c>
      <c r="C95" s="250" t="s">
        <v>775</v>
      </c>
      <c r="D95" s="251" t="s">
        <v>773</v>
      </c>
      <c r="E95" s="273">
        <v>45600</v>
      </c>
      <c r="F95" s="277">
        <v>477</v>
      </c>
    </row>
    <row r="96" spans="1:6" x14ac:dyDescent="0.25">
      <c r="A96" s="291"/>
      <c r="B96" s="793"/>
      <c r="C96" s="794"/>
      <c r="D96" s="795"/>
      <c r="E96" s="292"/>
      <c r="F96" s="293"/>
    </row>
    <row r="97" spans="1:6" ht="43.2" customHeight="1" x14ac:dyDescent="0.25">
      <c r="A97" s="237" t="s">
        <v>974</v>
      </c>
      <c r="B97" s="294" t="s">
        <v>887</v>
      </c>
      <c r="C97" s="295" t="s">
        <v>13</v>
      </c>
      <c r="D97" s="275">
        <v>45566</v>
      </c>
      <c r="E97" s="235"/>
      <c r="F97" s="238">
        <f>SUM(F99:F101)/3</f>
        <v>2839.3333333333335</v>
      </c>
    </row>
    <row r="98" spans="1:6" x14ac:dyDescent="0.25">
      <c r="A98" s="239" t="s">
        <v>314</v>
      </c>
      <c r="B98" s="120" t="s">
        <v>315</v>
      </c>
      <c r="C98" s="122" t="s">
        <v>316</v>
      </c>
      <c r="D98" s="122" t="s">
        <v>317</v>
      </c>
      <c r="E98" s="240" t="s">
        <v>318</v>
      </c>
      <c r="F98" s="241" t="s">
        <v>319</v>
      </c>
    </row>
    <row r="99" spans="1:6" x14ac:dyDescent="0.25">
      <c r="A99" s="252" t="s">
        <v>890</v>
      </c>
      <c r="B99" s="246" t="s">
        <v>888</v>
      </c>
      <c r="C99" s="247" t="s">
        <v>889</v>
      </c>
      <c r="D99" s="248" t="s">
        <v>900</v>
      </c>
      <c r="E99" s="273">
        <v>45617</v>
      </c>
      <c r="F99" s="274">
        <v>3139</v>
      </c>
    </row>
    <row r="100" spans="1:6" x14ac:dyDescent="0.25">
      <c r="A100" s="242" t="s">
        <v>892</v>
      </c>
      <c r="B100" s="243" t="s">
        <v>891</v>
      </c>
      <c r="C100" s="244" t="s">
        <v>893</v>
      </c>
      <c r="D100" s="245" t="s">
        <v>894</v>
      </c>
      <c r="E100" s="273">
        <v>45617</v>
      </c>
      <c r="F100" s="276">
        <v>2139</v>
      </c>
    </row>
    <row r="101" spans="1:6" s="305" customFormat="1" x14ac:dyDescent="0.25">
      <c r="A101" s="253" t="s">
        <v>895</v>
      </c>
      <c r="B101" s="249" t="s">
        <v>896</v>
      </c>
      <c r="C101" s="250" t="s">
        <v>897</v>
      </c>
      <c r="D101" s="251" t="s">
        <v>898</v>
      </c>
      <c r="E101" s="494">
        <v>45617</v>
      </c>
      <c r="F101" s="277">
        <v>3240</v>
      </c>
    </row>
    <row r="102" spans="1:6" x14ac:dyDescent="0.25">
      <c r="A102" s="291"/>
      <c r="B102" s="793"/>
      <c r="C102" s="794"/>
      <c r="D102" s="795"/>
      <c r="E102" s="292"/>
      <c r="F102" s="293"/>
    </row>
    <row r="103" spans="1:6" ht="18.600000000000001" customHeight="1" x14ac:dyDescent="0.25">
      <c r="A103" s="237" t="s">
        <v>987</v>
      </c>
      <c r="B103" s="294" t="s">
        <v>884</v>
      </c>
      <c r="C103" s="295" t="s">
        <v>13</v>
      </c>
      <c r="D103" s="275">
        <v>45566</v>
      </c>
      <c r="E103" s="235"/>
      <c r="F103" s="238">
        <f>SUM(F105:F107)/3</f>
        <v>1818</v>
      </c>
    </row>
    <row r="104" spans="1:6" x14ac:dyDescent="0.25">
      <c r="A104" s="239" t="s">
        <v>314</v>
      </c>
      <c r="B104" s="120" t="s">
        <v>315</v>
      </c>
      <c r="C104" s="122" t="s">
        <v>316</v>
      </c>
      <c r="D104" s="122" t="s">
        <v>317</v>
      </c>
      <c r="E104" s="240" t="s">
        <v>318</v>
      </c>
      <c r="F104" s="241" t="s">
        <v>319</v>
      </c>
    </row>
    <row r="105" spans="1:6" x14ac:dyDescent="0.25">
      <c r="A105" s="252" t="s">
        <v>890</v>
      </c>
      <c r="B105" s="246" t="s">
        <v>888</v>
      </c>
      <c r="C105" s="247" t="s">
        <v>889</v>
      </c>
      <c r="D105" s="248" t="s">
        <v>900</v>
      </c>
      <c r="E105" s="273">
        <v>45617</v>
      </c>
      <c r="F105" s="274">
        <v>1099</v>
      </c>
    </row>
    <row r="106" spans="1:6" x14ac:dyDescent="0.25">
      <c r="A106" s="242" t="s">
        <v>892</v>
      </c>
      <c r="B106" s="243" t="s">
        <v>891</v>
      </c>
      <c r="C106" s="244" t="s">
        <v>893</v>
      </c>
      <c r="D106" s="245" t="s">
        <v>894</v>
      </c>
      <c r="E106" s="273">
        <v>45617</v>
      </c>
      <c r="F106" s="276">
        <v>3200</v>
      </c>
    </row>
    <row r="107" spans="1:6" ht="13.8" thickBot="1" x14ac:dyDescent="0.3">
      <c r="A107" s="811" t="s">
        <v>895</v>
      </c>
      <c r="B107" s="812" t="s">
        <v>896</v>
      </c>
      <c r="C107" s="813" t="s">
        <v>897</v>
      </c>
      <c r="D107" s="814" t="s">
        <v>898</v>
      </c>
      <c r="E107" s="815">
        <v>45617</v>
      </c>
      <c r="F107" s="816">
        <v>1155</v>
      </c>
    </row>
    <row r="110" spans="1:6" x14ac:dyDescent="0.25">
      <c r="B110" s="61" t="s">
        <v>49</v>
      </c>
    </row>
    <row r="111" spans="1:6" x14ac:dyDescent="0.25">
      <c r="B111" s="72" t="s">
        <v>44</v>
      </c>
    </row>
    <row r="112" spans="1:6" ht="13.8" x14ac:dyDescent="0.25">
      <c r="B112" s="73" t="s">
        <v>45</v>
      </c>
    </row>
  </sheetData>
  <mergeCells count="3">
    <mergeCell ref="A12:F12"/>
    <mergeCell ref="A1:F1"/>
    <mergeCell ref="A18:F18"/>
  </mergeCells>
  <pageMargins left="0.39370078740157483" right="0" top="0.59055118110236227" bottom="0" header="0" footer="0"/>
  <pageSetup paperSize="9" scale="75" orientation="portrait" horizontalDpi="300" verticalDpi="300" r:id="rId1"/>
  <rowBreaks count="1" manualBreakCount="1">
    <brk id="72"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138"/>
  <sheetViews>
    <sheetView view="pageBreakPreview" topLeftCell="A118" zoomScale="70" zoomScaleNormal="100" zoomScaleSheetLayoutView="70" workbookViewId="0">
      <selection activeCell="J132" sqref="A132:J206"/>
    </sheetView>
  </sheetViews>
  <sheetFormatPr defaultColWidth="9.109375" defaultRowHeight="14.4" x14ac:dyDescent="0.3"/>
  <cols>
    <col min="1" max="6" width="18.6640625" style="140" customWidth="1"/>
    <col min="7" max="7" width="27.5546875" style="140" customWidth="1"/>
    <col min="8" max="11" width="18.6640625" style="140" customWidth="1"/>
    <col min="12" max="12" width="19.6640625" style="140" customWidth="1"/>
    <col min="13" max="13" width="17.6640625" style="140" customWidth="1"/>
    <col min="14" max="14" width="13.109375" style="140" customWidth="1"/>
    <col min="15" max="15" width="14.6640625" style="140" customWidth="1"/>
    <col min="16" max="256" width="9.109375" style="140"/>
    <col min="257" max="267" width="18.6640625" style="140" customWidth="1"/>
    <col min="268" max="268" width="19.6640625" style="140" customWidth="1"/>
    <col min="269" max="269" width="17.6640625" style="140" customWidth="1"/>
    <col min="270" max="270" width="13.109375" style="140" customWidth="1"/>
    <col min="271" max="271" width="14.6640625" style="140" customWidth="1"/>
    <col min="272" max="512" width="9.109375" style="140"/>
    <col min="513" max="523" width="18.6640625" style="140" customWidth="1"/>
    <col min="524" max="524" width="19.6640625" style="140" customWidth="1"/>
    <col min="525" max="525" width="17.6640625" style="140" customWidth="1"/>
    <col min="526" max="526" width="13.109375" style="140" customWidth="1"/>
    <col min="527" max="527" width="14.6640625" style="140" customWidth="1"/>
    <col min="528" max="768" width="9.109375" style="140"/>
    <col min="769" max="779" width="18.6640625" style="140" customWidth="1"/>
    <col min="780" max="780" width="19.6640625" style="140" customWidth="1"/>
    <col min="781" max="781" width="17.6640625" style="140" customWidth="1"/>
    <col min="782" max="782" width="13.109375" style="140" customWidth="1"/>
    <col min="783" max="783" width="14.6640625" style="140" customWidth="1"/>
    <col min="784" max="1024" width="9.109375" style="140"/>
    <col min="1025" max="1035" width="18.6640625" style="140" customWidth="1"/>
    <col min="1036" max="1036" width="19.6640625" style="140" customWidth="1"/>
    <col min="1037" max="1037" width="17.6640625" style="140" customWidth="1"/>
    <col min="1038" max="1038" width="13.109375" style="140" customWidth="1"/>
    <col min="1039" max="1039" width="14.6640625" style="140" customWidth="1"/>
    <col min="1040" max="1280" width="9.109375" style="140"/>
    <col min="1281" max="1291" width="18.6640625" style="140" customWidth="1"/>
    <col min="1292" max="1292" width="19.6640625" style="140" customWidth="1"/>
    <col min="1293" max="1293" width="17.6640625" style="140" customWidth="1"/>
    <col min="1294" max="1294" width="13.109375" style="140" customWidth="1"/>
    <col min="1295" max="1295" width="14.6640625" style="140" customWidth="1"/>
    <col min="1296" max="1536" width="9.109375" style="140"/>
    <col min="1537" max="1547" width="18.6640625" style="140" customWidth="1"/>
    <col min="1548" max="1548" width="19.6640625" style="140" customWidth="1"/>
    <col min="1549" max="1549" width="17.6640625" style="140" customWidth="1"/>
    <col min="1550" max="1550" width="13.109375" style="140" customWidth="1"/>
    <col min="1551" max="1551" width="14.6640625" style="140" customWidth="1"/>
    <col min="1552" max="1792" width="9.109375" style="140"/>
    <col min="1793" max="1803" width="18.6640625" style="140" customWidth="1"/>
    <col min="1804" max="1804" width="19.6640625" style="140" customWidth="1"/>
    <col min="1805" max="1805" width="17.6640625" style="140" customWidth="1"/>
    <col min="1806" max="1806" width="13.109375" style="140" customWidth="1"/>
    <col min="1807" max="1807" width="14.6640625" style="140" customWidth="1"/>
    <col min="1808" max="2048" width="9.109375" style="140"/>
    <col min="2049" max="2059" width="18.6640625" style="140" customWidth="1"/>
    <col min="2060" max="2060" width="19.6640625" style="140" customWidth="1"/>
    <col min="2061" max="2061" width="17.6640625" style="140" customWidth="1"/>
    <col min="2062" max="2062" width="13.109375" style="140" customWidth="1"/>
    <col min="2063" max="2063" width="14.6640625" style="140" customWidth="1"/>
    <col min="2064" max="2304" width="9.109375" style="140"/>
    <col min="2305" max="2315" width="18.6640625" style="140" customWidth="1"/>
    <col min="2316" max="2316" width="19.6640625" style="140" customWidth="1"/>
    <col min="2317" max="2317" width="17.6640625" style="140" customWidth="1"/>
    <col min="2318" max="2318" width="13.109375" style="140" customWidth="1"/>
    <col min="2319" max="2319" width="14.6640625" style="140" customWidth="1"/>
    <col min="2320" max="2560" width="9.109375" style="140"/>
    <col min="2561" max="2571" width="18.6640625" style="140" customWidth="1"/>
    <col min="2572" max="2572" width="19.6640625" style="140" customWidth="1"/>
    <col min="2573" max="2573" width="17.6640625" style="140" customWidth="1"/>
    <col min="2574" max="2574" width="13.109375" style="140" customWidth="1"/>
    <col min="2575" max="2575" width="14.6640625" style="140" customWidth="1"/>
    <col min="2576" max="2816" width="9.109375" style="140"/>
    <col min="2817" max="2827" width="18.6640625" style="140" customWidth="1"/>
    <col min="2828" max="2828" width="19.6640625" style="140" customWidth="1"/>
    <col min="2829" max="2829" width="17.6640625" style="140" customWidth="1"/>
    <col min="2830" max="2830" width="13.109375" style="140" customWidth="1"/>
    <col min="2831" max="2831" width="14.6640625" style="140" customWidth="1"/>
    <col min="2832" max="3072" width="9.109375" style="140"/>
    <col min="3073" max="3083" width="18.6640625" style="140" customWidth="1"/>
    <col min="3084" max="3084" width="19.6640625" style="140" customWidth="1"/>
    <col min="3085" max="3085" width="17.6640625" style="140" customWidth="1"/>
    <col min="3086" max="3086" width="13.109375" style="140" customWidth="1"/>
    <col min="3087" max="3087" width="14.6640625" style="140" customWidth="1"/>
    <col min="3088" max="3328" width="9.109375" style="140"/>
    <col min="3329" max="3339" width="18.6640625" style="140" customWidth="1"/>
    <col min="3340" max="3340" width="19.6640625" style="140" customWidth="1"/>
    <col min="3341" max="3341" width="17.6640625" style="140" customWidth="1"/>
    <col min="3342" max="3342" width="13.109375" style="140" customWidth="1"/>
    <col min="3343" max="3343" width="14.6640625" style="140" customWidth="1"/>
    <col min="3344" max="3584" width="9.109375" style="140"/>
    <col min="3585" max="3595" width="18.6640625" style="140" customWidth="1"/>
    <col min="3596" max="3596" width="19.6640625" style="140" customWidth="1"/>
    <col min="3597" max="3597" width="17.6640625" style="140" customWidth="1"/>
    <col min="3598" max="3598" width="13.109375" style="140" customWidth="1"/>
    <col min="3599" max="3599" width="14.6640625" style="140" customWidth="1"/>
    <col min="3600" max="3840" width="9.109375" style="140"/>
    <col min="3841" max="3851" width="18.6640625" style="140" customWidth="1"/>
    <col min="3852" max="3852" width="19.6640625" style="140" customWidth="1"/>
    <col min="3853" max="3853" width="17.6640625" style="140" customWidth="1"/>
    <col min="3854" max="3854" width="13.109375" style="140" customWidth="1"/>
    <col min="3855" max="3855" width="14.6640625" style="140" customWidth="1"/>
    <col min="3856" max="4096" width="9.109375" style="140"/>
    <col min="4097" max="4107" width="18.6640625" style="140" customWidth="1"/>
    <col min="4108" max="4108" width="19.6640625" style="140" customWidth="1"/>
    <col min="4109" max="4109" width="17.6640625" style="140" customWidth="1"/>
    <col min="4110" max="4110" width="13.109375" style="140" customWidth="1"/>
    <col min="4111" max="4111" width="14.6640625" style="140" customWidth="1"/>
    <col min="4112" max="4352" width="9.109375" style="140"/>
    <col min="4353" max="4363" width="18.6640625" style="140" customWidth="1"/>
    <col min="4364" max="4364" width="19.6640625" style="140" customWidth="1"/>
    <col min="4365" max="4365" width="17.6640625" style="140" customWidth="1"/>
    <col min="4366" max="4366" width="13.109375" style="140" customWidth="1"/>
    <col min="4367" max="4367" width="14.6640625" style="140" customWidth="1"/>
    <col min="4368" max="4608" width="9.109375" style="140"/>
    <col min="4609" max="4619" width="18.6640625" style="140" customWidth="1"/>
    <col min="4620" max="4620" width="19.6640625" style="140" customWidth="1"/>
    <col min="4621" max="4621" width="17.6640625" style="140" customWidth="1"/>
    <col min="4622" max="4622" width="13.109375" style="140" customWidth="1"/>
    <col min="4623" max="4623" width="14.6640625" style="140" customWidth="1"/>
    <col min="4624" max="4864" width="9.109375" style="140"/>
    <col min="4865" max="4875" width="18.6640625" style="140" customWidth="1"/>
    <col min="4876" max="4876" width="19.6640625" style="140" customWidth="1"/>
    <col min="4877" max="4877" width="17.6640625" style="140" customWidth="1"/>
    <col min="4878" max="4878" width="13.109375" style="140" customWidth="1"/>
    <col min="4879" max="4879" width="14.6640625" style="140" customWidth="1"/>
    <col min="4880" max="5120" width="9.109375" style="140"/>
    <col min="5121" max="5131" width="18.6640625" style="140" customWidth="1"/>
    <col min="5132" max="5132" width="19.6640625" style="140" customWidth="1"/>
    <col min="5133" max="5133" width="17.6640625" style="140" customWidth="1"/>
    <col min="5134" max="5134" width="13.109375" style="140" customWidth="1"/>
    <col min="5135" max="5135" width="14.6640625" style="140" customWidth="1"/>
    <col min="5136" max="5376" width="9.109375" style="140"/>
    <col min="5377" max="5387" width="18.6640625" style="140" customWidth="1"/>
    <col min="5388" max="5388" width="19.6640625" style="140" customWidth="1"/>
    <col min="5389" max="5389" width="17.6640625" style="140" customWidth="1"/>
    <col min="5390" max="5390" width="13.109375" style="140" customWidth="1"/>
    <col min="5391" max="5391" width="14.6640625" style="140" customWidth="1"/>
    <col min="5392" max="5632" width="9.109375" style="140"/>
    <col min="5633" max="5643" width="18.6640625" style="140" customWidth="1"/>
    <col min="5644" max="5644" width="19.6640625" style="140" customWidth="1"/>
    <col min="5645" max="5645" width="17.6640625" style="140" customWidth="1"/>
    <col min="5646" max="5646" width="13.109375" style="140" customWidth="1"/>
    <col min="5647" max="5647" width="14.6640625" style="140" customWidth="1"/>
    <col min="5648" max="5888" width="9.109375" style="140"/>
    <col min="5889" max="5899" width="18.6640625" style="140" customWidth="1"/>
    <col min="5900" max="5900" width="19.6640625" style="140" customWidth="1"/>
    <col min="5901" max="5901" width="17.6640625" style="140" customWidth="1"/>
    <col min="5902" max="5902" width="13.109375" style="140" customWidth="1"/>
    <col min="5903" max="5903" width="14.6640625" style="140" customWidth="1"/>
    <col min="5904" max="6144" width="9.109375" style="140"/>
    <col min="6145" max="6155" width="18.6640625" style="140" customWidth="1"/>
    <col min="6156" max="6156" width="19.6640625" style="140" customWidth="1"/>
    <col min="6157" max="6157" width="17.6640625" style="140" customWidth="1"/>
    <col min="6158" max="6158" width="13.109375" style="140" customWidth="1"/>
    <col min="6159" max="6159" width="14.6640625" style="140" customWidth="1"/>
    <col min="6160" max="6400" width="9.109375" style="140"/>
    <col min="6401" max="6411" width="18.6640625" style="140" customWidth="1"/>
    <col min="6412" max="6412" width="19.6640625" style="140" customWidth="1"/>
    <col min="6413" max="6413" width="17.6640625" style="140" customWidth="1"/>
    <col min="6414" max="6414" width="13.109375" style="140" customWidth="1"/>
    <col min="6415" max="6415" width="14.6640625" style="140" customWidth="1"/>
    <col min="6416" max="6656" width="9.109375" style="140"/>
    <col min="6657" max="6667" width="18.6640625" style="140" customWidth="1"/>
    <col min="6668" max="6668" width="19.6640625" style="140" customWidth="1"/>
    <col min="6669" max="6669" width="17.6640625" style="140" customWidth="1"/>
    <col min="6670" max="6670" width="13.109375" style="140" customWidth="1"/>
    <col min="6671" max="6671" width="14.6640625" style="140" customWidth="1"/>
    <col min="6672" max="6912" width="9.109375" style="140"/>
    <col min="6913" max="6923" width="18.6640625" style="140" customWidth="1"/>
    <col min="6924" max="6924" width="19.6640625" style="140" customWidth="1"/>
    <col min="6925" max="6925" width="17.6640625" style="140" customWidth="1"/>
    <col min="6926" max="6926" width="13.109375" style="140" customWidth="1"/>
    <col min="6927" max="6927" width="14.6640625" style="140" customWidth="1"/>
    <col min="6928" max="7168" width="9.109375" style="140"/>
    <col min="7169" max="7179" width="18.6640625" style="140" customWidth="1"/>
    <col min="7180" max="7180" width="19.6640625" style="140" customWidth="1"/>
    <col min="7181" max="7181" width="17.6640625" style="140" customWidth="1"/>
    <col min="7182" max="7182" width="13.109375" style="140" customWidth="1"/>
    <col min="7183" max="7183" width="14.6640625" style="140" customWidth="1"/>
    <col min="7184" max="7424" width="9.109375" style="140"/>
    <col min="7425" max="7435" width="18.6640625" style="140" customWidth="1"/>
    <col min="7436" max="7436" width="19.6640625" style="140" customWidth="1"/>
    <col min="7437" max="7437" width="17.6640625" style="140" customWidth="1"/>
    <col min="7438" max="7438" width="13.109375" style="140" customWidth="1"/>
    <col min="7439" max="7439" width="14.6640625" style="140" customWidth="1"/>
    <col min="7440" max="7680" width="9.109375" style="140"/>
    <col min="7681" max="7691" width="18.6640625" style="140" customWidth="1"/>
    <col min="7692" max="7692" width="19.6640625" style="140" customWidth="1"/>
    <col min="7693" max="7693" width="17.6640625" style="140" customWidth="1"/>
    <col min="7694" max="7694" width="13.109375" style="140" customWidth="1"/>
    <col min="7695" max="7695" width="14.6640625" style="140" customWidth="1"/>
    <col min="7696" max="7936" width="9.109375" style="140"/>
    <col min="7937" max="7947" width="18.6640625" style="140" customWidth="1"/>
    <col min="7948" max="7948" width="19.6640625" style="140" customWidth="1"/>
    <col min="7949" max="7949" width="17.6640625" style="140" customWidth="1"/>
    <col min="7950" max="7950" width="13.109375" style="140" customWidth="1"/>
    <col min="7951" max="7951" width="14.6640625" style="140" customWidth="1"/>
    <col min="7952" max="8192" width="9.109375" style="140"/>
    <col min="8193" max="8203" width="18.6640625" style="140" customWidth="1"/>
    <col min="8204" max="8204" width="19.6640625" style="140" customWidth="1"/>
    <col min="8205" max="8205" width="17.6640625" style="140" customWidth="1"/>
    <col min="8206" max="8206" width="13.109375" style="140" customWidth="1"/>
    <col min="8207" max="8207" width="14.6640625" style="140" customWidth="1"/>
    <col min="8208" max="8448" width="9.109375" style="140"/>
    <col min="8449" max="8459" width="18.6640625" style="140" customWidth="1"/>
    <col min="8460" max="8460" width="19.6640625" style="140" customWidth="1"/>
    <col min="8461" max="8461" width="17.6640625" style="140" customWidth="1"/>
    <col min="8462" max="8462" width="13.109375" style="140" customWidth="1"/>
    <col min="8463" max="8463" width="14.6640625" style="140" customWidth="1"/>
    <col min="8464" max="8704" width="9.109375" style="140"/>
    <col min="8705" max="8715" width="18.6640625" style="140" customWidth="1"/>
    <col min="8716" max="8716" width="19.6640625" style="140" customWidth="1"/>
    <col min="8717" max="8717" width="17.6640625" style="140" customWidth="1"/>
    <col min="8718" max="8718" width="13.109375" style="140" customWidth="1"/>
    <col min="8719" max="8719" width="14.6640625" style="140" customWidth="1"/>
    <col min="8720" max="8960" width="9.109375" style="140"/>
    <col min="8961" max="8971" width="18.6640625" style="140" customWidth="1"/>
    <col min="8972" max="8972" width="19.6640625" style="140" customWidth="1"/>
    <col min="8973" max="8973" width="17.6640625" style="140" customWidth="1"/>
    <col min="8974" max="8974" width="13.109375" style="140" customWidth="1"/>
    <col min="8975" max="8975" width="14.6640625" style="140" customWidth="1"/>
    <col min="8976" max="9216" width="9.109375" style="140"/>
    <col min="9217" max="9227" width="18.6640625" style="140" customWidth="1"/>
    <col min="9228" max="9228" width="19.6640625" style="140" customWidth="1"/>
    <col min="9229" max="9229" width="17.6640625" style="140" customWidth="1"/>
    <col min="9230" max="9230" width="13.109375" style="140" customWidth="1"/>
    <col min="9231" max="9231" width="14.6640625" style="140" customWidth="1"/>
    <col min="9232" max="9472" width="9.109375" style="140"/>
    <col min="9473" max="9483" width="18.6640625" style="140" customWidth="1"/>
    <col min="9484" max="9484" width="19.6640625" style="140" customWidth="1"/>
    <col min="9485" max="9485" width="17.6640625" style="140" customWidth="1"/>
    <col min="9486" max="9486" width="13.109375" style="140" customWidth="1"/>
    <col min="9487" max="9487" width="14.6640625" style="140" customWidth="1"/>
    <col min="9488" max="9728" width="9.109375" style="140"/>
    <col min="9729" max="9739" width="18.6640625" style="140" customWidth="1"/>
    <col min="9740" max="9740" width="19.6640625" style="140" customWidth="1"/>
    <col min="9741" max="9741" width="17.6640625" style="140" customWidth="1"/>
    <col min="9742" max="9742" width="13.109375" style="140" customWidth="1"/>
    <col min="9743" max="9743" width="14.6640625" style="140" customWidth="1"/>
    <col min="9744" max="9984" width="9.109375" style="140"/>
    <col min="9985" max="9995" width="18.6640625" style="140" customWidth="1"/>
    <col min="9996" max="9996" width="19.6640625" style="140" customWidth="1"/>
    <col min="9997" max="9997" width="17.6640625" style="140" customWidth="1"/>
    <col min="9998" max="9998" width="13.109375" style="140" customWidth="1"/>
    <col min="9999" max="9999" width="14.6640625" style="140" customWidth="1"/>
    <col min="10000" max="10240" width="9.109375" style="140"/>
    <col min="10241" max="10251" width="18.6640625" style="140" customWidth="1"/>
    <col min="10252" max="10252" width="19.6640625" style="140" customWidth="1"/>
    <col min="10253" max="10253" width="17.6640625" style="140" customWidth="1"/>
    <col min="10254" max="10254" width="13.109375" style="140" customWidth="1"/>
    <col min="10255" max="10255" width="14.6640625" style="140" customWidth="1"/>
    <col min="10256" max="10496" width="9.109375" style="140"/>
    <col min="10497" max="10507" width="18.6640625" style="140" customWidth="1"/>
    <col min="10508" max="10508" width="19.6640625" style="140" customWidth="1"/>
    <col min="10509" max="10509" width="17.6640625" style="140" customWidth="1"/>
    <col min="10510" max="10510" width="13.109375" style="140" customWidth="1"/>
    <col min="10511" max="10511" width="14.6640625" style="140" customWidth="1"/>
    <col min="10512" max="10752" width="9.109375" style="140"/>
    <col min="10753" max="10763" width="18.6640625" style="140" customWidth="1"/>
    <col min="10764" max="10764" width="19.6640625" style="140" customWidth="1"/>
    <col min="10765" max="10765" width="17.6640625" style="140" customWidth="1"/>
    <col min="10766" max="10766" width="13.109375" style="140" customWidth="1"/>
    <col min="10767" max="10767" width="14.6640625" style="140" customWidth="1"/>
    <col min="10768" max="11008" width="9.109375" style="140"/>
    <col min="11009" max="11019" width="18.6640625" style="140" customWidth="1"/>
    <col min="11020" max="11020" width="19.6640625" style="140" customWidth="1"/>
    <col min="11021" max="11021" width="17.6640625" style="140" customWidth="1"/>
    <col min="11022" max="11022" width="13.109375" style="140" customWidth="1"/>
    <col min="11023" max="11023" width="14.6640625" style="140" customWidth="1"/>
    <col min="11024" max="11264" width="9.109375" style="140"/>
    <col min="11265" max="11275" width="18.6640625" style="140" customWidth="1"/>
    <col min="11276" max="11276" width="19.6640625" style="140" customWidth="1"/>
    <col min="11277" max="11277" width="17.6640625" style="140" customWidth="1"/>
    <col min="11278" max="11278" width="13.109375" style="140" customWidth="1"/>
    <col min="11279" max="11279" width="14.6640625" style="140" customWidth="1"/>
    <col min="11280" max="11520" width="9.109375" style="140"/>
    <col min="11521" max="11531" width="18.6640625" style="140" customWidth="1"/>
    <col min="11532" max="11532" width="19.6640625" style="140" customWidth="1"/>
    <col min="11533" max="11533" width="17.6640625" style="140" customWidth="1"/>
    <col min="11534" max="11534" width="13.109375" style="140" customWidth="1"/>
    <col min="11535" max="11535" width="14.6640625" style="140" customWidth="1"/>
    <col min="11536" max="11776" width="9.109375" style="140"/>
    <col min="11777" max="11787" width="18.6640625" style="140" customWidth="1"/>
    <col min="11788" max="11788" width="19.6640625" style="140" customWidth="1"/>
    <col min="11789" max="11789" width="17.6640625" style="140" customWidth="1"/>
    <col min="11790" max="11790" width="13.109375" style="140" customWidth="1"/>
    <col min="11791" max="11791" width="14.6640625" style="140" customWidth="1"/>
    <col min="11792" max="12032" width="9.109375" style="140"/>
    <col min="12033" max="12043" width="18.6640625" style="140" customWidth="1"/>
    <col min="12044" max="12044" width="19.6640625" style="140" customWidth="1"/>
    <col min="12045" max="12045" width="17.6640625" style="140" customWidth="1"/>
    <col min="12046" max="12046" width="13.109375" style="140" customWidth="1"/>
    <col min="12047" max="12047" width="14.6640625" style="140" customWidth="1"/>
    <col min="12048" max="12288" width="9.109375" style="140"/>
    <col min="12289" max="12299" width="18.6640625" style="140" customWidth="1"/>
    <col min="12300" max="12300" width="19.6640625" style="140" customWidth="1"/>
    <col min="12301" max="12301" width="17.6640625" style="140" customWidth="1"/>
    <col min="12302" max="12302" width="13.109375" style="140" customWidth="1"/>
    <col min="12303" max="12303" width="14.6640625" style="140" customWidth="1"/>
    <col min="12304" max="12544" width="9.109375" style="140"/>
    <col min="12545" max="12555" width="18.6640625" style="140" customWidth="1"/>
    <col min="12556" max="12556" width="19.6640625" style="140" customWidth="1"/>
    <col min="12557" max="12557" width="17.6640625" style="140" customWidth="1"/>
    <col min="12558" max="12558" width="13.109375" style="140" customWidth="1"/>
    <col min="12559" max="12559" width="14.6640625" style="140" customWidth="1"/>
    <col min="12560" max="12800" width="9.109375" style="140"/>
    <col min="12801" max="12811" width="18.6640625" style="140" customWidth="1"/>
    <col min="12812" max="12812" width="19.6640625" style="140" customWidth="1"/>
    <col min="12813" max="12813" width="17.6640625" style="140" customWidth="1"/>
    <col min="12814" max="12814" width="13.109375" style="140" customWidth="1"/>
    <col min="12815" max="12815" width="14.6640625" style="140" customWidth="1"/>
    <col min="12816" max="13056" width="9.109375" style="140"/>
    <col min="13057" max="13067" width="18.6640625" style="140" customWidth="1"/>
    <col min="13068" max="13068" width="19.6640625" style="140" customWidth="1"/>
    <col min="13069" max="13069" width="17.6640625" style="140" customWidth="1"/>
    <col min="13070" max="13070" width="13.109375" style="140" customWidth="1"/>
    <col min="13071" max="13071" width="14.6640625" style="140" customWidth="1"/>
    <col min="13072" max="13312" width="9.109375" style="140"/>
    <col min="13313" max="13323" width="18.6640625" style="140" customWidth="1"/>
    <col min="13324" max="13324" width="19.6640625" style="140" customWidth="1"/>
    <col min="13325" max="13325" width="17.6640625" style="140" customWidth="1"/>
    <col min="13326" max="13326" width="13.109375" style="140" customWidth="1"/>
    <col min="13327" max="13327" width="14.6640625" style="140" customWidth="1"/>
    <col min="13328" max="13568" width="9.109375" style="140"/>
    <col min="13569" max="13579" width="18.6640625" style="140" customWidth="1"/>
    <col min="13580" max="13580" width="19.6640625" style="140" customWidth="1"/>
    <col min="13581" max="13581" width="17.6640625" style="140" customWidth="1"/>
    <col min="13582" max="13582" width="13.109375" style="140" customWidth="1"/>
    <col min="13583" max="13583" width="14.6640625" style="140" customWidth="1"/>
    <col min="13584" max="13824" width="9.109375" style="140"/>
    <col min="13825" max="13835" width="18.6640625" style="140" customWidth="1"/>
    <col min="13836" max="13836" width="19.6640625" style="140" customWidth="1"/>
    <col min="13837" max="13837" width="17.6640625" style="140" customWidth="1"/>
    <col min="13838" max="13838" width="13.109375" style="140" customWidth="1"/>
    <col min="13839" max="13839" width="14.6640625" style="140" customWidth="1"/>
    <col min="13840" max="14080" width="9.109375" style="140"/>
    <col min="14081" max="14091" width="18.6640625" style="140" customWidth="1"/>
    <col min="14092" max="14092" width="19.6640625" style="140" customWidth="1"/>
    <col min="14093" max="14093" width="17.6640625" style="140" customWidth="1"/>
    <col min="14094" max="14094" width="13.109375" style="140" customWidth="1"/>
    <col min="14095" max="14095" width="14.6640625" style="140" customWidth="1"/>
    <col min="14096" max="14336" width="9.109375" style="140"/>
    <col min="14337" max="14347" width="18.6640625" style="140" customWidth="1"/>
    <col min="14348" max="14348" width="19.6640625" style="140" customWidth="1"/>
    <col min="14349" max="14349" width="17.6640625" style="140" customWidth="1"/>
    <col min="14350" max="14350" width="13.109375" style="140" customWidth="1"/>
    <col min="14351" max="14351" width="14.6640625" style="140" customWidth="1"/>
    <col min="14352" max="14592" width="9.109375" style="140"/>
    <col min="14593" max="14603" width="18.6640625" style="140" customWidth="1"/>
    <col min="14604" max="14604" width="19.6640625" style="140" customWidth="1"/>
    <col min="14605" max="14605" width="17.6640625" style="140" customWidth="1"/>
    <col min="14606" max="14606" width="13.109375" style="140" customWidth="1"/>
    <col min="14607" max="14607" width="14.6640625" style="140" customWidth="1"/>
    <col min="14608" max="14848" width="9.109375" style="140"/>
    <col min="14849" max="14859" width="18.6640625" style="140" customWidth="1"/>
    <col min="14860" max="14860" width="19.6640625" style="140" customWidth="1"/>
    <col min="14861" max="14861" width="17.6640625" style="140" customWidth="1"/>
    <col min="14862" max="14862" width="13.109375" style="140" customWidth="1"/>
    <col min="14863" max="14863" width="14.6640625" style="140" customWidth="1"/>
    <col min="14864" max="15104" width="9.109375" style="140"/>
    <col min="15105" max="15115" width="18.6640625" style="140" customWidth="1"/>
    <col min="15116" max="15116" width="19.6640625" style="140" customWidth="1"/>
    <col min="15117" max="15117" width="17.6640625" style="140" customWidth="1"/>
    <col min="15118" max="15118" width="13.109375" style="140" customWidth="1"/>
    <col min="15119" max="15119" width="14.6640625" style="140" customWidth="1"/>
    <col min="15120" max="15360" width="9.109375" style="140"/>
    <col min="15361" max="15371" width="18.6640625" style="140" customWidth="1"/>
    <col min="15372" max="15372" width="19.6640625" style="140" customWidth="1"/>
    <col min="15373" max="15373" width="17.6640625" style="140" customWidth="1"/>
    <col min="15374" max="15374" width="13.109375" style="140" customWidth="1"/>
    <col min="15375" max="15375" width="14.6640625" style="140" customWidth="1"/>
    <col min="15376" max="15616" width="9.109375" style="140"/>
    <col min="15617" max="15627" width="18.6640625" style="140" customWidth="1"/>
    <col min="15628" max="15628" width="19.6640625" style="140" customWidth="1"/>
    <col min="15629" max="15629" width="17.6640625" style="140" customWidth="1"/>
    <col min="15630" max="15630" width="13.109375" style="140" customWidth="1"/>
    <col min="15631" max="15631" width="14.6640625" style="140" customWidth="1"/>
    <col min="15632" max="15872" width="9.109375" style="140"/>
    <col min="15873" max="15883" width="18.6640625" style="140" customWidth="1"/>
    <col min="15884" max="15884" width="19.6640625" style="140" customWidth="1"/>
    <col min="15885" max="15885" width="17.6640625" style="140" customWidth="1"/>
    <col min="15886" max="15886" width="13.109375" style="140" customWidth="1"/>
    <col min="15887" max="15887" width="14.6640625" style="140" customWidth="1"/>
    <col min="15888" max="16128" width="9.109375" style="140"/>
    <col min="16129" max="16139" width="18.6640625" style="140" customWidth="1"/>
    <col min="16140" max="16140" width="19.6640625" style="140" customWidth="1"/>
    <col min="16141" max="16141" width="17.6640625" style="140" customWidth="1"/>
    <col min="16142" max="16142" width="13.109375" style="140" customWidth="1"/>
    <col min="16143" max="16143" width="14.6640625" style="140" customWidth="1"/>
    <col min="16144" max="16384" width="9.109375" style="140"/>
  </cols>
  <sheetData>
    <row r="1" spans="1:13" ht="18.600000000000001" thickBot="1" x14ac:dyDescent="0.4">
      <c r="A1" s="709" t="s">
        <v>139</v>
      </c>
      <c r="B1" s="710"/>
      <c r="C1" s="710"/>
      <c r="D1" s="710"/>
      <c r="E1" s="710"/>
      <c r="F1" s="710"/>
      <c r="G1" s="710"/>
      <c r="H1" s="710"/>
      <c r="I1" s="710"/>
      <c r="J1" s="710"/>
      <c r="K1" s="711"/>
    </row>
    <row r="2" spans="1:13" x14ac:dyDescent="0.3">
      <c r="A2" s="712" t="str">
        <f>'PLANILHA ORÇAMENTARIA'!A2:E2</f>
        <v>PREFEITURA: Prefeitura Municipal de Bom Jardim de Minas - MG</v>
      </c>
      <c r="B2" s="713"/>
      <c r="C2" s="713"/>
      <c r="D2" s="713"/>
      <c r="E2" s="713"/>
      <c r="F2" s="713"/>
      <c r="G2" s="713"/>
      <c r="H2" s="713"/>
      <c r="I2" s="713"/>
      <c r="J2" s="713"/>
      <c r="K2" s="714"/>
    </row>
    <row r="3" spans="1:13" x14ac:dyDescent="0.3">
      <c r="A3" s="715" t="str">
        <f>'PLANILHA ORÇAMENTARIA'!A3:E3</f>
        <v>OBRA: CONSTRUÇÃO DA SEDE  DO SERVIÇO DE ATENDIMENTO MOVEL - SAMU</v>
      </c>
      <c r="B3" s="817"/>
      <c r="C3" s="817"/>
      <c r="D3" s="817"/>
      <c r="E3" s="817"/>
      <c r="F3" s="817"/>
      <c r="G3" s="817"/>
      <c r="H3" s="817"/>
      <c r="I3" s="817"/>
      <c r="J3" s="817"/>
      <c r="K3" s="716"/>
    </row>
    <row r="4" spans="1:13" ht="15" thickBot="1" x14ac:dyDescent="0.35">
      <c r="A4" s="717" t="str">
        <f>'PLANILHA ORÇAMENTARIA'!A4:E4</f>
        <v>LOCAL:  Rua José Nogueira de Paula  - Lt nº 115, Bairro Hospital - Bom Jardim de Minas / MG</v>
      </c>
      <c r="B4" s="718"/>
      <c r="C4" s="718"/>
      <c r="D4" s="718"/>
      <c r="E4" s="718"/>
      <c r="F4" s="718"/>
      <c r="G4" s="718"/>
      <c r="H4" s="718"/>
      <c r="I4" s="718"/>
      <c r="J4" s="718"/>
      <c r="K4" s="719"/>
    </row>
    <row r="5" spans="1:13" ht="15" thickBot="1" x14ac:dyDescent="0.35">
      <c r="A5" s="141"/>
      <c r="B5" s="818"/>
      <c r="C5" s="818"/>
      <c r="D5" s="818"/>
      <c r="E5" s="818"/>
      <c r="F5" s="818"/>
      <c r="G5" s="818"/>
      <c r="H5" s="818"/>
      <c r="I5" s="818"/>
      <c r="J5" s="818"/>
      <c r="K5" s="542"/>
    </row>
    <row r="6" spans="1:13" ht="18.600000000000001" thickBot="1" x14ac:dyDescent="0.4">
      <c r="A6" s="720" t="str">
        <f>'PLANILHA ORÇAMENTARIA'!A3:E3</f>
        <v>OBRA: CONSTRUÇÃO DA SEDE  DO SERVIÇO DE ATENDIMENTO MOVEL - SAMU</v>
      </c>
      <c r="B6" s="721"/>
      <c r="C6" s="721"/>
      <c r="D6" s="721"/>
      <c r="E6" s="721"/>
      <c r="F6" s="721"/>
      <c r="G6" s="721"/>
      <c r="H6" s="721"/>
      <c r="I6" s="721"/>
      <c r="J6" s="721"/>
      <c r="K6" s="722"/>
    </row>
    <row r="7" spans="1:13" ht="15" thickBot="1" x14ac:dyDescent="0.35">
      <c r="A7" s="142"/>
      <c r="B7" s="143"/>
      <c r="C7" s="143"/>
      <c r="D7" s="143"/>
      <c r="E7" s="818"/>
      <c r="F7" s="818"/>
      <c r="G7" s="818"/>
      <c r="H7" s="818"/>
      <c r="I7" s="818"/>
      <c r="J7" s="818"/>
      <c r="K7" s="542"/>
    </row>
    <row r="8" spans="1:13" ht="15" thickBot="1" x14ac:dyDescent="0.35">
      <c r="A8" s="726" t="s">
        <v>150</v>
      </c>
      <c r="B8" s="727"/>
      <c r="C8" s="727"/>
      <c r="D8" s="728"/>
      <c r="E8" s="144"/>
      <c r="F8" s="144"/>
      <c r="G8" s="144"/>
      <c r="H8" s="144"/>
      <c r="I8" s="144"/>
      <c r="J8" s="145"/>
      <c r="K8" s="543"/>
    </row>
    <row r="9" spans="1:13" ht="32.4" customHeight="1" x14ac:dyDescent="0.3">
      <c r="A9" s="146" t="s">
        <v>1</v>
      </c>
      <c r="B9" s="147" t="s">
        <v>140</v>
      </c>
      <c r="C9" s="147" t="s">
        <v>141</v>
      </c>
      <c r="D9" s="147" t="s">
        <v>142</v>
      </c>
      <c r="E9" s="147" t="s">
        <v>2</v>
      </c>
      <c r="F9" s="148" t="s">
        <v>143</v>
      </c>
      <c r="G9" s="148" t="s">
        <v>144</v>
      </c>
      <c r="H9" s="148" t="s">
        <v>145</v>
      </c>
      <c r="I9" s="148" t="s">
        <v>146</v>
      </c>
      <c r="J9" s="148" t="s">
        <v>147</v>
      </c>
      <c r="K9" s="340" t="s">
        <v>148</v>
      </c>
      <c r="M9" s="149"/>
    </row>
    <row r="10" spans="1:13" ht="18" customHeight="1" x14ac:dyDescent="0.3">
      <c r="A10" s="343" t="s">
        <v>836</v>
      </c>
      <c r="B10" s="150">
        <v>1</v>
      </c>
      <c r="C10" s="150">
        <v>1</v>
      </c>
      <c r="D10" s="150">
        <v>1</v>
      </c>
      <c r="E10" s="150">
        <v>28</v>
      </c>
      <c r="F10" s="150">
        <f>B10*C10*(D10+0.05)*E10</f>
        <v>29.400000000000002</v>
      </c>
      <c r="G10" s="161">
        <f>((B10)*(C10)*0.05)*E10</f>
        <v>1.4000000000000001</v>
      </c>
      <c r="H10" s="151">
        <f>B10*C10*0.4*E10</f>
        <v>11.200000000000001</v>
      </c>
      <c r="I10" s="150">
        <v>0</v>
      </c>
      <c r="J10" s="456">
        <f>(((ROUNDUP(B10/0.15,0))*C10+0.3)+((ROUNDUP(C10/0.15,0))*B10+0.3))*E10*0.617</f>
        <v>252.2296</v>
      </c>
      <c r="K10" s="344">
        <v>0</v>
      </c>
      <c r="M10" s="152"/>
    </row>
    <row r="11" spans="1:13" ht="18" customHeight="1" thickBot="1" x14ac:dyDescent="0.35">
      <c r="A11" s="345" t="s">
        <v>837</v>
      </c>
      <c r="B11" s="346">
        <v>0.8</v>
      </c>
      <c r="C11" s="346">
        <v>1.7</v>
      </c>
      <c r="D11" s="346">
        <v>1</v>
      </c>
      <c r="E11" s="346">
        <v>1</v>
      </c>
      <c r="F11" s="346">
        <f>B11*C11*(D11+0.05)*E11</f>
        <v>1.4280000000000002</v>
      </c>
      <c r="G11" s="342">
        <f>((B11)*(C11)*0.05)*E11</f>
        <v>6.8000000000000005E-2</v>
      </c>
      <c r="H11" s="341">
        <f>B11*C11*0.4*E11</f>
        <v>0.54400000000000004</v>
      </c>
      <c r="I11" s="346">
        <v>0</v>
      </c>
      <c r="J11" s="457">
        <f>(((ROUNDUP(B11/0.12,0))*C11+0.3)+((ROUNDUP(C11/0.12,0))*B11+0.3))*E11*0.617</f>
        <v>15.1165</v>
      </c>
      <c r="K11" s="347">
        <v>0</v>
      </c>
      <c r="M11" s="152"/>
    </row>
    <row r="12" spans="1:13" ht="18" customHeight="1" thickBot="1" x14ac:dyDescent="0.35">
      <c r="A12" s="153"/>
      <c r="B12" s="154"/>
      <c r="C12" s="819" t="s">
        <v>151</v>
      </c>
      <c r="D12" s="820"/>
      <c r="E12" s="821"/>
      <c r="F12" s="822">
        <f>SUM(F10:F11)</f>
        <v>30.828000000000003</v>
      </c>
      <c r="G12" s="822">
        <f>SUM(G10:G11)</f>
        <v>1.4680000000000002</v>
      </c>
      <c r="H12" s="822">
        <f>SUM(H10:H11)</f>
        <v>11.744000000000002</v>
      </c>
      <c r="I12" s="822">
        <f t="shared" ref="I12:K12" si="0">SUM(I11:I11)</f>
        <v>0</v>
      </c>
      <c r="J12" s="822">
        <f>SUM(J10:J11)</f>
        <v>267.34609999999998</v>
      </c>
      <c r="K12" s="822">
        <f t="shared" si="0"/>
        <v>0</v>
      </c>
      <c r="L12" s="155"/>
    </row>
    <row r="13" spans="1:13" ht="15" thickBot="1" x14ac:dyDescent="0.35">
      <c r="A13" s="153"/>
      <c r="B13" s="156"/>
      <c r="C13" s="157"/>
      <c r="D13" s="156"/>
      <c r="E13" s="156"/>
      <c r="F13" s="156"/>
      <c r="G13" s="156"/>
      <c r="H13" s="156"/>
      <c r="I13" s="156"/>
      <c r="J13" s="156"/>
      <c r="K13" s="158"/>
    </row>
    <row r="14" spans="1:13" ht="18" customHeight="1" thickBot="1" x14ac:dyDescent="0.35">
      <c r="A14" s="726" t="s">
        <v>390</v>
      </c>
      <c r="B14" s="727"/>
      <c r="C14" s="727"/>
      <c r="D14" s="728"/>
      <c r="E14" s="159"/>
      <c r="F14" s="159"/>
      <c r="G14" s="159"/>
      <c r="H14" s="159"/>
      <c r="I14" s="159"/>
      <c r="J14" s="158"/>
      <c r="K14" s="158"/>
    </row>
    <row r="15" spans="1:13" ht="26.4" x14ac:dyDescent="0.3">
      <c r="A15" s="146" t="s">
        <v>1</v>
      </c>
      <c r="B15" s="147" t="s">
        <v>140</v>
      </c>
      <c r="C15" s="147" t="s">
        <v>141</v>
      </c>
      <c r="D15" s="147" t="s">
        <v>142</v>
      </c>
      <c r="E15" s="147" t="s">
        <v>2</v>
      </c>
      <c r="F15" s="148" t="s">
        <v>152</v>
      </c>
      <c r="G15" s="148" t="s">
        <v>144</v>
      </c>
      <c r="H15" s="148" t="s">
        <v>145</v>
      </c>
      <c r="I15" s="148" t="s">
        <v>146</v>
      </c>
      <c r="J15" s="148" t="s">
        <v>147</v>
      </c>
      <c r="K15" s="340" t="s">
        <v>148</v>
      </c>
      <c r="L15" s="160"/>
      <c r="M15" s="149"/>
    </row>
    <row r="16" spans="1:13" s="463" customFormat="1" ht="18" customHeight="1" x14ac:dyDescent="0.3">
      <c r="A16" s="458" t="s">
        <v>153</v>
      </c>
      <c r="B16" s="459">
        <v>0.15</v>
      </c>
      <c r="C16" s="459">
        <v>3.8</v>
      </c>
      <c r="D16" s="459">
        <v>0.4</v>
      </c>
      <c r="E16" s="459">
        <v>1</v>
      </c>
      <c r="F16" s="460">
        <v>0</v>
      </c>
      <c r="G16" s="460">
        <v>0</v>
      </c>
      <c r="H16" s="460">
        <f>B16*C16*(D16)*E16</f>
        <v>0.22799999999999998</v>
      </c>
      <c r="I16" s="479">
        <f>(((ROUNDUP(C16/0.15,0))*E16)*((((B16-0.03)+(D16-0.03))*2)+0.08))*0.154</f>
        <v>4.2442400000000005</v>
      </c>
      <c r="J16" s="459">
        <f>C16*E16*6*0.617</f>
        <v>14.067599999999999</v>
      </c>
      <c r="K16" s="461">
        <f>(C16*D16*E16*2)+(C16*B16*E16)</f>
        <v>3.61</v>
      </c>
      <c r="L16" s="462"/>
    </row>
    <row r="17" spans="1:12" s="467" customFormat="1" ht="18" customHeight="1" x14ac:dyDescent="0.3">
      <c r="A17" s="464" t="s">
        <v>154</v>
      </c>
      <c r="B17" s="465">
        <v>0.15</v>
      </c>
      <c r="C17" s="465">
        <v>3.5</v>
      </c>
      <c r="D17" s="465">
        <v>0.4</v>
      </c>
      <c r="E17" s="465">
        <v>1</v>
      </c>
      <c r="F17" s="460">
        <v>0</v>
      </c>
      <c r="G17" s="460">
        <v>0</v>
      </c>
      <c r="H17" s="460">
        <f t="shared" ref="H17:H23" si="1">B17*C17*(D17)*E17</f>
        <v>0.21000000000000002</v>
      </c>
      <c r="I17" s="479">
        <f t="shared" ref="I17:I36" si="2">(((ROUNDUP(C17/0.15,0))*E17)*((((B17-0.03)+(D17-0.03))*2)+0.08))*0.154</f>
        <v>3.9177600000000004</v>
      </c>
      <c r="J17" s="465">
        <f>C17*E17*6*0.617</f>
        <v>12.957000000000001</v>
      </c>
      <c r="K17" s="461">
        <f t="shared" ref="K17:K19" si="3">(C17*D17*E17*2)+(C17*B17*E17)</f>
        <v>3.3250000000000002</v>
      </c>
      <c r="L17" s="466"/>
    </row>
    <row r="18" spans="1:12" s="467" customFormat="1" ht="18" customHeight="1" x14ac:dyDescent="0.3">
      <c r="A18" s="464" t="s">
        <v>155</v>
      </c>
      <c r="B18" s="465">
        <v>0.15</v>
      </c>
      <c r="C18" s="465">
        <v>8.5</v>
      </c>
      <c r="D18" s="465">
        <v>0.4</v>
      </c>
      <c r="E18" s="465">
        <v>1</v>
      </c>
      <c r="F18" s="460">
        <v>0</v>
      </c>
      <c r="G18" s="460">
        <v>0</v>
      </c>
      <c r="H18" s="460">
        <f t="shared" si="1"/>
        <v>0.51</v>
      </c>
      <c r="I18" s="479">
        <f t="shared" si="2"/>
        <v>9.3046799999999994</v>
      </c>
      <c r="J18" s="465">
        <f>C18*E18*6*0.617</f>
        <v>31.466999999999999</v>
      </c>
      <c r="K18" s="461">
        <f t="shared" si="3"/>
        <v>8.0750000000000011</v>
      </c>
      <c r="L18" s="466"/>
    </row>
    <row r="19" spans="1:12" s="467" customFormat="1" ht="18" customHeight="1" x14ac:dyDescent="0.3">
      <c r="A19" s="464" t="s">
        <v>156</v>
      </c>
      <c r="B19" s="465">
        <v>0.15</v>
      </c>
      <c r="C19" s="465">
        <v>3.55</v>
      </c>
      <c r="D19" s="465">
        <v>0.4</v>
      </c>
      <c r="E19" s="465">
        <v>1</v>
      </c>
      <c r="F19" s="460">
        <v>0</v>
      </c>
      <c r="G19" s="460">
        <v>0</v>
      </c>
      <c r="H19" s="460">
        <f t="shared" si="1"/>
        <v>0.21299999999999999</v>
      </c>
      <c r="I19" s="479">
        <f t="shared" si="2"/>
        <v>3.9177600000000004</v>
      </c>
      <c r="J19" s="465">
        <f>C19*E19*6*0.617</f>
        <v>13.142099999999997</v>
      </c>
      <c r="K19" s="461">
        <f t="shared" si="3"/>
        <v>3.3724999999999996</v>
      </c>
      <c r="L19" s="466"/>
    </row>
    <row r="20" spans="1:12" s="472" customFormat="1" ht="18" customHeight="1" x14ac:dyDescent="0.3">
      <c r="A20" s="468" t="s">
        <v>157</v>
      </c>
      <c r="B20" s="469">
        <v>0.15</v>
      </c>
      <c r="C20" s="469">
        <v>17.100000000000001</v>
      </c>
      <c r="D20" s="469">
        <v>0.3</v>
      </c>
      <c r="E20" s="469">
        <v>1</v>
      </c>
      <c r="F20" s="470">
        <f t="shared" ref="F20:F36" si="4">(B20)*(C20)*(D20+0.05)*E20</f>
        <v>0.89774999999999994</v>
      </c>
      <c r="G20" s="470">
        <f t="shared" ref="G20:G23" si="5">((B20)*(C20)*0.05)*E20</f>
        <v>0.12825</v>
      </c>
      <c r="H20" s="470">
        <f t="shared" si="1"/>
        <v>0.76949999999999996</v>
      </c>
      <c r="I20" s="480">
        <f t="shared" si="2"/>
        <v>15.098159999999998</v>
      </c>
      <c r="J20" s="469">
        <f t="shared" ref="J20:J36" si="6">C20*E20*4*0.617</f>
        <v>42.202800000000003</v>
      </c>
      <c r="K20" s="344">
        <f t="shared" ref="K20:K36" si="7">C20*D20*E20*2</f>
        <v>10.26</v>
      </c>
      <c r="L20" s="471"/>
    </row>
    <row r="21" spans="1:12" s="472" customFormat="1" ht="18" customHeight="1" x14ac:dyDescent="0.3">
      <c r="A21" s="468" t="s">
        <v>158</v>
      </c>
      <c r="B21" s="469">
        <v>0.15</v>
      </c>
      <c r="C21" s="469">
        <v>17.100000000000001</v>
      </c>
      <c r="D21" s="469">
        <v>0.3</v>
      </c>
      <c r="E21" s="469">
        <v>1</v>
      </c>
      <c r="F21" s="470">
        <f t="shared" si="4"/>
        <v>0.89774999999999994</v>
      </c>
      <c r="G21" s="470">
        <f t="shared" si="5"/>
        <v>0.12825</v>
      </c>
      <c r="H21" s="470">
        <f t="shared" si="1"/>
        <v>0.76949999999999996</v>
      </c>
      <c r="I21" s="480">
        <f t="shared" si="2"/>
        <v>15.098159999999998</v>
      </c>
      <c r="J21" s="469">
        <f t="shared" si="6"/>
        <v>42.202800000000003</v>
      </c>
      <c r="K21" s="344">
        <f t="shared" si="7"/>
        <v>10.26</v>
      </c>
      <c r="L21" s="471"/>
    </row>
    <row r="22" spans="1:12" s="475" customFormat="1" ht="18" customHeight="1" x14ac:dyDescent="0.3">
      <c r="A22" s="473" t="s">
        <v>159</v>
      </c>
      <c r="B22" s="150">
        <v>0.15</v>
      </c>
      <c r="C22" s="150">
        <v>3.55</v>
      </c>
      <c r="D22" s="150">
        <v>0.3</v>
      </c>
      <c r="E22" s="150">
        <v>1</v>
      </c>
      <c r="F22" s="470">
        <f t="shared" si="4"/>
        <v>0.18637499999999999</v>
      </c>
      <c r="G22" s="470">
        <f t="shared" si="5"/>
        <v>2.6624999999999999E-2</v>
      </c>
      <c r="H22" s="470">
        <f t="shared" si="1"/>
        <v>0.15974999999999998</v>
      </c>
      <c r="I22" s="480">
        <f t="shared" si="2"/>
        <v>3.1785600000000001</v>
      </c>
      <c r="J22" s="469">
        <f t="shared" si="6"/>
        <v>8.7614000000000001</v>
      </c>
      <c r="K22" s="344">
        <f t="shared" si="7"/>
        <v>2.13</v>
      </c>
      <c r="L22" s="474"/>
    </row>
    <row r="23" spans="1:12" s="475" customFormat="1" ht="18" customHeight="1" x14ac:dyDescent="0.3">
      <c r="A23" s="473" t="s">
        <v>201</v>
      </c>
      <c r="B23" s="150">
        <v>0.15</v>
      </c>
      <c r="C23" s="150">
        <v>14.8</v>
      </c>
      <c r="D23" s="150">
        <v>0.3</v>
      </c>
      <c r="E23" s="150">
        <v>1</v>
      </c>
      <c r="F23" s="470">
        <f t="shared" si="4"/>
        <v>0.77700000000000002</v>
      </c>
      <c r="G23" s="470">
        <f t="shared" si="5"/>
        <v>0.11100000000000002</v>
      </c>
      <c r="H23" s="470">
        <f t="shared" si="1"/>
        <v>0.66600000000000004</v>
      </c>
      <c r="I23" s="480">
        <f t="shared" si="2"/>
        <v>13.111560000000001</v>
      </c>
      <c r="J23" s="469">
        <f t="shared" si="6"/>
        <v>36.526400000000002</v>
      </c>
      <c r="K23" s="344">
        <f t="shared" si="7"/>
        <v>8.8800000000000008</v>
      </c>
      <c r="L23" s="474"/>
    </row>
    <row r="24" spans="1:12" s="475" customFormat="1" ht="18" customHeight="1" x14ac:dyDescent="0.3">
      <c r="A24" s="473" t="s">
        <v>202</v>
      </c>
      <c r="B24" s="150">
        <v>0.15</v>
      </c>
      <c r="C24" s="150">
        <v>2.15</v>
      </c>
      <c r="D24" s="150">
        <v>0.3</v>
      </c>
      <c r="E24" s="150">
        <v>1</v>
      </c>
      <c r="F24" s="470">
        <f t="shared" si="4"/>
        <v>0.11287499999999998</v>
      </c>
      <c r="G24" s="470">
        <f t="shared" ref="G24:G31" si="8">((B24)*(C24)*0.05)*E24</f>
        <v>1.6124999999999997E-2</v>
      </c>
      <c r="H24" s="470">
        <f t="shared" ref="H24:H25" si="9">B24*C24*(D24-0.05)*E24</f>
        <v>8.0624999999999988E-2</v>
      </c>
      <c r="I24" s="480">
        <f t="shared" si="2"/>
        <v>1.9865999999999999</v>
      </c>
      <c r="J24" s="469">
        <f t="shared" si="6"/>
        <v>5.3061999999999996</v>
      </c>
      <c r="K24" s="344">
        <f t="shared" si="7"/>
        <v>1.2899999999999998</v>
      </c>
      <c r="L24" s="474"/>
    </row>
    <row r="25" spans="1:12" s="475" customFormat="1" ht="18" customHeight="1" x14ac:dyDescent="0.3">
      <c r="A25" s="473" t="s">
        <v>203</v>
      </c>
      <c r="B25" s="150">
        <v>0.15</v>
      </c>
      <c r="C25" s="150">
        <v>6</v>
      </c>
      <c r="D25" s="150">
        <v>0.3</v>
      </c>
      <c r="E25" s="150">
        <v>1</v>
      </c>
      <c r="F25" s="470">
        <f t="shared" si="4"/>
        <v>0.31499999999999995</v>
      </c>
      <c r="G25" s="470">
        <f t="shared" si="8"/>
        <v>4.4999999999999998E-2</v>
      </c>
      <c r="H25" s="470">
        <f t="shared" si="9"/>
        <v>0.22499999999999998</v>
      </c>
      <c r="I25" s="480">
        <f t="shared" si="2"/>
        <v>5.2976000000000001</v>
      </c>
      <c r="J25" s="469">
        <f t="shared" si="6"/>
        <v>14.808</v>
      </c>
      <c r="K25" s="344">
        <f t="shared" si="7"/>
        <v>3.5999999999999996</v>
      </c>
      <c r="L25" s="474"/>
    </row>
    <row r="26" spans="1:12" s="475" customFormat="1" ht="18" customHeight="1" x14ac:dyDescent="0.3">
      <c r="A26" s="473" t="s">
        <v>204</v>
      </c>
      <c r="B26" s="150">
        <v>0.15</v>
      </c>
      <c r="C26" s="150">
        <v>5.7</v>
      </c>
      <c r="D26" s="150">
        <v>0.3</v>
      </c>
      <c r="E26" s="150">
        <v>1</v>
      </c>
      <c r="F26" s="470">
        <f t="shared" si="4"/>
        <v>0.29924999999999996</v>
      </c>
      <c r="G26" s="470">
        <f t="shared" si="8"/>
        <v>4.2750000000000003E-2</v>
      </c>
      <c r="H26" s="470">
        <f>B26*C26*(D26)*E26</f>
        <v>0.25650000000000001</v>
      </c>
      <c r="I26" s="480">
        <f t="shared" si="2"/>
        <v>5.0327200000000003</v>
      </c>
      <c r="J26" s="469">
        <f t="shared" si="6"/>
        <v>14.067600000000001</v>
      </c>
      <c r="K26" s="344">
        <f t="shared" si="7"/>
        <v>3.42</v>
      </c>
      <c r="L26" s="474"/>
    </row>
    <row r="27" spans="1:12" s="475" customFormat="1" ht="18" customHeight="1" x14ac:dyDescent="0.3">
      <c r="A27" s="473" t="s">
        <v>205</v>
      </c>
      <c r="B27" s="150">
        <v>0.15</v>
      </c>
      <c r="C27" s="150">
        <v>5.7</v>
      </c>
      <c r="D27" s="150">
        <v>0.3</v>
      </c>
      <c r="E27" s="150">
        <v>1</v>
      </c>
      <c r="F27" s="470">
        <f>(B27)*(C27)*(D27)*E27</f>
        <v>0.25650000000000001</v>
      </c>
      <c r="G27" s="470">
        <f t="shared" si="8"/>
        <v>4.2750000000000003E-2</v>
      </c>
      <c r="H27" s="470">
        <f t="shared" ref="H27" si="10">B27*C27*(D27)*E27</f>
        <v>0.25650000000000001</v>
      </c>
      <c r="I27" s="480">
        <f t="shared" si="2"/>
        <v>5.0327200000000003</v>
      </c>
      <c r="J27" s="469">
        <f t="shared" si="6"/>
        <v>14.067600000000001</v>
      </c>
      <c r="K27" s="344">
        <f t="shared" si="7"/>
        <v>3.42</v>
      </c>
      <c r="L27" s="474"/>
    </row>
    <row r="28" spans="1:12" s="463" customFormat="1" ht="18" customHeight="1" x14ac:dyDescent="0.3">
      <c r="A28" s="458" t="s">
        <v>206</v>
      </c>
      <c r="B28" s="459">
        <v>0.15</v>
      </c>
      <c r="C28" s="459">
        <v>6.85</v>
      </c>
      <c r="D28" s="459">
        <v>0.4</v>
      </c>
      <c r="E28" s="459">
        <v>1</v>
      </c>
      <c r="F28" s="460">
        <v>0</v>
      </c>
      <c r="G28" s="470">
        <v>0</v>
      </c>
      <c r="H28" s="460">
        <f t="shared" ref="H28:H36" si="11">B28*C28*(D28)*E28</f>
        <v>0.41099999999999998</v>
      </c>
      <c r="I28" s="479">
        <f t="shared" si="2"/>
        <v>7.5090400000000006</v>
      </c>
      <c r="J28" s="459">
        <f>C28*E28*6*0.617</f>
        <v>25.358699999999995</v>
      </c>
      <c r="K28" s="461">
        <f>(C28*D28*E28*2)+(C18*B18*E18)</f>
        <v>6.7550000000000008</v>
      </c>
      <c r="L28" s="462"/>
    </row>
    <row r="29" spans="1:12" s="463" customFormat="1" ht="18" customHeight="1" x14ac:dyDescent="0.3">
      <c r="A29" s="458" t="s">
        <v>207</v>
      </c>
      <c r="B29" s="459">
        <v>0.15</v>
      </c>
      <c r="C29" s="459">
        <v>3.25</v>
      </c>
      <c r="D29" s="459">
        <v>0.4</v>
      </c>
      <c r="E29" s="459">
        <v>1</v>
      </c>
      <c r="F29" s="460">
        <v>0</v>
      </c>
      <c r="G29" s="470">
        <v>0</v>
      </c>
      <c r="H29" s="460">
        <f t="shared" si="11"/>
        <v>0.19500000000000001</v>
      </c>
      <c r="I29" s="479">
        <f t="shared" si="2"/>
        <v>3.5912799999999998</v>
      </c>
      <c r="J29" s="459">
        <f>C29*E29*6*0.617</f>
        <v>12.031499999999999</v>
      </c>
      <c r="K29" s="461">
        <f>(C29*D29*E29*2)+(C19*B19*E19)</f>
        <v>3.1325000000000003</v>
      </c>
      <c r="L29" s="462"/>
    </row>
    <row r="30" spans="1:12" s="475" customFormat="1" ht="18" customHeight="1" x14ac:dyDescent="0.3">
      <c r="A30" s="473" t="s">
        <v>208</v>
      </c>
      <c r="B30" s="150">
        <v>0.15</v>
      </c>
      <c r="C30" s="150">
        <v>2.75</v>
      </c>
      <c r="D30" s="150">
        <v>0.3</v>
      </c>
      <c r="E30" s="150">
        <v>1</v>
      </c>
      <c r="F30" s="470">
        <f>(B30)*(C30)*(D30)*E30</f>
        <v>0.12374999999999999</v>
      </c>
      <c r="G30" s="470">
        <f t="shared" si="8"/>
        <v>2.0625000000000001E-2</v>
      </c>
      <c r="H30" s="470">
        <f t="shared" si="11"/>
        <v>0.12374999999999999</v>
      </c>
      <c r="I30" s="480">
        <f t="shared" si="2"/>
        <v>2.5163600000000002</v>
      </c>
      <c r="J30" s="150">
        <f>C30*E30*4*0.617</f>
        <v>6.7869999999999999</v>
      </c>
      <c r="K30" s="344">
        <f>(C30*D30*E30*2)</f>
        <v>1.65</v>
      </c>
      <c r="L30" s="474"/>
    </row>
    <row r="31" spans="1:12" s="475" customFormat="1" ht="18" customHeight="1" x14ac:dyDescent="0.3">
      <c r="A31" s="473" t="s">
        <v>209</v>
      </c>
      <c r="B31" s="150">
        <v>0.15</v>
      </c>
      <c r="C31" s="150">
        <v>5.7</v>
      </c>
      <c r="D31" s="150">
        <v>0.3</v>
      </c>
      <c r="E31" s="150">
        <v>1</v>
      </c>
      <c r="F31" s="470">
        <f t="shared" si="4"/>
        <v>0.29924999999999996</v>
      </c>
      <c r="G31" s="470">
        <f t="shared" si="8"/>
        <v>4.2750000000000003E-2</v>
      </c>
      <c r="H31" s="470">
        <f t="shared" si="11"/>
        <v>0.25650000000000001</v>
      </c>
      <c r="I31" s="480">
        <f t="shared" si="2"/>
        <v>5.0327200000000003</v>
      </c>
      <c r="J31" s="150">
        <f>C31*E31*4*0.617</f>
        <v>14.067600000000001</v>
      </c>
      <c r="K31" s="344">
        <f t="shared" si="7"/>
        <v>3.42</v>
      </c>
      <c r="L31" s="474"/>
    </row>
    <row r="32" spans="1:12" s="463" customFormat="1" ht="18" customHeight="1" x14ac:dyDescent="0.3">
      <c r="A32" s="458" t="s">
        <v>210</v>
      </c>
      <c r="B32" s="459">
        <v>0.15</v>
      </c>
      <c r="C32" s="459">
        <v>2</v>
      </c>
      <c r="D32" s="459">
        <v>0.4</v>
      </c>
      <c r="E32" s="459">
        <v>1</v>
      </c>
      <c r="F32" s="460">
        <v>0</v>
      </c>
      <c r="G32" s="460">
        <v>0</v>
      </c>
      <c r="H32" s="460">
        <f t="shared" si="11"/>
        <v>0.12</v>
      </c>
      <c r="I32" s="479">
        <f t="shared" si="2"/>
        <v>2.2853599999999998</v>
      </c>
      <c r="J32" s="459">
        <f>C32*E32*6*0.617</f>
        <v>7.4039999999999999</v>
      </c>
      <c r="K32" s="461">
        <f>(C32*D32*E32*2)+(C18*B18*E18)</f>
        <v>2.875</v>
      </c>
      <c r="L32" s="462"/>
    </row>
    <row r="33" spans="1:13" s="463" customFormat="1" ht="18" customHeight="1" x14ac:dyDescent="0.3">
      <c r="A33" s="458" t="s">
        <v>211</v>
      </c>
      <c r="B33" s="459">
        <v>0.15</v>
      </c>
      <c r="C33" s="459">
        <v>3.4</v>
      </c>
      <c r="D33" s="459">
        <v>0.4</v>
      </c>
      <c r="E33" s="459">
        <v>1</v>
      </c>
      <c r="F33" s="460">
        <v>0</v>
      </c>
      <c r="G33" s="460">
        <v>0</v>
      </c>
      <c r="H33" s="460">
        <f t="shared" si="11"/>
        <v>0.20400000000000001</v>
      </c>
      <c r="I33" s="479">
        <f t="shared" si="2"/>
        <v>3.7545200000000003</v>
      </c>
      <c r="J33" s="459">
        <f>C33*E33*6*0.617</f>
        <v>12.586799999999998</v>
      </c>
      <c r="K33" s="461">
        <f>(C33*D33*E33*2)+(C19*B19*E19)</f>
        <v>3.2525000000000004</v>
      </c>
      <c r="L33" s="462"/>
    </row>
    <row r="34" spans="1:13" s="475" customFormat="1" ht="18" customHeight="1" x14ac:dyDescent="0.3">
      <c r="A34" s="473" t="s">
        <v>212</v>
      </c>
      <c r="B34" s="150">
        <v>0.15</v>
      </c>
      <c r="C34" s="150">
        <v>5.7</v>
      </c>
      <c r="D34" s="150">
        <v>0.3</v>
      </c>
      <c r="E34" s="150">
        <v>1</v>
      </c>
      <c r="F34" s="470">
        <f t="shared" si="4"/>
        <v>0.29924999999999996</v>
      </c>
      <c r="G34" s="470">
        <f t="shared" ref="G34" si="12">((B34)*(C34)*0.05)*E34</f>
        <v>4.2750000000000003E-2</v>
      </c>
      <c r="H34" s="470">
        <f t="shared" ref="H34" si="13">B34*C34*(D34-0.05)*E34</f>
        <v>0.21375</v>
      </c>
      <c r="I34" s="480">
        <f t="shared" si="2"/>
        <v>5.0327200000000003</v>
      </c>
      <c r="J34" s="150">
        <f t="shared" si="6"/>
        <v>14.067600000000001</v>
      </c>
      <c r="K34" s="344">
        <f t="shared" si="7"/>
        <v>3.42</v>
      </c>
      <c r="L34" s="474"/>
    </row>
    <row r="35" spans="1:13" s="475" customFormat="1" ht="18" customHeight="1" x14ac:dyDescent="0.3">
      <c r="A35" s="473" t="s">
        <v>631</v>
      </c>
      <c r="B35" s="150">
        <v>0.15</v>
      </c>
      <c r="C35" s="150">
        <v>1.8</v>
      </c>
      <c r="D35" s="150">
        <v>0.3</v>
      </c>
      <c r="E35" s="150">
        <v>1</v>
      </c>
      <c r="F35" s="470">
        <f t="shared" ref="F35" si="14">(B35)*(C35)*(D35+0.05)*E35</f>
        <v>9.4500000000000001E-2</v>
      </c>
      <c r="G35" s="470">
        <f t="shared" ref="G35:G36" si="15">((B35)*(C35)*0.05)*E35</f>
        <v>1.3500000000000002E-2</v>
      </c>
      <c r="H35" s="470">
        <f t="shared" ref="H35" si="16">B35*C35*(D35-0.05)*E35</f>
        <v>6.7500000000000004E-2</v>
      </c>
      <c r="I35" s="480">
        <f t="shared" si="2"/>
        <v>1.58928</v>
      </c>
      <c r="J35" s="150">
        <f t="shared" ref="J35" si="17">C35*E35*4*0.617</f>
        <v>4.4424000000000001</v>
      </c>
      <c r="K35" s="344">
        <f t="shared" si="7"/>
        <v>1.08</v>
      </c>
      <c r="L35" s="474"/>
    </row>
    <row r="36" spans="1:13" s="475" customFormat="1" ht="18" customHeight="1" x14ac:dyDescent="0.3">
      <c r="A36" s="473" t="s">
        <v>861</v>
      </c>
      <c r="B36" s="150">
        <v>0.15</v>
      </c>
      <c r="C36" s="150">
        <v>7.65</v>
      </c>
      <c r="D36" s="150">
        <v>0.3</v>
      </c>
      <c r="E36" s="150">
        <v>1</v>
      </c>
      <c r="F36" s="470">
        <f t="shared" si="4"/>
        <v>0.40162499999999995</v>
      </c>
      <c r="G36" s="470">
        <f t="shared" si="15"/>
        <v>5.7375000000000002E-2</v>
      </c>
      <c r="H36" s="470">
        <f t="shared" si="11"/>
        <v>0.34425</v>
      </c>
      <c r="I36" s="480">
        <f t="shared" si="2"/>
        <v>6.7544399999999998</v>
      </c>
      <c r="J36" s="150">
        <f t="shared" si="6"/>
        <v>18.880200000000002</v>
      </c>
      <c r="K36" s="344">
        <f t="shared" si="7"/>
        <v>4.59</v>
      </c>
      <c r="L36" s="474"/>
    </row>
    <row r="37" spans="1:13" s="463" customFormat="1" ht="18" customHeight="1" x14ac:dyDescent="0.3">
      <c r="A37" s="458" t="s">
        <v>862</v>
      </c>
      <c r="B37" s="459">
        <v>0.15</v>
      </c>
      <c r="C37" s="459">
        <v>3.5</v>
      </c>
      <c r="D37" s="459">
        <v>0.4</v>
      </c>
      <c r="E37" s="459">
        <v>1</v>
      </c>
      <c r="F37" s="460">
        <v>0</v>
      </c>
      <c r="G37" s="460">
        <v>0</v>
      </c>
      <c r="H37" s="460">
        <f t="shared" ref="H37:H39" si="18">B37*C37*(D37)*E37</f>
        <v>0.21000000000000002</v>
      </c>
      <c r="I37" s="479">
        <f t="shared" ref="I37:I39" si="19">(((ROUNDUP(C37/0.15,0))*E37)*((((B37-0.03)+(D37-0.03))*2)+0.08))*0.154</f>
        <v>3.9177600000000004</v>
      </c>
      <c r="J37" s="459">
        <f>C37*E37*6*0.617</f>
        <v>12.957000000000001</v>
      </c>
      <c r="K37" s="461">
        <f>(C37*D37*E37*2)+(C18*B18*E18)</f>
        <v>4.0750000000000002</v>
      </c>
      <c r="L37" s="462"/>
    </row>
    <row r="38" spans="1:13" s="463" customFormat="1" ht="18" customHeight="1" x14ac:dyDescent="0.3">
      <c r="A38" s="458" t="s">
        <v>863</v>
      </c>
      <c r="B38" s="459">
        <v>0.15</v>
      </c>
      <c r="C38" s="459">
        <v>6.85</v>
      </c>
      <c r="D38" s="459">
        <v>0.4</v>
      </c>
      <c r="E38" s="459">
        <v>1</v>
      </c>
      <c r="F38" s="460">
        <v>0</v>
      </c>
      <c r="G38" s="460">
        <v>0</v>
      </c>
      <c r="H38" s="460">
        <f t="shared" si="18"/>
        <v>0.41099999999999998</v>
      </c>
      <c r="I38" s="479">
        <f t="shared" si="19"/>
        <v>7.5090400000000006</v>
      </c>
      <c r="J38" s="459">
        <f t="shared" ref="J38:J39" si="20">C38*E38*6*0.617</f>
        <v>25.358699999999995</v>
      </c>
      <c r="K38" s="461">
        <f t="shared" ref="K38:K39" si="21">(C38*D38*E38*2)+(C19*B19*E19)</f>
        <v>6.0125000000000002</v>
      </c>
      <c r="L38" s="462"/>
    </row>
    <row r="39" spans="1:13" s="463" customFormat="1" ht="18" customHeight="1" thickBot="1" x14ac:dyDescent="0.35">
      <c r="A39" s="827" t="s">
        <v>864</v>
      </c>
      <c r="B39" s="828">
        <v>0.15</v>
      </c>
      <c r="C39" s="828">
        <v>6.85</v>
      </c>
      <c r="D39" s="828">
        <v>0.4</v>
      </c>
      <c r="E39" s="828">
        <v>1</v>
      </c>
      <c r="F39" s="829">
        <v>0</v>
      </c>
      <c r="G39" s="829">
        <v>0</v>
      </c>
      <c r="H39" s="829">
        <f t="shared" si="18"/>
        <v>0.41099999999999998</v>
      </c>
      <c r="I39" s="830">
        <f t="shared" si="19"/>
        <v>7.5090400000000006</v>
      </c>
      <c r="J39" s="828">
        <f t="shared" si="20"/>
        <v>25.358699999999995</v>
      </c>
      <c r="K39" s="831">
        <f t="shared" si="21"/>
        <v>8.0449999999999999</v>
      </c>
      <c r="L39" s="462"/>
    </row>
    <row r="40" spans="1:13" ht="18" customHeight="1" thickBot="1" x14ac:dyDescent="0.35">
      <c r="A40" s="153"/>
      <c r="B40" s="154"/>
      <c r="C40" s="823" t="s">
        <v>151</v>
      </c>
      <c r="D40" s="824"/>
      <c r="E40" s="825"/>
      <c r="F40" s="826">
        <f t="shared" ref="F40:K40" si="22">SUM(F16:F39)</f>
        <v>4.9608749999999988</v>
      </c>
      <c r="G40" s="826">
        <f t="shared" si="22"/>
        <v>0.71774999999999989</v>
      </c>
      <c r="H40" s="826">
        <f t="shared" si="22"/>
        <v>7.3121249999999982</v>
      </c>
      <c r="I40" s="826">
        <f t="shared" si="22"/>
        <v>142.22208000000001</v>
      </c>
      <c r="J40" s="826">
        <f t="shared" si="22"/>
        <v>428.87669999999997</v>
      </c>
      <c r="K40" s="826">
        <f t="shared" si="22"/>
        <v>109.95000000000002</v>
      </c>
      <c r="L40" s="155"/>
    </row>
    <row r="41" spans="1:13" ht="16.2" thickBot="1" x14ac:dyDescent="0.35">
      <c r="A41" s="153"/>
      <c r="B41" s="154"/>
      <c r="C41" s="163"/>
      <c r="D41" s="163"/>
      <c r="E41" s="163"/>
      <c r="F41" s="164"/>
      <c r="G41" s="164"/>
      <c r="H41" s="164"/>
      <c r="I41" s="164"/>
      <c r="J41" s="164"/>
      <c r="K41" s="160"/>
      <c r="L41" s="155"/>
    </row>
    <row r="42" spans="1:13" ht="18" customHeight="1" thickBot="1" x14ac:dyDescent="0.35">
      <c r="A42" s="726" t="s">
        <v>391</v>
      </c>
      <c r="B42" s="727"/>
      <c r="C42" s="727"/>
      <c r="D42" s="728"/>
      <c r="E42" s="159"/>
      <c r="F42" s="159"/>
      <c r="G42" s="159"/>
      <c r="H42" s="159"/>
      <c r="I42" s="159"/>
      <c r="J42" s="158"/>
      <c r="K42" s="158"/>
    </row>
    <row r="43" spans="1:13" ht="26.4" x14ac:dyDescent="0.3">
      <c r="A43" s="146" t="s">
        <v>1</v>
      </c>
      <c r="B43" s="147" t="s">
        <v>140</v>
      </c>
      <c r="C43" s="147" t="s">
        <v>141</v>
      </c>
      <c r="D43" s="147" t="s">
        <v>142</v>
      </c>
      <c r="E43" s="147" t="s">
        <v>2</v>
      </c>
      <c r="F43" s="148" t="s">
        <v>152</v>
      </c>
      <c r="G43" s="148" t="s">
        <v>144</v>
      </c>
      <c r="H43" s="148" t="s">
        <v>145</v>
      </c>
      <c r="I43" s="148" t="s">
        <v>146</v>
      </c>
      <c r="J43" s="148" t="s">
        <v>147</v>
      </c>
      <c r="K43" s="340" t="s">
        <v>148</v>
      </c>
      <c r="L43" s="160"/>
      <c r="M43" s="149"/>
    </row>
    <row r="44" spans="1:13" s="482" customFormat="1" ht="18" customHeight="1" x14ac:dyDescent="0.25">
      <c r="A44" s="473" t="s">
        <v>160</v>
      </c>
      <c r="B44" s="150">
        <v>0.15</v>
      </c>
      <c r="C44" s="150">
        <v>7.45</v>
      </c>
      <c r="D44" s="150">
        <v>0.4</v>
      </c>
      <c r="E44" s="150">
        <v>1</v>
      </c>
      <c r="F44" s="470" t="s">
        <v>149</v>
      </c>
      <c r="G44" s="470" t="s">
        <v>149</v>
      </c>
      <c r="H44" s="470">
        <f>B44*C44*D44*E44</f>
        <v>0.44700000000000001</v>
      </c>
      <c r="I44" s="480">
        <f>(((ROUNDUP(C44/0.15,0))*E44)*((((B44-0.03)+(D44-0.03))*2)+0.08))*0.154</f>
        <v>8.161999999999999</v>
      </c>
      <c r="J44" s="150">
        <f>C44*E44*4*0.617</f>
        <v>18.386600000000001</v>
      </c>
      <c r="K44" s="344">
        <f>C44*D44*E44*2</f>
        <v>5.9600000000000009</v>
      </c>
      <c r="L44" s="481"/>
    </row>
    <row r="45" spans="1:13" s="482" customFormat="1" ht="18" customHeight="1" x14ac:dyDescent="0.25">
      <c r="A45" s="473" t="s">
        <v>161</v>
      </c>
      <c r="B45" s="150">
        <v>0.15</v>
      </c>
      <c r="C45" s="469">
        <v>12.3</v>
      </c>
      <c r="D45" s="150">
        <v>0.4</v>
      </c>
      <c r="E45" s="150">
        <v>1</v>
      </c>
      <c r="F45" s="470" t="s">
        <v>149</v>
      </c>
      <c r="G45" s="470" t="s">
        <v>149</v>
      </c>
      <c r="H45" s="470">
        <f>B45*C45*D45*E45</f>
        <v>0.73799999999999999</v>
      </c>
      <c r="I45" s="480">
        <f t="shared" ref="I45" si="23">(((ROUNDUP(C45/0.15,0))*E45)*((((B45-0.03)+(D45-0.03))*2)+0.08))*0.154</f>
        <v>13.385680000000001</v>
      </c>
      <c r="J45" s="150">
        <f>C45*E45*4*0.617</f>
        <v>30.356400000000001</v>
      </c>
      <c r="K45" s="344">
        <f>C45*D45*E45*2</f>
        <v>9.8400000000000016</v>
      </c>
      <c r="L45" s="481"/>
    </row>
    <row r="46" spans="1:13" s="482" customFormat="1" ht="18" customHeight="1" x14ac:dyDescent="0.25">
      <c r="A46" s="473" t="s">
        <v>162</v>
      </c>
      <c r="B46" s="150">
        <v>0.15</v>
      </c>
      <c r="C46" s="469">
        <v>17.100000000000001</v>
      </c>
      <c r="D46" s="150">
        <v>0.4</v>
      </c>
      <c r="E46" s="150">
        <v>1</v>
      </c>
      <c r="F46" s="470" t="s">
        <v>149</v>
      </c>
      <c r="G46" s="470" t="s">
        <v>149</v>
      </c>
      <c r="H46" s="470">
        <f t="shared" ref="H46:H55" si="24">B46*C46*D46*E46</f>
        <v>1.026</v>
      </c>
      <c r="I46" s="480">
        <f t="shared" ref="I46:I55" si="25">(((ROUNDUP(C46/0.15,0))*E46)*((((B46-0.03)+(D46-0.03))*2)+0.08))*0.154</f>
        <v>18.609359999999999</v>
      </c>
      <c r="J46" s="150">
        <f t="shared" ref="J46:J56" si="26">C46*E46*4*0.617</f>
        <v>42.202800000000003</v>
      </c>
      <c r="K46" s="344">
        <f t="shared" ref="K46:K55" si="27">C46*D46*E46*2</f>
        <v>13.680000000000001</v>
      </c>
      <c r="L46" s="481"/>
    </row>
    <row r="47" spans="1:13" s="482" customFormat="1" ht="18" customHeight="1" x14ac:dyDescent="0.25">
      <c r="A47" s="473" t="s">
        <v>163</v>
      </c>
      <c r="B47" s="150">
        <v>0.15</v>
      </c>
      <c r="C47" s="469">
        <v>17.100000000000001</v>
      </c>
      <c r="D47" s="150">
        <v>0.4</v>
      </c>
      <c r="E47" s="150">
        <v>1</v>
      </c>
      <c r="F47" s="470" t="s">
        <v>149</v>
      </c>
      <c r="G47" s="470" t="s">
        <v>149</v>
      </c>
      <c r="H47" s="470">
        <f t="shared" si="24"/>
        <v>1.026</v>
      </c>
      <c r="I47" s="480">
        <f t="shared" si="25"/>
        <v>18.609359999999999</v>
      </c>
      <c r="J47" s="150">
        <f t="shared" si="26"/>
        <v>42.202800000000003</v>
      </c>
      <c r="K47" s="344">
        <f t="shared" si="27"/>
        <v>13.680000000000001</v>
      </c>
      <c r="L47" s="481"/>
    </row>
    <row r="48" spans="1:13" s="482" customFormat="1" ht="18" customHeight="1" x14ac:dyDescent="0.25">
      <c r="A48" s="473" t="s">
        <v>428</v>
      </c>
      <c r="B48" s="150">
        <v>0.15</v>
      </c>
      <c r="C48" s="469">
        <v>17.100000000000001</v>
      </c>
      <c r="D48" s="150">
        <v>0.4</v>
      </c>
      <c r="E48" s="150">
        <v>1</v>
      </c>
      <c r="F48" s="470" t="s">
        <v>149</v>
      </c>
      <c r="G48" s="470" t="s">
        <v>149</v>
      </c>
      <c r="H48" s="470">
        <f t="shared" si="24"/>
        <v>1.026</v>
      </c>
      <c r="I48" s="480">
        <f t="shared" si="25"/>
        <v>18.609359999999999</v>
      </c>
      <c r="J48" s="150">
        <f t="shared" si="26"/>
        <v>42.202800000000003</v>
      </c>
      <c r="K48" s="344">
        <f t="shared" si="27"/>
        <v>13.680000000000001</v>
      </c>
      <c r="L48" s="481"/>
    </row>
    <row r="49" spans="1:13" s="482" customFormat="1" ht="18" customHeight="1" x14ac:dyDescent="0.25">
      <c r="A49" s="473" t="s">
        <v>164</v>
      </c>
      <c r="B49" s="150">
        <v>0.15</v>
      </c>
      <c r="C49" s="150">
        <v>2.2999999999999998</v>
      </c>
      <c r="D49" s="150">
        <v>0.4</v>
      </c>
      <c r="E49" s="150">
        <v>1</v>
      </c>
      <c r="F49" s="470" t="s">
        <v>149</v>
      </c>
      <c r="G49" s="470" t="s">
        <v>149</v>
      </c>
      <c r="H49" s="470">
        <f t="shared" si="24"/>
        <v>0.13799999999999998</v>
      </c>
      <c r="I49" s="480">
        <f t="shared" si="25"/>
        <v>2.6118399999999999</v>
      </c>
      <c r="J49" s="150">
        <f t="shared" si="26"/>
        <v>5.6763999999999992</v>
      </c>
      <c r="K49" s="344">
        <f t="shared" si="27"/>
        <v>1.8399999999999999</v>
      </c>
      <c r="L49" s="481"/>
    </row>
    <row r="50" spans="1:13" s="482" customFormat="1" ht="18" customHeight="1" x14ac:dyDescent="0.25">
      <c r="A50" s="473" t="s">
        <v>165</v>
      </c>
      <c r="B50" s="150">
        <v>0.15</v>
      </c>
      <c r="C50" s="150">
        <v>13.65</v>
      </c>
      <c r="D50" s="150">
        <v>0.4</v>
      </c>
      <c r="E50" s="150">
        <v>1</v>
      </c>
      <c r="F50" s="470" t="s">
        <v>149</v>
      </c>
      <c r="G50" s="470" t="s">
        <v>149</v>
      </c>
      <c r="H50" s="470">
        <f t="shared" si="24"/>
        <v>0.81899999999999995</v>
      </c>
      <c r="I50" s="480">
        <f t="shared" si="25"/>
        <v>14.854840000000001</v>
      </c>
      <c r="J50" s="150">
        <f t="shared" si="26"/>
        <v>33.688200000000002</v>
      </c>
      <c r="K50" s="344">
        <f t="shared" si="27"/>
        <v>10.920000000000002</v>
      </c>
      <c r="L50" s="481"/>
    </row>
    <row r="51" spans="1:13" s="482" customFormat="1" ht="18" customHeight="1" x14ac:dyDescent="0.25">
      <c r="A51" s="473" t="s">
        <v>166</v>
      </c>
      <c r="B51" s="150">
        <v>0.15</v>
      </c>
      <c r="C51" s="150">
        <v>13.65</v>
      </c>
      <c r="D51" s="150">
        <v>0.4</v>
      </c>
      <c r="E51" s="150">
        <v>1</v>
      </c>
      <c r="F51" s="470" t="s">
        <v>149</v>
      </c>
      <c r="G51" s="470" t="s">
        <v>149</v>
      </c>
      <c r="H51" s="470">
        <f>B51*C51*D51*E51</f>
        <v>0.81899999999999995</v>
      </c>
      <c r="I51" s="480">
        <f>(((ROUNDUP(C51/0.15,0))*E51)*((((B51-0.03)+(D51-0.03))*2)+0.08))*0.154</f>
        <v>14.854840000000001</v>
      </c>
      <c r="J51" s="150">
        <f t="shared" si="26"/>
        <v>33.688200000000002</v>
      </c>
      <c r="K51" s="344">
        <f>C51*D51*E51*2</f>
        <v>10.920000000000002</v>
      </c>
      <c r="L51" s="481"/>
    </row>
    <row r="52" spans="1:13" s="482" customFormat="1" ht="18" customHeight="1" x14ac:dyDescent="0.25">
      <c r="A52" s="473" t="s">
        <v>427</v>
      </c>
      <c r="B52" s="150">
        <v>0.15</v>
      </c>
      <c r="C52" s="150">
        <v>13.65</v>
      </c>
      <c r="D52" s="150">
        <v>0.4</v>
      </c>
      <c r="E52" s="150">
        <v>1</v>
      </c>
      <c r="F52" s="470" t="s">
        <v>149</v>
      </c>
      <c r="G52" s="470" t="s">
        <v>149</v>
      </c>
      <c r="H52" s="470">
        <f>B52*C52*D52*E52</f>
        <v>0.81899999999999995</v>
      </c>
      <c r="I52" s="480">
        <f>(((ROUNDUP(C52/0.15,0))*E52)*((((B52-0.03)+(D52-0.03))*2)+0.08))*0.154</f>
        <v>14.854840000000001</v>
      </c>
      <c r="J52" s="150">
        <f t="shared" si="26"/>
        <v>33.688200000000002</v>
      </c>
      <c r="K52" s="344">
        <f>C52*D52*E52*2</f>
        <v>10.920000000000002</v>
      </c>
      <c r="L52" s="481"/>
    </row>
    <row r="53" spans="1:13" s="482" customFormat="1" ht="18" customHeight="1" x14ac:dyDescent="0.25">
      <c r="A53" s="473" t="s">
        <v>213</v>
      </c>
      <c r="B53" s="150">
        <v>0.15</v>
      </c>
      <c r="C53" s="150">
        <v>6.85</v>
      </c>
      <c r="D53" s="150">
        <v>0.4</v>
      </c>
      <c r="E53" s="150">
        <v>1</v>
      </c>
      <c r="F53" s="470" t="s">
        <v>149</v>
      </c>
      <c r="G53" s="470" t="s">
        <v>149</v>
      </c>
      <c r="H53" s="470">
        <f t="shared" si="24"/>
        <v>0.41099999999999998</v>
      </c>
      <c r="I53" s="480">
        <f t="shared" si="25"/>
        <v>7.5090400000000006</v>
      </c>
      <c r="J53" s="150">
        <f t="shared" si="26"/>
        <v>16.905799999999999</v>
      </c>
      <c r="K53" s="344">
        <f t="shared" si="27"/>
        <v>5.48</v>
      </c>
      <c r="L53" s="481"/>
    </row>
    <row r="54" spans="1:13" s="482" customFormat="1" ht="18" customHeight="1" x14ac:dyDescent="0.25">
      <c r="A54" s="473" t="s">
        <v>214</v>
      </c>
      <c r="B54" s="150">
        <v>0.15</v>
      </c>
      <c r="C54" s="150">
        <v>3.25</v>
      </c>
      <c r="D54" s="150">
        <v>0.4</v>
      </c>
      <c r="E54" s="150">
        <v>1</v>
      </c>
      <c r="F54" s="470" t="s">
        <v>149</v>
      </c>
      <c r="G54" s="470" t="s">
        <v>149</v>
      </c>
      <c r="H54" s="470">
        <f t="shared" si="24"/>
        <v>0.19500000000000001</v>
      </c>
      <c r="I54" s="480">
        <f t="shared" si="25"/>
        <v>3.5912799999999998</v>
      </c>
      <c r="J54" s="150">
        <f t="shared" si="26"/>
        <v>8.0210000000000008</v>
      </c>
      <c r="K54" s="344">
        <f t="shared" si="27"/>
        <v>2.6</v>
      </c>
      <c r="L54" s="481"/>
    </row>
    <row r="55" spans="1:13" s="482" customFormat="1" ht="18" customHeight="1" x14ac:dyDescent="0.25">
      <c r="A55" s="473" t="s">
        <v>215</v>
      </c>
      <c r="B55" s="150">
        <v>0.15</v>
      </c>
      <c r="C55" s="150">
        <v>5.7</v>
      </c>
      <c r="D55" s="150">
        <v>0.4</v>
      </c>
      <c r="E55" s="150">
        <v>1</v>
      </c>
      <c r="F55" s="470" t="s">
        <v>149</v>
      </c>
      <c r="G55" s="470" t="s">
        <v>149</v>
      </c>
      <c r="H55" s="470">
        <f t="shared" si="24"/>
        <v>0.34200000000000003</v>
      </c>
      <c r="I55" s="480">
        <f t="shared" si="25"/>
        <v>6.2031200000000002</v>
      </c>
      <c r="J55" s="150">
        <f t="shared" si="26"/>
        <v>14.067600000000001</v>
      </c>
      <c r="K55" s="344">
        <f t="shared" si="27"/>
        <v>4.5600000000000005</v>
      </c>
      <c r="L55" s="481"/>
    </row>
    <row r="56" spans="1:13" s="482" customFormat="1" ht="18" customHeight="1" x14ac:dyDescent="0.25">
      <c r="A56" s="473" t="s">
        <v>216</v>
      </c>
      <c r="B56" s="150">
        <v>0.15</v>
      </c>
      <c r="C56" s="150">
        <v>1.5</v>
      </c>
      <c r="D56" s="150">
        <v>0.4</v>
      </c>
      <c r="E56" s="150">
        <v>1</v>
      </c>
      <c r="F56" s="470" t="s">
        <v>149</v>
      </c>
      <c r="G56" s="470" t="s">
        <v>149</v>
      </c>
      <c r="H56" s="470">
        <f t="shared" ref="H56:H57" si="28">B56*C56*D56*E56</f>
        <v>0.09</v>
      </c>
      <c r="I56" s="480">
        <f t="shared" ref="I56:I57" si="29">(((ROUNDUP(C56/0.15,0))*E56)*((((B56-0.03)+(D56-0.03))*2)+0.08))*0.154</f>
        <v>1.6324000000000003</v>
      </c>
      <c r="J56" s="150">
        <f t="shared" si="26"/>
        <v>3.702</v>
      </c>
      <c r="K56" s="344">
        <f t="shared" ref="K56:K57" si="30">C56*D56*E56*2</f>
        <v>1.2000000000000002</v>
      </c>
      <c r="L56" s="481"/>
    </row>
    <row r="57" spans="1:13" s="482" customFormat="1" ht="18" customHeight="1" thickBot="1" x14ac:dyDescent="0.3">
      <c r="A57" s="476" t="s">
        <v>217</v>
      </c>
      <c r="B57" s="346">
        <v>0.15</v>
      </c>
      <c r="C57" s="346">
        <v>7.65</v>
      </c>
      <c r="D57" s="346">
        <v>0.4</v>
      </c>
      <c r="E57" s="346">
        <v>1</v>
      </c>
      <c r="F57" s="477" t="s">
        <v>149</v>
      </c>
      <c r="G57" s="477" t="s">
        <v>149</v>
      </c>
      <c r="H57" s="477">
        <f t="shared" si="28"/>
        <v>0.45900000000000002</v>
      </c>
      <c r="I57" s="835">
        <f t="shared" si="29"/>
        <v>8.3252400000000009</v>
      </c>
      <c r="J57" s="346">
        <f t="shared" ref="J57" si="31">C57*E57*4*0.617</f>
        <v>18.880200000000002</v>
      </c>
      <c r="K57" s="347">
        <f t="shared" si="30"/>
        <v>6.120000000000001</v>
      </c>
      <c r="L57" s="481"/>
    </row>
    <row r="58" spans="1:13" s="188" customFormat="1" ht="18" customHeight="1" thickBot="1" x14ac:dyDescent="0.3">
      <c r="A58" s="153"/>
      <c r="B58" s="154"/>
      <c r="C58" s="832" t="s">
        <v>151</v>
      </c>
      <c r="D58" s="833"/>
      <c r="E58" s="834"/>
      <c r="F58" s="826">
        <f t="shared" ref="F58:K58" si="32">SUM(F44:F57)</f>
        <v>0</v>
      </c>
      <c r="G58" s="826">
        <f t="shared" si="32"/>
        <v>0</v>
      </c>
      <c r="H58" s="826">
        <f t="shared" si="32"/>
        <v>8.3549999999999986</v>
      </c>
      <c r="I58" s="826">
        <f t="shared" si="32"/>
        <v>151.81319999999999</v>
      </c>
      <c r="J58" s="826">
        <f t="shared" si="32"/>
        <v>343.66900000000004</v>
      </c>
      <c r="K58" s="826">
        <f t="shared" si="32"/>
        <v>111.40000000000002</v>
      </c>
      <c r="L58" s="283"/>
    </row>
    <row r="59" spans="1:13" ht="11.4" customHeight="1" thickBot="1" x14ac:dyDescent="0.35">
      <c r="A59" s="153"/>
      <c r="B59" s="154"/>
      <c r="C59" s="165"/>
      <c r="D59" s="166"/>
      <c r="E59" s="166"/>
      <c r="F59" s="167"/>
      <c r="G59" s="166"/>
      <c r="H59" s="166"/>
      <c r="I59" s="166"/>
      <c r="J59" s="166"/>
      <c r="K59" s="154"/>
    </row>
    <row r="60" spans="1:13" ht="18" customHeight="1" thickBot="1" x14ac:dyDescent="0.35">
      <c r="A60" s="726" t="s">
        <v>632</v>
      </c>
      <c r="B60" s="727"/>
      <c r="C60" s="727"/>
      <c r="D60" s="728"/>
      <c r="E60" s="159"/>
      <c r="F60" s="159"/>
      <c r="G60" s="159"/>
      <c r="H60" s="159"/>
      <c r="I60" s="159"/>
      <c r="J60" s="158"/>
      <c r="K60" s="158"/>
    </row>
    <row r="61" spans="1:13" ht="26.4" x14ac:dyDescent="0.3">
      <c r="A61" s="146" t="s">
        <v>1</v>
      </c>
      <c r="B61" s="147" t="s">
        <v>140</v>
      </c>
      <c r="C61" s="147" t="s">
        <v>141</v>
      </c>
      <c r="D61" s="147" t="s">
        <v>142</v>
      </c>
      <c r="E61" s="147" t="s">
        <v>2</v>
      </c>
      <c r="F61" s="148" t="s">
        <v>152</v>
      </c>
      <c r="G61" s="148" t="s">
        <v>144</v>
      </c>
      <c r="H61" s="148" t="s">
        <v>145</v>
      </c>
      <c r="I61" s="148" t="s">
        <v>146</v>
      </c>
      <c r="J61" s="148" t="s">
        <v>147</v>
      </c>
      <c r="K61" s="340" t="s">
        <v>148</v>
      </c>
      <c r="L61" s="160"/>
      <c r="M61" s="149"/>
    </row>
    <row r="62" spans="1:13" s="475" customFormat="1" ht="18" customHeight="1" thickBot="1" x14ac:dyDescent="0.35">
      <c r="A62" s="476" t="s">
        <v>633</v>
      </c>
      <c r="B62" s="346">
        <v>0.15</v>
      </c>
      <c r="C62" s="346">
        <v>1.5</v>
      </c>
      <c r="D62" s="346">
        <v>0.3</v>
      </c>
      <c r="E62" s="346">
        <v>3</v>
      </c>
      <c r="F62" s="477" t="s">
        <v>149</v>
      </c>
      <c r="G62" s="477" t="s">
        <v>149</v>
      </c>
      <c r="H62" s="477">
        <f>B62*C62*D62*E62</f>
        <v>0.20249999999999996</v>
      </c>
      <c r="I62" s="483">
        <f>(((ROUNDUP(C62/0.15,0))*E62)*((((B62-0.03)+(D62-0.03))*2)+0.08))*0.154</f>
        <v>3.9731999999999998</v>
      </c>
      <c r="J62" s="346">
        <f>C62*E62*4*0.617</f>
        <v>11.106</v>
      </c>
      <c r="K62" s="347">
        <f>C62*D62*E62*2</f>
        <v>2.6999999999999997</v>
      </c>
      <c r="L62" s="474"/>
    </row>
    <row r="63" spans="1:13" ht="18" customHeight="1" thickBot="1" x14ac:dyDescent="0.35">
      <c r="A63" s="153"/>
      <c r="B63" s="154"/>
      <c r="C63" s="732" t="s">
        <v>151</v>
      </c>
      <c r="D63" s="733"/>
      <c r="E63" s="734"/>
      <c r="F63" s="339">
        <f>SUM(F54:F62)</f>
        <v>0</v>
      </c>
      <c r="G63" s="339">
        <f>SUM(G54:G62)</f>
        <v>0</v>
      </c>
      <c r="H63" s="339">
        <f>SUM(H62)</f>
        <v>0.20249999999999996</v>
      </c>
      <c r="I63" s="339">
        <f>SUM(I62)</f>
        <v>3.9731999999999998</v>
      </c>
      <c r="J63" s="339">
        <f>SUM(J62)</f>
        <v>11.106</v>
      </c>
      <c r="K63" s="339">
        <f>SUM(K62)</f>
        <v>2.6999999999999997</v>
      </c>
      <c r="L63" s="155"/>
    </row>
    <row r="64" spans="1:13" ht="18" customHeight="1" thickBot="1" x14ac:dyDescent="0.35">
      <c r="A64" s="153"/>
      <c r="B64" s="154"/>
      <c r="C64" s="165"/>
      <c r="D64" s="166"/>
      <c r="E64" s="166"/>
      <c r="F64" s="167"/>
      <c r="G64" s="166"/>
      <c r="H64" s="166"/>
      <c r="I64" s="166"/>
      <c r="J64" s="166"/>
      <c r="K64" s="154"/>
    </row>
    <row r="65" spans="1:13" ht="18" customHeight="1" thickBot="1" x14ac:dyDescent="0.35">
      <c r="A65" s="726" t="s">
        <v>167</v>
      </c>
      <c r="B65" s="727"/>
      <c r="C65" s="727"/>
      <c r="D65" s="728"/>
      <c r="E65" s="157"/>
      <c r="F65" s="157"/>
      <c r="G65" s="157"/>
      <c r="H65" s="157"/>
      <c r="I65" s="157"/>
      <c r="J65" s="165"/>
      <c r="K65" s="156"/>
    </row>
    <row r="66" spans="1:13" ht="39.6" x14ac:dyDescent="0.3">
      <c r="A66" s="146" t="s">
        <v>1</v>
      </c>
      <c r="B66" s="147" t="s">
        <v>140</v>
      </c>
      <c r="C66" s="147" t="s">
        <v>141</v>
      </c>
      <c r="D66" s="147" t="s">
        <v>142</v>
      </c>
      <c r="E66" s="147" t="s">
        <v>2</v>
      </c>
      <c r="F66" s="148" t="s">
        <v>168</v>
      </c>
      <c r="G66" s="148" t="s">
        <v>144</v>
      </c>
      <c r="H66" s="148" t="s">
        <v>634</v>
      </c>
      <c r="I66" s="148" t="s">
        <v>146</v>
      </c>
      <c r="J66" s="148" t="s">
        <v>147</v>
      </c>
      <c r="K66" s="340" t="s">
        <v>148</v>
      </c>
      <c r="L66" s="149"/>
      <c r="M66" s="149"/>
    </row>
    <row r="67" spans="1:13" s="475" customFormat="1" ht="18" customHeight="1" x14ac:dyDescent="0.3">
      <c r="A67" s="343" t="s">
        <v>865</v>
      </c>
      <c r="B67" s="485">
        <v>0.15</v>
      </c>
      <c r="C67" s="150">
        <v>0.3</v>
      </c>
      <c r="D67" s="150">
        <v>7.5</v>
      </c>
      <c r="E67" s="150">
        <v>8</v>
      </c>
      <c r="F67" s="150">
        <v>0</v>
      </c>
      <c r="G67" s="150">
        <v>0</v>
      </c>
      <c r="H67" s="150">
        <f>B67*C67*(D67-1)*E67</f>
        <v>2.34</v>
      </c>
      <c r="I67" s="480">
        <f>(((ROUNDUP(D67/0.15,0))*E67)*((((B67-0.03)+(C67-0.03))*2)+0.08))*0.154</f>
        <v>52.975999999999999</v>
      </c>
      <c r="J67" s="150">
        <f>D67*E67*6*0.617</f>
        <v>222.12</v>
      </c>
      <c r="K67" s="836">
        <f>((B67*D67*2)+(C67*D67*2))*E67</f>
        <v>54</v>
      </c>
      <c r="L67" s="486"/>
      <c r="M67" s="487"/>
    </row>
    <row r="68" spans="1:13" s="475" customFormat="1" ht="18" customHeight="1" x14ac:dyDescent="0.3">
      <c r="A68" s="343" t="s">
        <v>866</v>
      </c>
      <c r="B68" s="485">
        <v>0.15</v>
      </c>
      <c r="C68" s="150">
        <v>0.3</v>
      </c>
      <c r="D68" s="150">
        <v>6.3</v>
      </c>
      <c r="E68" s="150">
        <v>6</v>
      </c>
      <c r="F68" s="150">
        <v>0</v>
      </c>
      <c r="G68" s="150">
        <v>0</v>
      </c>
      <c r="H68" s="150">
        <f>B68*C68*(D68-1)*E68</f>
        <v>1.431</v>
      </c>
      <c r="I68" s="480">
        <f>(((ROUNDUP(D68/0.15,0))*E68)*((((B68-0.03)+(C68-0.03))*2)+0.08))*0.154</f>
        <v>33.374879999999997</v>
      </c>
      <c r="J68" s="150">
        <f t="shared" ref="J68:J69" si="33">D68*E68*4*0.617</f>
        <v>93.290399999999991</v>
      </c>
      <c r="K68" s="836">
        <f>((B68*D68*2)+(C68*D68*2))*E68</f>
        <v>34.019999999999996</v>
      </c>
      <c r="L68" s="486"/>
      <c r="M68" s="487"/>
    </row>
    <row r="69" spans="1:13" s="475" customFormat="1" ht="18" customHeight="1" x14ac:dyDescent="0.3">
      <c r="A69" s="343" t="s">
        <v>867</v>
      </c>
      <c r="B69" s="485">
        <v>0.15</v>
      </c>
      <c r="C69" s="150">
        <v>0.3</v>
      </c>
      <c r="D69" s="150">
        <v>5.8</v>
      </c>
      <c r="E69" s="150">
        <v>10</v>
      </c>
      <c r="F69" s="150">
        <v>0</v>
      </c>
      <c r="G69" s="150">
        <v>0</v>
      </c>
      <c r="H69" s="150">
        <f>B69*C69*(D69-1)*E69</f>
        <v>2.16</v>
      </c>
      <c r="I69" s="480">
        <f>(((ROUNDUP(D69/0.15,0))*E69)*((((B69-0.03)+(C69-0.03))*2)+0.08))*0.154</f>
        <v>51.651599999999995</v>
      </c>
      <c r="J69" s="150">
        <f t="shared" si="33"/>
        <v>143.14400000000001</v>
      </c>
      <c r="K69" s="836">
        <f>((B69*D69*2)+(C69*D69*2))*E69</f>
        <v>52.199999999999996</v>
      </c>
      <c r="L69" s="486"/>
      <c r="M69" s="487"/>
    </row>
    <row r="70" spans="1:13" s="475" customFormat="1" ht="18" customHeight="1" x14ac:dyDescent="0.3">
      <c r="A70" s="343" t="s">
        <v>868</v>
      </c>
      <c r="B70" s="485">
        <v>0.15</v>
      </c>
      <c r="C70" s="150">
        <v>0.3</v>
      </c>
      <c r="D70" s="150">
        <v>7.05</v>
      </c>
      <c r="E70" s="150">
        <v>4</v>
      </c>
      <c r="F70" s="150">
        <v>0</v>
      </c>
      <c r="G70" s="150">
        <v>0</v>
      </c>
      <c r="H70" s="150">
        <f>B70*C70*(D70-1)*E70</f>
        <v>1.089</v>
      </c>
      <c r="I70" s="480">
        <f>(((ROUNDUP(D70/0.15,0))*E70)*((((B70-0.03)+(C70-0.03))*2)+0.08))*0.154</f>
        <v>24.898720000000001</v>
      </c>
      <c r="J70" s="150">
        <f t="shared" ref="J70" si="34">D70*E70*4*0.617</f>
        <v>69.5976</v>
      </c>
      <c r="K70" s="836">
        <f>((B70*D70*2)+(C70*D70*2))*E70</f>
        <v>25.379999999999995</v>
      </c>
      <c r="L70" s="486"/>
      <c r="M70" s="487"/>
    </row>
    <row r="71" spans="1:13" s="475" customFormat="1" ht="18" customHeight="1" thickBot="1" x14ac:dyDescent="0.35">
      <c r="A71" s="343" t="s">
        <v>869</v>
      </c>
      <c r="B71" s="485">
        <v>0.15</v>
      </c>
      <c r="C71" s="150">
        <v>0.3</v>
      </c>
      <c r="D71" s="150">
        <v>5</v>
      </c>
      <c r="E71" s="150">
        <v>3</v>
      </c>
      <c r="F71" s="150">
        <v>0</v>
      </c>
      <c r="G71" s="150">
        <v>0</v>
      </c>
      <c r="H71" s="150">
        <f>B71*C71*(D71-1)*E71</f>
        <v>0.54</v>
      </c>
      <c r="I71" s="480">
        <f>(((ROUNDUP(D71/0.15,0))*E71)*((((B71-0.03)+(C71-0.03))*2)+0.08))*0.154</f>
        <v>13.50888</v>
      </c>
      <c r="J71" s="150">
        <f t="shared" ref="J71" si="35">D71*E71*4*0.617</f>
        <v>37.019999999999996</v>
      </c>
      <c r="K71" s="836">
        <f>((B71*D71*2)+(C71*D71*2))*E71</f>
        <v>13.5</v>
      </c>
      <c r="L71" s="486"/>
      <c r="M71" s="487"/>
    </row>
    <row r="72" spans="1:13" ht="18" customHeight="1" thickBot="1" x14ac:dyDescent="0.35">
      <c r="A72" s="168"/>
      <c r="B72" s="729" t="s">
        <v>151</v>
      </c>
      <c r="C72" s="730"/>
      <c r="D72" s="730"/>
      <c r="E72" s="730"/>
      <c r="F72" s="731"/>
      <c r="G72" s="488">
        <f>SUM(G66:G71)</f>
        <v>0</v>
      </c>
      <c r="H72" s="489">
        <f>SUM(H67:H71)</f>
        <v>7.56</v>
      </c>
      <c r="I72" s="489">
        <f>SUM(I67:I71)</f>
        <v>176.41007999999999</v>
      </c>
      <c r="J72" s="489">
        <f>SUM(J67:J71)</f>
        <v>565.17200000000003</v>
      </c>
      <c r="K72" s="478">
        <f>SUM(K67:K71)</f>
        <v>179.1</v>
      </c>
      <c r="L72" s="155"/>
      <c r="M72" s="155"/>
    </row>
    <row r="73" spans="1:13" ht="15" thickBot="1" x14ac:dyDescent="0.35">
      <c r="A73" s="153"/>
      <c r="B73" s="154"/>
      <c r="C73" s="165"/>
      <c r="D73" s="166"/>
      <c r="E73" s="166"/>
      <c r="F73" s="167"/>
      <c r="G73" s="167"/>
      <c r="H73" s="167"/>
      <c r="I73" s="158"/>
      <c r="J73" s="158"/>
      <c r="K73" s="158"/>
    </row>
    <row r="74" spans="1:13" ht="15" thickBot="1" x14ac:dyDescent="0.35">
      <c r="A74" s="726" t="s">
        <v>871</v>
      </c>
      <c r="B74" s="727"/>
      <c r="C74" s="727"/>
      <c r="D74" s="728"/>
      <c r="E74" s="166"/>
      <c r="F74" s="167"/>
      <c r="G74" s="167"/>
      <c r="H74" s="167"/>
      <c r="I74" s="158"/>
      <c r="J74" s="158"/>
      <c r="K74" s="158"/>
    </row>
    <row r="75" spans="1:13" ht="27" thickBot="1" x14ac:dyDescent="0.35">
      <c r="A75" s="146" t="s">
        <v>1</v>
      </c>
      <c r="B75" s="147" t="s">
        <v>140</v>
      </c>
      <c r="C75" s="147" t="s">
        <v>141</v>
      </c>
      <c r="D75" s="492" t="s">
        <v>146</v>
      </c>
      <c r="E75" s="166"/>
      <c r="F75" s="167"/>
      <c r="G75" s="167"/>
      <c r="H75" s="167"/>
      <c r="I75" s="158"/>
      <c r="J75" s="158"/>
      <c r="K75" s="158"/>
    </row>
    <row r="76" spans="1:13" ht="19.8" customHeight="1" thickBot="1" x14ac:dyDescent="0.35">
      <c r="A76" s="484" t="s">
        <v>872</v>
      </c>
      <c r="B76" s="485">
        <v>3.8</v>
      </c>
      <c r="C76" s="491">
        <v>6.85</v>
      </c>
      <c r="D76" s="493">
        <f>(((B76/0.1)*C76)+((C76/0.1)*B76))*0.154</f>
        <v>80.172399999999982</v>
      </c>
      <c r="E76" s="166"/>
      <c r="F76" s="167"/>
      <c r="G76" s="167"/>
      <c r="H76" s="167"/>
      <c r="I76" s="158"/>
      <c r="J76" s="158"/>
      <c r="K76" s="158"/>
    </row>
    <row r="77" spans="1:13" ht="15" thickBot="1" x14ac:dyDescent="0.35">
      <c r="A77" s="153"/>
      <c r="B77" s="154"/>
      <c r="C77" s="165"/>
      <c r="D77" s="166"/>
      <c r="E77" s="166"/>
      <c r="F77" s="167"/>
      <c r="G77" s="167"/>
      <c r="H77" s="167"/>
      <c r="I77" s="158"/>
      <c r="J77" s="158"/>
      <c r="K77" s="158"/>
    </row>
    <row r="78" spans="1:13" ht="18" customHeight="1" thickBot="1" x14ac:dyDescent="0.35">
      <c r="A78" s="723" t="s">
        <v>169</v>
      </c>
      <c r="B78" s="724"/>
      <c r="C78" s="724"/>
      <c r="D78" s="724"/>
      <c r="E78" s="724"/>
      <c r="F78" s="725"/>
      <c r="G78" s="169"/>
      <c r="H78" s="158"/>
      <c r="I78" s="158"/>
      <c r="J78" s="158"/>
      <c r="K78" s="158"/>
    </row>
    <row r="79" spans="1:13" ht="40.799999999999997" customHeight="1" thickBot="1" x14ac:dyDescent="0.35">
      <c r="A79" s="223" t="s">
        <v>170</v>
      </c>
      <c r="B79" s="224" t="s">
        <v>144</v>
      </c>
      <c r="C79" s="225" t="s">
        <v>171</v>
      </c>
      <c r="D79" s="225" t="s">
        <v>146</v>
      </c>
      <c r="E79" s="225" t="s">
        <v>147</v>
      </c>
      <c r="F79" s="226" t="s">
        <v>148</v>
      </c>
      <c r="G79" s="158"/>
      <c r="H79" s="158"/>
      <c r="I79" s="158"/>
      <c r="J79" s="158"/>
      <c r="K79" s="158"/>
    </row>
    <row r="80" spans="1:13" s="282" customFormat="1" ht="18" customHeight="1" thickBot="1" x14ac:dyDescent="0.35">
      <c r="A80" s="278">
        <f>F12+F40</f>
        <v>35.788875000000004</v>
      </c>
      <c r="B80" s="279">
        <f>G72+G58+G40+G12+G63</f>
        <v>2.1857500000000001</v>
      </c>
      <c r="C80" s="279">
        <f>H72+H58+H40+H12+H63</f>
        <v>35.173625000000001</v>
      </c>
      <c r="D80" s="279">
        <f>I72+I58+I40+I12+I63+D76</f>
        <v>554.59096</v>
      </c>
      <c r="E80" s="279">
        <f>J72+J58+J40+J12+J63</f>
        <v>1616.1698000000001</v>
      </c>
      <c r="F80" s="280">
        <f>K72+K58+K40+K12+K63</f>
        <v>403.15000000000003</v>
      </c>
      <c r="G80" s="281"/>
      <c r="H80" s="281"/>
      <c r="I80" s="281"/>
      <c r="J80" s="281"/>
      <c r="K80" s="281"/>
    </row>
    <row r="81" spans="1:11" s="170" customFormat="1" ht="7.95" customHeight="1" thickBot="1" x14ac:dyDescent="0.35">
      <c r="A81" s="158"/>
      <c r="B81" s="158"/>
      <c r="C81" s="158"/>
      <c r="D81" s="158"/>
      <c r="E81" s="158"/>
      <c r="F81" s="158"/>
      <c r="G81" s="158"/>
      <c r="H81" s="158"/>
      <c r="I81" s="158"/>
      <c r="J81" s="158"/>
      <c r="K81" s="158"/>
    </row>
    <row r="82" spans="1:11" s="209" customFormat="1" ht="19.95" customHeight="1" thickBot="1" x14ac:dyDescent="0.35">
      <c r="A82" s="753" t="s">
        <v>187</v>
      </c>
      <c r="B82" s="754"/>
      <c r="C82" s="754"/>
      <c r="D82" s="754"/>
      <c r="E82" s="754"/>
      <c r="F82" s="755"/>
      <c r="G82" s="756" t="s">
        <v>644</v>
      </c>
      <c r="H82" s="758" t="s">
        <v>645</v>
      </c>
      <c r="I82" s="158"/>
      <c r="J82" s="158"/>
      <c r="K82" s="158"/>
    </row>
    <row r="83" spans="1:11" s="209" customFormat="1" ht="37.200000000000003" customHeight="1" thickBot="1" x14ac:dyDescent="0.35">
      <c r="A83" s="210" t="s">
        <v>1</v>
      </c>
      <c r="B83" s="211" t="s">
        <v>188</v>
      </c>
      <c r="C83" s="212" t="s">
        <v>642</v>
      </c>
      <c r="D83" s="763" t="s">
        <v>190</v>
      </c>
      <c r="E83" s="764"/>
      <c r="F83" s="284" t="s">
        <v>191</v>
      </c>
      <c r="G83" s="757"/>
      <c r="H83" s="759"/>
      <c r="I83" s="158"/>
      <c r="J83" s="158"/>
      <c r="K83" s="158"/>
    </row>
    <row r="84" spans="1:11" s="209" customFormat="1" ht="19.95" customHeight="1" x14ac:dyDescent="0.3">
      <c r="A84" s="765" t="s">
        <v>244</v>
      </c>
      <c r="B84" s="374">
        <v>4.43</v>
      </c>
      <c r="C84" s="766">
        <f>3-0.3</f>
        <v>2.7</v>
      </c>
      <c r="D84" s="392" t="s">
        <v>192</v>
      </c>
      <c r="E84" s="381">
        <v>2</v>
      </c>
      <c r="F84" s="769">
        <f>(((B84+B85+B88+B86+B87+B89+B90)*C84)+(B91*C91)) -((0.8*2.1*E84)+(0.8*0.5*E85)+(1.8*0.6*E86)+(1.2*1*E87))</f>
        <v>45.774000000000008</v>
      </c>
      <c r="G84" s="392">
        <v>0</v>
      </c>
      <c r="H84" s="403">
        <f>(0.8 + 0.6)*E84*0.15*0.15</f>
        <v>6.3E-2</v>
      </c>
      <c r="I84" s="207"/>
      <c r="J84" s="208"/>
      <c r="K84" s="208"/>
    </row>
    <row r="85" spans="1:11" s="209" customFormat="1" ht="19.95" customHeight="1" x14ac:dyDescent="0.3">
      <c r="A85" s="761"/>
      <c r="B85" s="375">
        <v>2.46</v>
      </c>
      <c r="C85" s="767"/>
      <c r="D85" s="393" t="s">
        <v>240</v>
      </c>
      <c r="E85" s="382">
        <v>1</v>
      </c>
      <c r="F85" s="688"/>
      <c r="G85" s="393">
        <v>0</v>
      </c>
      <c r="H85" s="404">
        <f>(0.8+0.6)*E85*2*0.15*0.15</f>
        <v>6.3E-2</v>
      </c>
      <c r="I85" s="207"/>
      <c r="J85" s="208"/>
      <c r="K85" s="208"/>
    </row>
    <row r="86" spans="1:11" s="209" customFormat="1" ht="19.95" customHeight="1" x14ac:dyDescent="0.3">
      <c r="A86" s="761"/>
      <c r="B86" s="376">
        <v>1.5</v>
      </c>
      <c r="C86" s="767"/>
      <c r="D86" s="393" t="s">
        <v>242</v>
      </c>
      <c r="E86" s="383">
        <v>1</v>
      </c>
      <c r="F86" s="688"/>
      <c r="G86" s="393">
        <f>(1.8+0.6)*E86*2*0.15*0.15</f>
        <v>0.108</v>
      </c>
      <c r="H86" s="404">
        <v>0</v>
      </c>
      <c r="I86" s="207"/>
      <c r="J86" s="208"/>
      <c r="K86" s="208"/>
    </row>
    <row r="87" spans="1:11" s="209" customFormat="1" ht="19.95" customHeight="1" x14ac:dyDescent="0.3">
      <c r="A87" s="761"/>
      <c r="B87" s="376">
        <v>3.97</v>
      </c>
      <c r="C87" s="767"/>
      <c r="D87" s="393" t="s">
        <v>245</v>
      </c>
      <c r="E87" s="383">
        <v>1</v>
      </c>
      <c r="F87" s="688"/>
      <c r="G87" s="393">
        <f>(1.2+0.6)*E87*2*0.15*0.15</f>
        <v>8.0999999999999989E-2</v>
      </c>
      <c r="H87" s="404">
        <v>0</v>
      </c>
      <c r="I87" s="207"/>
      <c r="J87" s="208"/>
      <c r="K87" s="208"/>
    </row>
    <row r="88" spans="1:11" s="209" customFormat="1" ht="19.95" customHeight="1" x14ac:dyDescent="0.3">
      <c r="A88" s="761"/>
      <c r="B88" s="376">
        <v>1.58</v>
      </c>
      <c r="C88" s="767"/>
      <c r="D88" s="394">
        <v>0</v>
      </c>
      <c r="E88" s="383">
        <v>0</v>
      </c>
      <c r="F88" s="688"/>
      <c r="G88" s="394">
        <v>0</v>
      </c>
      <c r="H88" s="405">
        <v>0</v>
      </c>
      <c r="I88" s="207"/>
      <c r="J88" s="208"/>
      <c r="K88" s="208"/>
    </row>
    <row r="89" spans="1:11" s="209" customFormat="1" ht="19.95" customHeight="1" x14ac:dyDescent="0.3">
      <c r="A89" s="761"/>
      <c r="B89" s="377">
        <v>3.68</v>
      </c>
      <c r="C89" s="767"/>
      <c r="D89" s="393">
        <v>0</v>
      </c>
      <c r="E89" s="383">
        <v>0</v>
      </c>
      <c r="F89" s="688"/>
      <c r="G89" s="393">
        <v>0</v>
      </c>
      <c r="H89" s="404">
        <v>0</v>
      </c>
      <c r="I89" s="207"/>
      <c r="J89" s="208"/>
      <c r="K89" s="208"/>
    </row>
    <row r="90" spans="1:11" s="209" customFormat="1" ht="19.95" customHeight="1" x14ac:dyDescent="0.3">
      <c r="A90" s="761"/>
      <c r="B90" s="377">
        <v>1.2</v>
      </c>
      <c r="C90" s="768"/>
      <c r="D90" s="393">
        <v>0</v>
      </c>
      <c r="E90" s="383">
        <v>0</v>
      </c>
      <c r="F90" s="688"/>
      <c r="G90" s="393">
        <v>0</v>
      </c>
      <c r="H90" s="404">
        <v>0</v>
      </c>
      <c r="I90" s="207"/>
      <c r="J90" s="208"/>
      <c r="K90" s="208"/>
    </row>
    <row r="91" spans="1:11" s="209" customFormat="1" ht="19.95" customHeight="1" x14ac:dyDescent="0.3">
      <c r="A91" s="761"/>
      <c r="B91" s="377">
        <v>1</v>
      </c>
      <c r="C91" s="221">
        <v>1</v>
      </c>
      <c r="D91" s="393">
        <v>0</v>
      </c>
      <c r="E91" s="383">
        <v>0</v>
      </c>
      <c r="F91" s="688"/>
      <c r="G91" s="393">
        <v>0</v>
      </c>
      <c r="H91" s="404">
        <v>0</v>
      </c>
      <c r="I91" s="207"/>
      <c r="J91" s="208"/>
      <c r="K91" s="208"/>
    </row>
    <row r="92" spans="1:11" s="209" customFormat="1" ht="19.95" customHeight="1" x14ac:dyDescent="0.3">
      <c r="A92" s="760" t="s">
        <v>246</v>
      </c>
      <c r="B92" s="378">
        <v>3.53</v>
      </c>
      <c r="C92" s="685">
        <f>C84</f>
        <v>2.7</v>
      </c>
      <c r="D92" s="395" t="s">
        <v>192</v>
      </c>
      <c r="E92" s="384">
        <v>1</v>
      </c>
      <c r="F92" s="687">
        <f>((B92+B93)*C92)-((0.8*2.1*E92)+(1.43*0.5*E93))</f>
        <v>10.997000000000002</v>
      </c>
      <c r="G92" s="395">
        <v>0</v>
      </c>
      <c r="H92" s="406">
        <f>(0.8 + 0.6)*E92*0.15*0.15</f>
        <v>3.15E-2</v>
      </c>
      <c r="I92" s="158"/>
      <c r="J92" s="158"/>
      <c r="K92" s="158"/>
    </row>
    <row r="93" spans="1:11" s="209" customFormat="1" ht="19.95" customHeight="1" x14ac:dyDescent="0.3">
      <c r="A93" s="761"/>
      <c r="B93" s="379">
        <v>1.43</v>
      </c>
      <c r="C93" s="686"/>
      <c r="D93" s="393" t="s">
        <v>247</v>
      </c>
      <c r="E93" s="382">
        <v>1</v>
      </c>
      <c r="F93" s="688"/>
      <c r="G93" s="393">
        <v>0</v>
      </c>
      <c r="H93" s="404">
        <f>(1.43+0.6)*E93*2*0.15*0.15</f>
        <v>9.1349999999999973E-2</v>
      </c>
      <c r="I93" s="158"/>
      <c r="J93" s="158"/>
      <c r="K93" s="158"/>
    </row>
    <row r="94" spans="1:11" s="209" customFormat="1" ht="19.95" customHeight="1" x14ac:dyDescent="0.3">
      <c r="A94" s="700" t="s">
        <v>241</v>
      </c>
      <c r="B94" s="228">
        <v>2.99</v>
      </c>
      <c r="C94" s="685">
        <f>C84</f>
        <v>2.7</v>
      </c>
      <c r="D94" s="395" t="s">
        <v>192</v>
      </c>
      <c r="E94" s="384">
        <v>1</v>
      </c>
      <c r="F94" s="687">
        <f>((B94+B96+B95)*C94)-((0.8*2.1*E94)+(1.2*0.6*E95))</f>
        <v>21.170999999999999</v>
      </c>
      <c r="G94" s="395">
        <v>0</v>
      </c>
      <c r="H94" s="406">
        <f>(0.8 + 0.6)*E94*0.15*0.15</f>
        <v>3.15E-2</v>
      </c>
      <c r="I94" s="158"/>
      <c r="J94" s="158"/>
      <c r="K94" s="158"/>
    </row>
    <row r="95" spans="1:11" s="209" customFormat="1" ht="19.95" customHeight="1" x14ac:dyDescent="0.3">
      <c r="A95" s="700"/>
      <c r="B95" s="231">
        <v>2.99</v>
      </c>
      <c r="C95" s="686"/>
      <c r="D95" s="396" t="s">
        <v>819</v>
      </c>
      <c r="E95" s="383">
        <v>1</v>
      </c>
      <c r="F95" s="688"/>
      <c r="G95" s="393">
        <f>(1.2+0.6)*E95*2*0.15*0.15</f>
        <v>8.0999999999999989E-2</v>
      </c>
      <c r="H95" s="404">
        <v>0</v>
      </c>
      <c r="I95" s="158"/>
      <c r="J95" s="158"/>
      <c r="K95" s="158"/>
    </row>
    <row r="96" spans="1:11" s="209" customFormat="1" ht="19.95" customHeight="1" x14ac:dyDescent="0.3">
      <c r="A96" s="700"/>
      <c r="B96" s="229">
        <v>2.75</v>
      </c>
      <c r="C96" s="686"/>
      <c r="D96" s="393">
        <v>0</v>
      </c>
      <c r="E96" s="383">
        <v>0</v>
      </c>
      <c r="F96" s="688"/>
      <c r="G96" s="393">
        <v>0</v>
      </c>
      <c r="H96" s="404"/>
      <c r="I96" s="158"/>
      <c r="J96" s="158"/>
      <c r="K96" s="158"/>
    </row>
    <row r="97" spans="1:11" s="209" customFormat="1" ht="19.95" customHeight="1" x14ac:dyDescent="0.3">
      <c r="A97" s="700" t="s">
        <v>243</v>
      </c>
      <c r="B97" s="228">
        <v>2.99</v>
      </c>
      <c r="C97" s="685">
        <f>C84</f>
        <v>2.7</v>
      </c>
      <c r="D97" s="395" t="s">
        <v>192</v>
      </c>
      <c r="E97" s="384">
        <v>1</v>
      </c>
      <c r="F97" s="687">
        <f>((B97+B99+B98)*C97)-((0.8*2.1*E97)+(1.2*0.6*E98))</f>
        <v>21.170999999999999</v>
      </c>
      <c r="G97" s="395">
        <v>0</v>
      </c>
      <c r="H97" s="406">
        <f>(0.8 + 0.6)*E97*0.15*0.15</f>
        <v>3.15E-2</v>
      </c>
      <c r="I97" s="158"/>
      <c r="J97" s="158"/>
      <c r="K97" s="158"/>
    </row>
    <row r="98" spans="1:11" s="365" customFormat="1" ht="19.95" customHeight="1" x14ac:dyDescent="0.3">
      <c r="A98" s="700"/>
      <c r="B98" s="363">
        <v>2.99</v>
      </c>
      <c r="C98" s="686"/>
      <c r="D98" s="396" t="s">
        <v>819</v>
      </c>
      <c r="E98" s="385">
        <v>1</v>
      </c>
      <c r="F98" s="688"/>
      <c r="G98" s="396">
        <f>(1.2+0.6)*E98*2*0.15*0.15</f>
        <v>8.0999999999999989E-2</v>
      </c>
      <c r="H98" s="407"/>
      <c r="I98" s="364"/>
      <c r="J98" s="364"/>
      <c r="K98" s="364"/>
    </row>
    <row r="99" spans="1:11" s="209" customFormat="1" ht="19.95" customHeight="1" x14ac:dyDescent="0.3">
      <c r="A99" s="700"/>
      <c r="B99" s="229">
        <v>2.75</v>
      </c>
      <c r="C99" s="686"/>
      <c r="D99" s="393">
        <v>0</v>
      </c>
      <c r="E99" s="383">
        <v>0</v>
      </c>
      <c r="F99" s="688"/>
      <c r="G99" s="393">
        <v>0</v>
      </c>
      <c r="H99" s="404"/>
      <c r="I99" s="158"/>
      <c r="J99" s="158"/>
      <c r="K99" s="158"/>
    </row>
    <row r="100" spans="1:11" s="209" customFormat="1" ht="19.95" customHeight="1" x14ac:dyDescent="0.3">
      <c r="A100" s="700" t="s">
        <v>817</v>
      </c>
      <c r="B100" s="228">
        <v>1.7</v>
      </c>
      <c r="C100" s="685">
        <f>C84</f>
        <v>2.7</v>
      </c>
      <c r="D100" s="395" t="s">
        <v>192</v>
      </c>
      <c r="E100" s="384">
        <v>1</v>
      </c>
      <c r="F100" s="687">
        <f>((B100+B101+B102)*C100)-((0.8*2.1*E100))</f>
        <v>14.925000000000001</v>
      </c>
      <c r="G100" s="395">
        <v>0</v>
      </c>
      <c r="H100" s="406">
        <f>(0.8)*E100*0.15*0.15</f>
        <v>1.7999999999999999E-2</v>
      </c>
      <c r="I100" s="207"/>
      <c r="J100" s="208"/>
      <c r="K100" s="208"/>
    </row>
    <row r="101" spans="1:11" s="209" customFormat="1" ht="19.95" customHeight="1" x14ac:dyDescent="0.3">
      <c r="A101" s="700"/>
      <c r="B101" s="229">
        <v>1.7</v>
      </c>
      <c r="C101" s="686"/>
      <c r="D101" s="393">
        <v>0</v>
      </c>
      <c r="E101" s="382">
        <v>0</v>
      </c>
      <c r="F101" s="688"/>
      <c r="G101" s="393">
        <v>0</v>
      </c>
      <c r="H101" s="404"/>
      <c r="I101" s="207"/>
      <c r="J101" s="208"/>
      <c r="K101" s="208"/>
    </row>
    <row r="102" spans="1:11" s="209" customFormat="1" ht="19.95" customHeight="1" x14ac:dyDescent="0.3">
      <c r="A102" s="700"/>
      <c r="B102" s="230">
        <v>2.75</v>
      </c>
      <c r="C102" s="742"/>
      <c r="D102" s="393">
        <v>0</v>
      </c>
      <c r="E102" s="383">
        <v>0</v>
      </c>
      <c r="F102" s="743"/>
      <c r="G102" s="393">
        <v>0</v>
      </c>
      <c r="H102" s="404"/>
      <c r="I102" s="207"/>
      <c r="J102" s="208"/>
      <c r="K102" s="208"/>
    </row>
    <row r="103" spans="1:11" s="209" customFormat="1" ht="19.95" customHeight="1" x14ac:dyDescent="0.3">
      <c r="A103" s="700" t="s">
        <v>818</v>
      </c>
      <c r="B103" s="228">
        <v>1.7</v>
      </c>
      <c r="C103" s="685">
        <v>2.7</v>
      </c>
      <c r="D103" s="395" t="s">
        <v>192</v>
      </c>
      <c r="E103" s="384">
        <v>1</v>
      </c>
      <c r="F103" s="687">
        <f>((B103+B104+B105)*C103)-((0.8*2.1*E103)+(0.8*0.5*E104))</f>
        <v>14.525</v>
      </c>
      <c r="G103" s="395">
        <v>0</v>
      </c>
      <c r="H103" s="406">
        <f>(0.8 + 0.6)*E103*0.15*0.15</f>
        <v>3.15E-2</v>
      </c>
      <c r="I103" s="207"/>
      <c r="J103" s="208"/>
      <c r="K103" s="208"/>
    </row>
    <row r="104" spans="1:11" s="209" customFormat="1" ht="19.95" customHeight="1" x14ac:dyDescent="0.3">
      <c r="A104" s="700"/>
      <c r="B104" s="229">
        <v>1.7</v>
      </c>
      <c r="C104" s="686"/>
      <c r="D104" s="393" t="s">
        <v>240</v>
      </c>
      <c r="E104" s="382">
        <v>1</v>
      </c>
      <c r="F104" s="688"/>
      <c r="G104" s="393">
        <v>0</v>
      </c>
      <c r="H104" s="404">
        <f>(0.8+0.6)*E104*2*0.15*0.15</f>
        <v>6.3E-2</v>
      </c>
      <c r="I104" s="207"/>
      <c r="J104" s="208"/>
      <c r="K104" s="208"/>
    </row>
    <row r="105" spans="1:11" s="209" customFormat="1" ht="19.95" customHeight="1" x14ac:dyDescent="0.3">
      <c r="A105" s="700"/>
      <c r="B105" s="230">
        <v>2.75</v>
      </c>
      <c r="C105" s="742"/>
      <c r="D105" s="393">
        <v>0</v>
      </c>
      <c r="E105" s="383">
        <v>0</v>
      </c>
      <c r="F105" s="743"/>
      <c r="G105" s="393">
        <v>0</v>
      </c>
      <c r="H105" s="404"/>
      <c r="I105" s="207"/>
      <c r="J105" s="208"/>
      <c r="K105" s="208"/>
    </row>
    <row r="106" spans="1:11" s="209" customFormat="1" ht="19.95" customHeight="1" x14ac:dyDescent="0.3">
      <c r="A106" s="704" t="s">
        <v>239</v>
      </c>
      <c r="B106" s="228">
        <v>2.15</v>
      </c>
      <c r="C106" s="685">
        <f>C84</f>
        <v>2.7</v>
      </c>
      <c r="D106" s="395" t="s">
        <v>192</v>
      </c>
      <c r="E106" s="384">
        <v>1</v>
      </c>
      <c r="F106" s="687">
        <f>((B106+B107)*C106)-((0.8*2.1*E106)+(0.8*0.5*E107))</f>
        <v>7.6399999999999988</v>
      </c>
      <c r="G106" s="395">
        <v>0</v>
      </c>
      <c r="H106" s="406">
        <f>(0.8 + 0.6)*E106*0.15*0.15</f>
        <v>3.15E-2</v>
      </c>
      <c r="I106" s="158"/>
      <c r="J106" s="158"/>
      <c r="K106" s="158"/>
    </row>
    <row r="107" spans="1:11" s="209" customFormat="1" ht="20.399999999999999" customHeight="1" x14ac:dyDescent="0.3">
      <c r="A107" s="704"/>
      <c r="B107" s="230">
        <v>1.45</v>
      </c>
      <c r="C107" s="742"/>
      <c r="D107" s="397" t="s">
        <v>240</v>
      </c>
      <c r="E107" s="386">
        <v>1</v>
      </c>
      <c r="F107" s="743"/>
      <c r="G107" s="397">
        <v>0</v>
      </c>
      <c r="H107" s="408">
        <f>(0.8+0.6)*E107*2*0.15*0.15</f>
        <v>6.3E-2</v>
      </c>
      <c r="I107" s="158"/>
      <c r="J107" s="158"/>
      <c r="K107" s="158"/>
    </row>
    <row r="108" spans="1:11" s="365" customFormat="1" ht="19.95" customHeight="1" x14ac:dyDescent="0.3">
      <c r="A108" s="366" t="s">
        <v>821</v>
      </c>
      <c r="B108" s="367">
        <v>1.3</v>
      </c>
      <c r="C108" s="380">
        <v>2.7</v>
      </c>
      <c r="D108" s="398">
        <v>0</v>
      </c>
      <c r="E108" s="387">
        <v>0</v>
      </c>
      <c r="F108" s="368">
        <f>B108*C108</f>
        <v>3.5100000000000002</v>
      </c>
      <c r="G108" s="398">
        <v>0</v>
      </c>
      <c r="H108" s="409">
        <v>0</v>
      </c>
      <c r="I108" s="364"/>
      <c r="J108" s="364"/>
      <c r="K108" s="364"/>
    </row>
    <row r="109" spans="1:11" s="365" customFormat="1" ht="19.95" customHeight="1" x14ac:dyDescent="0.3">
      <c r="A109" s="701" t="s">
        <v>859</v>
      </c>
      <c r="B109" s="367">
        <v>7</v>
      </c>
      <c r="C109" s="679">
        <v>0.2</v>
      </c>
      <c r="D109" s="398">
        <v>0</v>
      </c>
      <c r="E109" s="387">
        <v>2</v>
      </c>
      <c r="F109" s="687">
        <f>(B109*C109*E109)+(B110*C109*E110)</f>
        <v>3.5600000000000005</v>
      </c>
      <c r="G109" s="771">
        <v>0</v>
      </c>
      <c r="H109" s="773">
        <v>0</v>
      </c>
      <c r="I109" s="364"/>
      <c r="J109" s="364"/>
      <c r="K109" s="364"/>
    </row>
    <row r="110" spans="1:11" s="365" customFormat="1" ht="19.95" customHeight="1" x14ac:dyDescent="0.3">
      <c r="A110" s="703"/>
      <c r="B110" s="367">
        <v>3.8</v>
      </c>
      <c r="C110" s="770"/>
      <c r="D110" s="398">
        <v>0</v>
      </c>
      <c r="E110" s="387">
        <v>1</v>
      </c>
      <c r="F110" s="743"/>
      <c r="G110" s="772"/>
      <c r="H110" s="774"/>
      <c r="I110" s="364"/>
      <c r="J110" s="364"/>
      <c r="K110" s="364"/>
    </row>
    <row r="111" spans="1:11" s="209" customFormat="1" ht="19.95" customHeight="1" x14ac:dyDescent="0.3">
      <c r="A111" s="694" t="s">
        <v>238</v>
      </c>
      <c r="B111" s="231">
        <v>2.15</v>
      </c>
      <c r="C111" s="686">
        <f>C84</f>
        <v>2.7</v>
      </c>
      <c r="D111" s="399" t="s">
        <v>820</v>
      </c>
      <c r="E111" s="388">
        <v>1</v>
      </c>
      <c r="F111" s="688">
        <f>((B111+B114+B112+B113)*C111)-((1.46*0.5*E111)+(0.8*2.1*E112))</f>
        <v>22.16</v>
      </c>
      <c r="G111" s="414">
        <f>(1.2+0.6)*E111*2*0.15*0.15</f>
        <v>8.0999999999999989E-2</v>
      </c>
      <c r="H111" s="410"/>
      <c r="I111" s="158"/>
      <c r="J111" s="158"/>
      <c r="K111" s="158"/>
    </row>
    <row r="112" spans="1:11" s="209" customFormat="1" ht="19.95" customHeight="1" x14ac:dyDescent="0.3">
      <c r="A112" s="694"/>
      <c r="B112" s="231">
        <v>2.15</v>
      </c>
      <c r="C112" s="686"/>
      <c r="D112" s="393" t="s">
        <v>192</v>
      </c>
      <c r="E112" s="382">
        <v>1</v>
      </c>
      <c r="F112" s="688"/>
      <c r="G112" s="393">
        <v>0</v>
      </c>
      <c r="H112" s="405">
        <f>(0.8 + 0.6)*E112*0.15*0.15</f>
        <v>3.15E-2</v>
      </c>
      <c r="I112" s="158"/>
      <c r="J112" s="158"/>
      <c r="K112" s="158"/>
    </row>
    <row r="113" spans="1:11" s="209" customFormat="1" ht="19.95" customHeight="1" x14ac:dyDescent="0.3">
      <c r="A113" s="694"/>
      <c r="B113" s="231">
        <v>2.4</v>
      </c>
      <c r="C113" s="686"/>
      <c r="D113" s="393">
        <v>0</v>
      </c>
      <c r="E113" s="382">
        <v>0</v>
      </c>
      <c r="F113" s="688"/>
      <c r="G113" s="393">
        <v>0</v>
      </c>
      <c r="H113" s="404">
        <v>0</v>
      </c>
      <c r="I113" s="158"/>
      <c r="J113" s="158"/>
      <c r="K113" s="158"/>
    </row>
    <row r="114" spans="1:11" s="209" customFormat="1" ht="19.95" customHeight="1" x14ac:dyDescent="0.3">
      <c r="A114" s="762"/>
      <c r="B114" s="229">
        <v>2.4</v>
      </c>
      <c r="C114" s="686"/>
      <c r="D114" s="393">
        <v>0</v>
      </c>
      <c r="E114" s="382">
        <v>0</v>
      </c>
      <c r="F114" s="688"/>
      <c r="G114" s="393">
        <v>0</v>
      </c>
      <c r="H114" s="404">
        <v>0</v>
      </c>
      <c r="I114" s="158"/>
      <c r="J114" s="158"/>
      <c r="K114" s="158"/>
    </row>
    <row r="115" spans="1:11" s="209" customFormat="1" ht="19.95" customHeight="1" x14ac:dyDescent="0.3">
      <c r="A115" s="676" t="s">
        <v>248</v>
      </c>
      <c r="B115" s="370">
        <v>12.5</v>
      </c>
      <c r="C115" s="685">
        <v>1</v>
      </c>
      <c r="D115" s="395">
        <v>0</v>
      </c>
      <c r="E115" s="384">
        <v>0</v>
      </c>
      <c r="F115" s="687">
        <f>((B115+B116+B117+B118+B119+B120+B123+B121+B122)*C115+B124)</f>
        <v>75.400000000000006</v>
      </c>
      <c r="G115" s="395">
        <v>0</v>
      </c>
      <c r="H115" s="406">
        <v>0</v>
      </c>
      <c r="I115" s="158"/>
      <c r="J115" s="158"/>
      <c r="K115" s="158"/>
    </row>
    <row r="116" spans="1:11" s="209" customFormat="1" ht="19.95" customHeight="1" x14ac:dyDescent="0.3">
      <c r="A116" s="677"/>
      <c r="B116" s="371">
        <v>1.35</v>
      </c>
      <c r="C116" s="686"/>
      <c r="D116" s="393">
        <v>0</v>
      </c>
      <c r="E116" s="383">
        <v>0</v>
      </c>
      <c r="F116" s="688"/>
      <c r="G116" s="393">
        <v>0</v>
      </c>
      <c r="H116" s="404">
        <v>0</v>
      </c>
      <c r="I116" s="158"/>
      <c r="J116" s="158"/>
      <c r="K116" s="158"/>
    </row>
    <row r="117" spans="1:11" s="209" customFormat="1" ht="19.95" customHeight="1" x14ac:dyDescent="0.3">
      <c r="A117" s="677"/>
      <c r="B117" s="371">
        <v>7.65</v>
      </c>
      <c r="C117" s="686"/>
      <c r="D117" s="394">
        <v>0</v>
      </c>
      <c r="E117" s="383">
        <v>0</v>
      </c>
      <c r="F117" s="688"/>
      <c r="G117" s="394">
        <v>0</v>
      </c>
      <c r="H117" s="405">
        <v>0</v>
      </c>
      <c r="I117" s="158"/>
      <c r="J117" s="158"/>
      <c r="K117" s="158"/>
    </row>
    <row r="118" spans="1:11" s="209" customFormat="1" ht="19.95" customHeight="1" x14ac:dyDescent="0.3">
      <c r="A118" s="677"/>
      <c r="B118" s="371">
        <v>5.7</v>
      </c>
      <c r="C118" s="686"/>
      <c r="D118" s="393">
        <v>0</v>
      </c>
      <c r="E118" s="383">
        <v>0</v>
      </c>
      <c r="F118" s="688"/>
      <c r="G118" s="393">
        <v>0</v>
      </c>
      <c r="H118" s="404">
        <v>0</v>
      </c>
      <c r="I118" s="158"/>
      <c r="J118" s="158"/>
      <c r="K118" s="158"/>
    </row>
    <row r="119" spans="1:11" s="209" customFormat="1" ht="19.95" customHeight="1" x14ac:dyDescent="0.3">
      <c r="A119" s="677"/>
      <c r="B119" s="371">
        <v>5</v>
      </c>
      <c r="C119" s="686"/>
      <c r="D119" s="394">
        <v>0</v>
      </c>
      <c r="E119" s="383">
        <v>0</v>
      </c>
      <c r="F119" s="688"/>
      <c r="G119" s="394">
        <v>0</v>
      </c>
      <c r="H119" s="405">
        <v>0</v>
      </c>
      <c r="I119" s="158"/>
      <c r="J119" s="158"/>
      <c r="K119" s="158"/>
    </row>
    <row r="120" spans="1:11" s="209" customFormat="1" ht="19.95" customHeight="1" x14ac:dyDescent="0.3">
      <c r="A120" s="677"/>
      <c r="B120" s="371">
        <v>3.4</v>
      </c>
      <c r="C120" s="686"/>
      <c r="D120" s="393">
        <v>0</v>
      </c>
      <c r="E120" s="383">
        <v>0</v>
      </c>
      <c r="F120" s="688"/>
      <c r="G120" s="393">
        <v>0</v>
      </c>
      <c r="H120" s="404">
        <v>0</v>
      </c>
      <c r="I120" s="158"/>
      <c r="J120" s="158"/>
      <c r="K120" s="158"/>
    </row>
    <row r="121" spans="1:11" s="209" customFormat="1" ht="19.95" customHeight="1" x14ac:dyDescent="0.3">
      <c r="A121" s="677"/>
      <c r="B121" s="371">
        <v>5</v>
      </c>
      <c r="C121" s="686"/>
      <c r="D121" s="394">
        <v>0</v>
      </c>
      <c r="E121" s="383">
        <v>0</v>
      </c>
      <c r="F121" s="688"/>
      <c r="G121" s="394">
        <v>0</v>
      </c>
      <c r="H121" s="405">
        <v>0</v>
      </c>
      <c r="I121" s="158"/>
      <c r="J121" s="158"/>
      <c r="K121" s="158"/>
    </row>
    <row r="122" spans="1:11" s="209" customFormat="1" ht="19.95" customHeight="1" x14ac:dyDescent="0.3">
      <c r="A122" s="677"/>
      <c r="B122" s="371">
        <v>13</v>
      </c>
      <c r="C122" s="686"/>
      <c r="D122" s="393">
        <v>0</v>
      </c>
      <c r="E122" s="383">
        <v>0</v>
      </c>
      <c r="F122" s="688"/>
      <c r="G122" s="393">
        <v>0</v>
      </c>
      <c r="H122" s="404">
        <v>0</v>
      </c>
      <c r="I122" s="158"/>
      <c r="J122" s="158"/>
      <c r="K122" s="158"/>
    </row>
    <row r="123" spans="1:11" s="209" customFormat="1" ht="19.95" customHeight="1" x14ac:dyDescent="0.3">
      <c r="A123" s="677"/>
      <c r="B123" s="371">
        <v>7.45</v>
      </c>
      <c r="C123" s="686"/>
      <c r="D123" s="394">
        <v>0</v>
      </c>
      <c r="E123" s="383">
        <v>0</v>
      </c>
      <c r="F123" s="688"/>
      <c r="G123" s="394">
        <v>0</v>
      </c>
      <c r="H123" s="405">
        <v>0</v>
      </c>
      <c r="I123" s="158"/>
      <c r="J123" s="158"/>
      <c r="K123" s="158"/>
    </row>
    <row r="124" spans="1:11" s="209" customFormat="1" ht="19.95" customHeight="1" x14ac:dyDescent="0.3">
      <c r="A124" s="677"/>
      <c r="B124" s="371">
        <v>14.35</v>
      </c>
      <c r="C124" s="686"/>
      <c r="D124" s="393"/>
      <c r="E124" s="383"/>
      <c r="F124" s="688"/>
      <c r="G124" s="393"/>
      <c r="H124" s="404"/>
      <c r="I124" s="158"/>
      <c r="J124" s="158"/>
      <c r="K124" s="158"/>
    </row>
    <row r="125" spans="1:11" s="209" customFormat="1" ht="19.95" customHeight="1" x14ac:dyDescent="0.3">
      <c r="A125" s="676" t="s">
        <v>195</v>
      </c>
      <c r="B125" s="370">
        <v>2.46</v>
      </c>
      <c r="C125" s="679">
        <v>2.15</v>
      </c>
      <c r="D125" s="400">
        <v>0</v>
      </c>
      <c r="E125" s="389">
        <v>0</v>
      </c>
      <c r="F125" s="682">
        <f>((B125+B126+B127+B128)*C125)</f>
        <v>18.317999999999998</v>
      </c>
      <c r="G125" s="400">
        <v>0</v>
      </c>
      <c r="H125" s="411">
        <v>0</v>
      </c>
      <c r="I125" s="207"/>
      <c r="J125" s="208"/>
      <c r="K125" s="208"/>
    </row>
    <row r="126" spans="1:11" s="209" customFormat="1" ht="19.95" customHeight="1" x14ac:dyDescent="0.3">
      <c r="A126" s="677"/>
      <c r="B126" s="372">
        <v>2.46</v>
      </c>
      <c r="C126" s="680"/>
      <c r="D126" s="401">
        <v>0</v>
      </c>
      <c r="E126" s="390">
        <v>0</v>
      </c>
      <c r="F126" s="683"/>
      <c r="G126" s="401">
        <v>0</v>
      </c>
      <c r="H126" s="412">
        <v>0</v>
      </c>
      <c r="I126" s="207"/>
      <c r="J126" s="208"/>
      <c r="K126" s="208"/>
    </row>
    <row r="127" spans="1:11" s="209" customFormat="1" ht="19.95" customHeight="1" x14ac:dyDescent="0.3">
      <c r="A127" s="677"/>
      <c r="B127" s="372">
        <v>1.8</v>
      </c>
      <c r="C127" s="680"/>
      <c r="D127" s="401">
        <v>0</v>
      </c>
      <c r="E127" s="390">
        <v>0</v>
      </c>
      <c r="F127" s="683"/>
      <c r="G127" s="401">
        <v>0</v>
      </c>
      <c r="H127" s="412">
        <v>0</v>
      </c>
      <c r="I127" s="207"/>
      <c r="J127" s="208"/>
      <c r="K127" s="208"/>
    </row>
    <row r="128" spans="1:11" s="209" customFormat="1" ht="19.95" customHeight="1" thickBot="1" x14ac:dyDescent="0.35">
      <c r="A128" s="678"/>
      <c r="B128" s="373">
        <v>1.8</v>
      </c>
      <c r="C128" s="681"/>
      <c r="D128" s="402">
        <v>0</v>
      </c>
      <c r="E128" s="391">
        <v>0</v>
      </c>
      <c r="F128" s="684"/>
      <c r="G128" s="402">
        <v>0</v>
      </c>
      <c r="H128" s="413">
        <v>0</v>
      </c>
      <c r="I128" s="207"/>
      <c r="J128" s="208"/>
      <c r="K128" s="208"/>
    </row>
    <row r="129" spans="1:11" s="209" customFormat="1" ht="19.95" customHeight="1" thickBot="1" x14ac:dyDescent="0.35">
      <c r="A129" s="674" t="s">
        <v>643</v>
      </c>
      <c r="B129" s="675"/>
      <c r="C129" s="675"/>
      <c r="D129" s="675"/>
      <c r="E129" s="692"/>
      <c r="F129" s="213">
        <f>SUM(F84:F128)</f>
        <v>259.15099999999995</v>
      </c>
      <c r="G129" s="213">
        <f>SUM(G84:G128)</f>
        <v>0.43199999999999994</v>
      </c>
      <c r="H129" s="213">
        <f>SUM(H84:H128)</f>
        <v>0.55035000000000001</v>
      </c>
      <c r="I129" s="208"/>
      <c r="J129" s="208"/>
      <c r="K129" s="208"/>
    </row>
    <row r="130" spans="1:11" s="206" customFormat="1" ht="13.8" thickBot="1" x14ac:dyDescent="0.3">
      <c r="A130" s="218"/>
      <c r="B130" s="219"/>
      <c r="C130" s="220"/>
      <c r="D130" s="216"/>
      <c r="E130" s="216"/>
      <c r="F130" s="216"/>
      <c r="G130" s="215"/>
      <c r="H130" s="216"/>
      <c r="I130" s="216"/>
      <c r="J130" s="215"/>
      <c r="K130" s="217"/>
    </row>
    <row r="131" spans="1:11" s="209" customFormat="1" ht="18" customHeight="1" thickBot="1" x14ac:dyDescent="0.35">
      <c r="A131" s="671" t="s">
        <v>666</v>
      </c>
      <c r="B131" s="672"/>
      <c r="C131" s="672"/>
      <c r="D131" s="673"/>
      <c r="E131" s="214"/>
      <c r="F131" s="214"/>
      <c r="G131" s="214"/>
      <c r="H131" s="214"/>
      <c r="I131" s="63"/>
      <c r="J131" s="208"/>
      <c r="K131" s="208"/>
    </row>
    <row r="132" spans="1:11" s="209" customFormat="1" ht="53.4" customHeight="1" thickBot="1" x14ac:dyDescent="0.35">
      <c r="A132" s="210" t="s">
        <v>1</v>
      </c>
      <c r="B132" s="211" t="s">
        <v>188</v>
      </c>
      <c r="C132" s="212" t="s">
        <v>189</v>
      </c>
      <c r="D132" s="212" t="s">
        <v>2</v>
      </c>
      <c r="E132" s="763" t="s">
        <v>190</v>
      </c>
      <c r="F132" s="764"/>
      <c r="G132" s="212" t="s">
        <v>663</v>
      </c>
      <c r="H132" s="212" t="s">
        <v>664</v>
      </c>
      <c r="I132" s="212" t="s">
        <v>665</v>
      </c>
      <c r="J132" s="287" t="s">
        <v>193</v>
      </c>
      <c r="K132" s="286"/>
    </row>
    <row r="133" spans="1:11" s="209" customFormat="1" ht="18" customHeight="1" x14ac:dyDescent="0.3">
      <c r="A133" s="693" t="s">
        <v>249</v>
      </c>
      <c r="B133" s="415">
        <v>9.81</v>
      </c>
      <c r="C133" s="751">
        <v>3</v>
      </c>
      <c r="D133" s="689">
        <v>1</v>
      </c>
      <c r="E133" s="392" t="s">
        <v>192</v>
      </c>
      <c r="F133" s="384">
        <v>1</v>
      </c>
      <c r="G133" s="705">
        <f>((((B133+B134+B135+B136+B137+B138)*C133) +(B139*C139))                        -((0.8*2.1*F133)+(1.2*1.2*F135)))*D133</f>
        <v>66.94</v>
      </c>
      <c r="H133" s="705">
        <f>G133</f>
        <v>66.94</v>
      </c>
      <c r="I133" s="705">
        <f>H133</f>
        <v>66.94</v>
      </c>
      <c r="J133" s="735">
        <v>0</v>
      </c>
      <c r="K133" s="690"/>
    </row>
    <row r="134" spans="1:11" s="209" customFormat="1" ht="18" customHeight="1" x14ac:dyDescent="0.3">
      <c r="A134" s="694"/>
      <c r="B134" s="416">
        <v>1.2</v>
      </c>
      <c r="C134" s="706"/>
      <c r="D134" s="690"/>
      <c r="E134" s="393">
        <v>0</v>
      </c>
      <c r="F134" s="382">
        <v>0</v>
      </c>
      <c r="G134" s="706"/>
      <c r="H134" s="706"/>
      <c r="I134" s="706"/>
      <c r="J134" s="736"/>
      <c r="K134" s="690"/>
    </row>
    <row r="135" spans="1:11" s="209" customFormat="1" ht="18" customHeight="1" x14ac:dyDescent="0.3">
      <c r="A135" s="694"/>
      <c r="B135" s="417">
        <v>3.68</v>
      </c>
      <c r="C135" s="706"/>
      <c r="D135" s="690"/>
      <c r="E135" s="393" t="s">
        <v>825</v>
      </c>
      <c r="F135" s="383">
        <v>1</v>
      </c>
      <c r="G135" s="706"/>
      <c r="H135" s="706"/>
      <c r="I135" s="706"/>
      <c r="J135" s="736"/>
      <c r="K135" s="690"/>
    </row>
    <row r="136" spans="1:11" s="209" customFormat="1" ht="18" customHeight="1" x14ac:dyDescent="0.3">
      <c r="A136" s="694"/>
      <c r="B136" s="417">
        <v>1.58</v>
      </c>
      <c r="C136" s="706"/>
      <c r="D136" s="690"/>
      <c r="E136" s="393">
        <v>0</v>
      </c>
      <c r="F136" s="383">
        <v>0</v>
      </c>
      <c r="G136" s="706"/>
      <c r="H136" s="706"/>
      <c r="I136" s="706"/>
      <c r="J136" s="736"/>
      <c r="K136" s="690"/>
    </row>
    <row r="137" spans="1:11" s="209" customFormat="1" ht="18" customHeight="1" x14ac:dyDescent="0.3">
      <c r="A137" s="694"/>
      <c r="B137" s="417">
        <v>3.97</v>
      </c>
      <c r="C137" s="706"/>
      <c r="D137" s="690"/>
      <c r="E137" s="393">
        <v>0</v>
      </c>
      <c r="F137" s="383">
        <v>0</v>
      </c>
      <c r="G137" s="706"/>
      <c r="H137" s="706"/>
      <c r="I137" s="706"/>
      <c r="J137" s="736"/>
      <c r="K137" s="690"/>
    </row>
    <row r="138" spans="1:11" s="209" customFormat="1" ht="18" customHeight="1" x14ac:dyDescent="0.3">
      <c r="A138" s="694"/>
      <c r="B138" s="418">
        <v>2.78</v>
      </c>
      <c r="C138" s="706"/>
      <c r="D138" s="690"/>
      <c r="E138" s="393">
        <v>0</v>
      </c>
      <c r="F138" s="383">
        <v>0</v>
      </c>
      <c r="G138" s="706"/>
      <c r="H138" s="706"/>
      <c r="I138" s="706"/>
      <c r="J138" s="736"/>
      <c r="K138" s="690"/>
    </row>
    <row r="139" spans="1:11" s="209" customFormat="1" ht="18" customHeight="1" x14ac:dyDescent="0.3">
      <c r="A139" s="762"/>
      <c r="B139" s="419">
        <v>1</v>
      </c>
      <c r="C139" s="425">
        <v>1</v>
      </c>
      <c r="D139" s="696"/>
      <c r="E139" s="397">
        <v>0</v>
      </c>
      <c r="F139" s="426">
        <v>0</v>
      </c>
      <c r="G139" s="707"/>
      <c r="H139" s="707"/>
      <c r="I139" s="707"/>
      <c r="J139" s="737"/>
      <c r="K139" s="690"/>
    </row>
    <row r="140" spans="1:11" s="209" customFormat="1" ht="18" customHeight="1" x14ac:dyDescent="0.3">
      <c r="A140" s="700" t="s">
        <v>250</v>
      </c>
      <c r="B140" s="415">
        <v>2.16</v>
      </c>
      <c r="C140" s="705">
        <v>3</v>
      </c>
      <c r="D140" s="689">
        <v>1</v>
      </c>
      <c r="E140" s="393" t="s">
        <v>245</v>
      </c>
      <c r="F140" s="383">
        <v>1</v>
      </c>
      <c r="G140" s="739">
        <f>((((B140+B141+B142)*C140)+(B143*C143))-((1.2*1*F140)))*D140</f>
        <v>15.280000000000001</v>
      </c>
      <c r="H140" s="739">
        <f>G140</f>
        <v>15.280000000000001</v>
      </c>
      <c r="I140" s="739">
        <v>0</v>
      </c>
      <c r="J140" s="738">
        <f>H140</f>
        <v>15.280000000000001</v>
      </c>
      <c r="K140" s="690"/>
    </row>
    <row r="141" spans="1:11" s="209" customFormat="1" ht="18" customHeight="1" x14ac:dyDescent="0.3">
      <c r="A141" s="700"/>
      <c r="B141" s="417">
        <v>1.5</v>
      </c>
      <c r="C141" s="706"/>
      <c r="D141" s="690"/>
      <c r="E141" s="393">
        <v>0</v>
      </c>
      <c r="F141" s="383">
        <v>0</v>
      </c>
      <c r="G141" s="707"/>
      <c r="H141" s="739"/>
      <c r="I141" s="739"/>
      <c r="J141" s="738"/>
      <c r="K141" s="690"/>
    </row>
    <row r="142" spans="1:11" s="209" customFormat="1" ht="18" customHeight="1" x14ac:dyDescent="0.3">
      <c r="A142" s="700"/>
      <c r="B142" s="418">
        <v>1.5</v>
      </c>
      <c r="C142" s="706"/>
      <c r="D142" s="690"/>
      <c r="E142" s="393">
        <v>0</v>
      </c>
      <c r="F142" s="383">
        <v>0</v>
      </c>
      <c r="G142" s="707"/>
      <c r="H142" s="739"/>
      <c r="I142" s="739"/>
      <c r="J142" s="738"/>
      <c r="K142" s="690"/>
    </row>
    <row r="143" spans="1:11" s="209" customFormat="1" ht="18" customHeight="1" x14ac:dyDescent="0.3">
      <c r="A143" s="700"/>
      <c r="B143" s="419">
        <v>1</v>
      </c>
      <c r="C143" s="425">
        <v>1</v>
      </c>
      <c r="D143" s="696"/>
      <c r="E143" s="397">
        <v>0</v>
      </c>
      <c r="F143" s="426">
        <v>0</v>
      </c>
      <c r="G143" s="707"/>
      <c r="H143" s="739"/>
      <c r="I143" s="739"/>
      <c r="J143" s="738"/>
      <c r="K143" s="690"/>
    </row>
    <row r="144" spans="1:11" s="209" customFormat="1" ht="18" customHeight="1" x14ac:dyDescent="0.3">
      <c r="A144" s="693" t="s">
        <v>252</v>
      </c>
      <c r="B144" s="415">
        <v>3.53</v>
      </c>
      <c r="C144" s="705">
        <v>3</v>
      </c>
      <c r="D144" s="689">
        <v>1</v>
      </c>
      <c r="E144" s="395" t="s">
        <v>192</v>
      </c>
      <c r="F144" s="384">
        <v>1</v>
      </c>
      <c r="G144" s="739">
        <f>(((B144+B145+B147+B146)*C144)-((0.8*2.1*F144)+(1.2*0.6*F145)))*D144</f>
        <v>27.36</v>
      </c>
      <c r="H144" s="739">
        <f>G144</f>
        <v>27.36</v>
      </c>
      <c r="I144" s="739">
        <f>H144</f>
        <v>27.36</v>
      </c>
      <c r="J144" s="738">
        <v>0</v>
      </c>
      <c r="K144" s="690"/>
    </row>
    <row r="145" spans="1:11" s="209" customFormat="1" ht="18" customHeight="1" x14ac:dyDescent="0.3">
      <c r="A145" s="694"/>
      <c r="B145" s="416">
        <v>3.53</v>
      </c>
      <c r="C145" s="706"/>
      <c r="D145" s="690"/>
      <c r="E145" s="393" t="s">
        <v>824</v>
      </c>
      <c r="F145" s="382">
        <v>1</v>
      </c>
      <c r="G145" s="707"/>
      <c r="H145" s="739"/>
      <c r="I145" s="739"/>
      <c r="J145" s="738"/>
      <c r="K145" s="690"/>
    </row>
    <row r="146" spans="1:11" s="209" customFormat="1" ht="18" customHeight="1" x14ac:dyDescent="0.3">
      <c r="A146" s="694"/>
      <c r="B146" s="416">
        <v>1.43</v>
      </c>
      <c r="C146" s="706"/>
      <c r="D146" s="690"/>
      <c r="E146" s="393">
        <v>0</v>
      </c>
      <c r="F146" s="383">
        <v>0</v>
      </c>
      <c r="G146" s="707"/>
      <c r="H146" s="739"/>
      <c r="I146" s="739"/>
      <c r="J146" s="738"/>
      <c r="K146" s="690"/>
    </row>
    <row r="147" spans="1:11" s="209" customFormat="1" ht="18" customHeight="1" x14ac:dyDescent="0.3">
      <c r="A147" s="762"/>
      <c r="B147" s="419">
        <v>1.43</v>
      </c>
      <c r="C147" s="707"/>
      <c r="D147" s="696"/>
      <c r="E147" s="397">
        <v>0</v>
      </c>
      <c r="F147" s="426">
        <v>0</v>
      </c>
      <c r="G147" s="707"/>
      <c r="H147" s="739"/>
      <c r="I147" s="739"/>
      <c r="J147" s="738"/>
      <c r="K147" s="690"/>
    </row>
    <row r="148" spans="1:11" s="209" customFormat="1" ht="18" customHeight="1" x14ac:dyDescent="0.3">
      <c r="A148" s="700" t="s">
        <v>241</v>
      </c>
      <c r="B148" s="415">
        <v>2.99</v>
      </c>
      <c r="C148" s="705">
        <v>3</v>
      </c>
      <c r="D148" s="689">
        <v>1</v>
      </c>
      <c r="E148" s="395" t="s">
        <v>192</v>
      </c>
      <c r="F148" s="384">
        <v>1</v>
      </c>
      <c r="G148" s="707">
        <f>(((B148+B149+B151+B150)*C148)-((0.8*2.1*F148)+(1.2*1.2*F149)))*D148</f>
        <v>31.319999999999997</v>
      </c>
      <c r="H148" s="707">
        <f>G148</f>
        <v>31.319999999999997</v>
      </c>
      <c r="I148" s="707">
        <f>H148</f>
        <v>31.319999999999997</v>
      </c>
      <c r="J148" s="737">
        <v>0</v>
      </c>
      <c r="K148" s="690"/>
    </row>
    <row r="149" spans="1:11" s="209" customFormat="1" ht="18" customHeight="1" x14ac:dyDescent="0.3">
      <c r="A149" s="700"/>
      <c r="B149" s="416">
        <v>2.99</v>
      </c>
      <c r="C149" s="706"/>
      <c r="D149" s="690"/>
      <c r="E149" s="393" t="s">
        <v>825</v>
      </c>
      <c r="F149" s="383">
        <v>1</v>
      </c>
      <c r="G149" s="707"/>
      <c r="H149" s="739"/>
      <c r="I149" s="739"/>
      <c r="J149" s="738"/>
      <c r="K149" s="690"/>
    </row>
    <row r="150" spans="1:11" s="209" customFormat="1" ht="18" customHeight="1" x14ac:dyDescent="0.3">
      <c r="A150" s="700"/>
      <c r="B150" s="416">
        <v>2.75</v>
      </c>
      <c r="C150" s="706"/>
      <c r="D150" s="690"/>
      <c r="E150" s="393"/>
      <c r="F150" s="383"/>
      <c r="G150" s="707"/>
      <c r="H150" s="739"/>
      <c r="I150" s="739"/>
      <c r="J150" s="738"/>
      <c r="K150" s="690"/>
    </row>
    <row r="151" spans="1:11" s="209" customFormat="1" ht="18" customHeight="1" x14ac:dyDescent="0.3">
      <c r="A151" s="700"/>
      <c r="B151" s="417">
        <v>2.75</v>
      </c>
      <c r="C151" s="706"/>
      <c r="D151" s="690"/>
      <c r="E151" s="393">
        <v>0</v>
      </c>
      <c r="F151" s="383">
        <v>0</v>
      </c>
      <c r="G151" s="707"/>
      <c r="H151" s="739"/>
      <c r="I151" s="739"/>
      <c r="J151" s="738"/>
      <c r="K151" s="690"/>
    </row>
    <row r="152" spans="1:11" s="209" customFormat="1" ht="18" customHeight="1" x14ac:dyDescent="0.3">
      <c r="A152" s="700" t="s">
        <v>243</v>
      </c>
      <c r="B152" s="415">
        <v>2.99</v>
      </c>
      <c r="C152" s="705">
        <v>3</v>
      </c>
      <c r="D152" s="689">
        <v>1</v>
      </c>
      <c r="E152" s="395" t="s">
        <v>192</v>
      </c>
      <c r="F152" s="384">
        <v>1</v>
      </c>
      <c r="G152" s="739">
        <f>(((B152+B153+B155+B154)*C152)-((0.8*2.1*F152)+(1.2*1.2*F153)))*D152</f>
        <v>31.319999999999997</v>
      </c>
      <c r="H152" s="739">
        <f>G152</f>
        <v>31.319999999999997</v>
      </c>
      <c r="I152" s="739">
        <f>H152</f>
        <v>31.319999999999997</v>
      </c>
      <c r="J152" s="738">
        <v>0</v>
      </c>
      <c r="K152" s="690"/>
    </row>
    <row r="153" spans="1:11" s="209" customFormat="1" ht="18" customHeight="1" x14ac:dyDescent="0.3">
      <c r="A153" s="700"/>
      <c r="B153" s="416">
        <v>2.99</v>
      </c>
      <c r="C153" s="706"/>
      <c r="D153" s="690"/>
      <c r="E153" s="393" t="s">
        <v>825</v>
      </c>
      <c r="F153" s="383">
        <v>1</v>
      </c>
      <c r="G153" s="707"/>
      <c r="H153" s="739"/>
      <c r="I153" s="739"/>
      <c r="J153" s="738"/>
      <c r="K153" s="690"/>
    </row>
    <row r="154" spans="1:11" s="209" customFormat="1" ht="18" customHeight="1" x14ac:dyDescent="0.3">
      <c r="A154" s="700"/>
      <c r="B154" s="416">
        <v>2.75</v>
      </c>
      <c r="C154" s="706"/>
      <c r="D154" s="690"/>
      <c r="E154" s="393">
        <v>0</v>
      </c>
      <c r="F154" s="383">
        <v>0</v>
      </c>
      <c r="G154" s="707"/>
      <c r="H154" s="739"/>
      <c r="I154" s="739"/>
      <c r="J154" s="738"/>
      <c r="K154" s="690"/>
    </row>
    <row r="155" spans="1:11" s="209" customFormat="1" ht="18" customHeight="1" x14ac:dyDescent="0.3">
      <c r="A155" s="708"/>
      <c r="B155" s="418">
        <v>2.75</v>
      </c>
      <c r="C155" s="706"/>
      <c r="D155" s="690"/>
      <c r="E155" s="393">
        <v>0</v>
      </c>
      <c r="F155" s="383">
        <v>0</v>
      </c>
      <c r="G155" s="744"/>
      <c r="H155" s="745"/>
      <c r="I155" s="745"/>
      <c r="J155" s="740"/>
      <c r="K155" s="690"/>
    </row>
    <row r="156" spans="1:11" s="209" customFormat="1" ht="18" customHeight="1" x14ac:dyDescent="0.3">
      <c r="A156" s="700" t="s">
        <v>817</v>
      </c>
      <c r="B156" s="415">
        <v>1.7</v>
      </c>
      <c r="C156" s="705">
        <v>3</v>
      </c>
      <c r="D156" s="689">
        <v>1</v>
      </c>
      <c r="E156" s="395" t="s">
        <v>192</v>
      </c>
      <c r="F156" s="384">
        <v>1</v>
      </c>
      <c r="G156" s="707">
        <f>(((B156+B157+B159+B158)*C156)-((0.8*2.1*F156)))*D156</f>
        <v>23.220000000000002</v>
      </c>
      <c r="H156" s="707">
        <f>G156</f>
        <v>23.220000000000002</v>
      </c>
      <c r="I156" s="707">
        <v>0</v>
      </c>
      <c r="J156" s="737">
        <f>H156</f>
        <v>23.220000000000002</v>
      </c>
      <c r="K156" s="690"/>
    </row>
    <row r="157" spans="1:11" s="209" customFormat="1" ht="18" customHeight="1" x14ac:dyDescent="0.3">
      <c r="A157" s="700"/>
      <c r="B157" s="417">
        <v>1.7</v>
      </c>
      <c r="C157" s="706"/>
      <c r="D157" s="690"/>
      <c r="E157" s="393">
        <v>0</v>
      </c>
      <c r="F157" s="382">
        <v>0</v>
      </c>
      <c r="G157" s="707"/>
      <c r="H157" s="739"/>
      <c r="I157" s="739"/>
      <c r="J157" s="738"/>
      <c r="K157" s="690"/>
    </row>
    <row r="158" spans="1:11" s="209" customFormat="1" ht="18" customHeight="1" x14ac:dyDescent="0.3">
      <c r="A158" s="700"/>
      <c r="B158" s="418">
        <v>2.4500000000000002</v>
      </c>
      <c r="C158" s="706"/>
      <c r="D158" s="690"/>
      <c r="E158" s="393">
        <v>0</v>
      </c>
      <c r="F158" s="383">
        <v>0</v>
      </c>
      <c r="G158" s="707"/>
      <c r="H158" s="739"/>
      <c r="I158" s="739"/>
      <c r="J158" s="738"/>
      <c r="K158" s="690"/>
    </row>
    <row r="159" spans="1:11" s="209" customFormat="1" ht="18" customHeight="1" x14ac:dyDescent="0.3">
      <c r="A159" s="700"/>
      <c r="B159" s="419">
        <v>2.4500000000000002</v>
      </c>
      <c r="C159" s="707"/>
      <c r="D159" s="696"/>
      <c r="E159" s="393">
        <v>0</v>
      </c>
      <c r="F159" s="383">
        <v>0</v>
      </c>
      <c r="G159" s="707"/>
      <c r="H159" s="739"/>
      <c r="I159" s="739"/>
      <c r="J159" s="738"/>
      <c r="K159" s="690"/>
    </row>
    <row r="160" spans="1:11" s="209" customFormat="1" ht="18" customHeight="1" x14ac:dyDescent="0.3">
      <c r="A160" s="700" t="s">
        <v>818</v>
      </c>
      <c r="B160" s="415">
        <v>1.7</v>
      </c>
      <c r="C160" s="705">
        <v>3</v>
      </c>
      <c r="D160" s="689">
        <v>1</v>
      </c>
      <c r="E160" s="395" t="s">
        <v>192</v>
      </c>
      <c r="F160" s="384">
        <v>1</v>
      </c>
      <c r="G160" s="707">
        <f>(((B160+B161+B163+B162)*C160)-((0.8*2.1*F160)+(0.8*0.6*F161)))*D160</f>
        <v>22.740000000000002</v>
      </c>
      <c r="H160" s="707">
        <f>G160</f>
        <v>22.740000000000002</v>
      </c>
      <c r="I160" s="707">
        <v>0</v>
      </c>
      <c r="J160" s="737">
        <f>H160</f>
        <v>22.740000000000002</v>
      </c>
      <c r="K160" s="690"/>
    </row>
    <row r="161" spans="1:11" s="209" customFormat="1" ht="18" customHeight="1" x14ac:dyDescent="0.3">
      <c r="A161" s="700"/>
      <c r="B161" s="417">
        <v>1.7</v>
      </c>
      <c r="C161" s="706"/>
      <c r="D161" s="690"/>
      <c r="E161" s="393" t="s">
        <v>826</v>
      </c>
      <c r="F161" s="382">
        <v>1</v>
      </c>
      <c r="G161" s="707"/>
      <c r="H161" s="739"/>
      <c r="I161" s="739"/>
      <c r="J161" s="738"/>
      <c r="K161" s="690"/>
    </row>
    <row r="162" spans="1:11" s="209" customFormat="1" ht="18" customHeight="1" x14ac:dyDescent="0.3">
      <c r="A162" s="700"/>
      <c r="B162" s="418">
        <v>2.4500000000000002</v>
      </c>
      <c r="C162" s="706"/>
      <c r="D162" s="690"/>
      <c r="E162" s="393">
        <v>0</v>
      </c>
      <c r="F162" s="383">
        <v>0</v>
      </c>
      <c r="G162" s="707"/>
      <c r="H162" s="739"/>
      <c r="I162" s="739"/>
      <c r="J162" s="738"/>
      <c r="K162" s="690"/>
    </row>
    <row r="163" spans="1:11" s="209" customFormat="1" ht="18" customHeight="1" x14ac:dyDescent="0.3">
      <c r="A163" s="708"/>
      <c r="B163" s="418">
        <v>2.4500000000000002</v>
      </c>
      <c r="C163" s="706"/>
      <c r="D163" s="690"/>
      <c r="E163" s="393">
        <v>0</v>
      </c>
      <c r="F163" s="383">
        <v>0</v>
      </c>
      <c r="G163" s="706"/>
      <c r="H163" s="705"/>
      <c r="I163" s="705"/>
      <c r="J163" s="735"/>
      <c r="K163" s="690"/>
    </row>
    <row r="164" spans="1:11" s="369" customFormat="1" ht="18" customHeight="1" x14ac:dyDescent="0.3">
      <c r="A164" s="361" t="s">
        <v>821</v>
      </c>
      <c r="B164" s="420">
        <v>1.3</v>
      </c>
      <c r="C164" s="360">
        <v>3</v>
      </c>
      <c r="D164" s="420">
        <v>1</v>
      </c>
      <c r="E164" s="433">
        <v>0</v>
      </c>
      <c r="F164" s="427">
        <v>0</v>
      </c>
      <c r="G164" s="360">
        <f>B164*C164*D164*2+(0.15*B164*D164)+(0.15*C164*D164)</f>
        <v>8.4450000000000003</v>
      </c>
      <c r="H164" s="360">
        <f>G164</f>
        <v>8.4450000000000003</v>
      </c>
      <c r="I164" s="360">
        <f>B164*C164*D164*1+(0.15*B164*D164)+(0.15*C164*D164)</f>
        <v>4.5450000000000008</v>
      </c>
      <c r="J164" s="358">
        <f>H164-I164</f>
        <v>3.8999999999999995</v>
      </c>
      <c r="K164" s="359"/>
    </row>
    <row r="165" spans="1:11" s="369" customFormat="1" ht="18" customHeight="1" x14ac:dyDescent="0.3">
      <c r="A165" s="701" t="s">
        <v>859</v>
      </c>
      <c r="B165" s="421">
        <f>B109</f>
        <v>7</v>
      </c>
      <c r="C165" s="362">
        <f>(0.5+0)/2</f>
        <v>0.25</v>
      </c>
      <c r="D165" s="421">
        <v>2</v>
      </c>
      <c r="E165" s="434">
        <v>0</v>
      </c>
      <c r="F165" s="384">
        <v>0</v>
      </c>
      <c r="G165" s="705">
        <f>((B165*C165*D165)+(B166*C166*D166))*2</f>
        <v>10.8</v>
      </c>
      <c r="H165" s="705">
        <f>G165</f>
        <v>10.8</v>
      </c>
      <c r="I165" s="705">
        <v>0</v>
      </c>
      <c r="J165" s="735">
        <f>H165</f>
        <v>10.8</v>
      </c>
      <c r="K165" s="359"/>
    </row>
    <row r="166" spans="1:11" s="369" customFormat="1" ht="18" customHeight="1" x14ac:dyDescent="0.3">
      <c r="A166" s="702"/>
      <c r="B166" s="421">
        <f>B110</f>
        <v>3.8</v>
      </c>
      <c r="C166" s="362">
        <v>0.5</v>
      </c>
      <c r="D166" s="421">
        <v>1</v>
      </c>
      <c r="E166" s="434">
        <v>0</v>
      </c>
      <c r="F166" s="384">
        <v>0</v>
      </c>
      <c r="G166" s="707"/>
      <c r="H166" s="707"/>
      <c r="I166" s="707"/>
      <c r="J166" s="737"/>
      <c r="K166" s="359"/>
    </row>
    <row r="167" spans="1:11" s="369" customFormat="1" ht="18" customHeight="1" x14ac:dyDescent="0.3">
      <c r="A167" s="702"/>
      <c r="B167" s="421">
        <v>3.15</v>
      </c>
      <c r="C167" s="705">
        <v>0.15</v>
      </c>
      <c r="D167" s="421">
        <v>2</v>
      </c>
      <c r="E167" s="434">
        <v>0</v>
      </c>
      <c r="F167" s="384">
        <v>0</v>
      </c>
      <c r="G167" s="705">
        <f>(B167*C167*D167)+(B168*C167*D168)+(B169*C167*D169)</f>
        <v>2.355</v>
      </c>
      <c r="H167" s="705">
        <f>G167</f>
        <v>2.355</v>
      </c>
      <c r="I167" s="705">
        <v>0</v>
      </c>
      <c r="J167" s="735">
        <f>H167</f>
        <v>2.355</v>
      </c>
      <c r="K167" s="359"/>
    </row>
    <row r="168" spans="1:11" s="369" customFormat="1" ht="18" customHeight="1" x14ac:dyDescent="0.3">
      <c r="A168" s="702"/>
      <c r="B168" s="421">
        <v>2.95</v>
      </c>
      <c r="C168" s="706"/>
      <c r="D168" s="421">
        <v>2</v>
      </c>
      <c r="E168" s="434">
        <v>0</v>
      </c>
      <c r="F168" s="384">
        <v>0</v>
      </c>
      <c r="G168" s="706"/>
      <c r="H168" s="706"/>
      <c r="I168" s="706"/>
      <c r="J168" s="736"/>
      <c r="K168" s="359"/>
    </row>
    <row r="169" spans="1:11" s="369" customFormat="1" ht="18" customHeight="1" x14ac:dyDescent="0.3">
      <c r="A169" s="703"/>
      <c r="B169" s="421">
        <v>3.5</v>
      </c>
      <c r="C169" s="707"/>
      <c r="D169" s="421">
        <v>1</v>
      </c>
      <c r="E169" s="434">
        <v>0</v>
      </c>
      <c r="F169" s="384">
        <v>0</v>
      </c>
      <c r="G169" s="707"/>
      <c r="H169" s="707"/>
      <c r="I169" s="707"/>
      <c r="J169" s="737"/>
      <c r="K169" s="359"/>
    </row>
    <row r="170" spans="1:11" s="209" customFormat="1" ht="18" customHeight="1" x14ac:dyDescent="0.3">
      <c r="A170" s="704" t="s">
        <v>239</v>
      </c>
      <c r="B170" s="415">
        <v>2</v>
      </c>
      <c r="C170" s="705">
        <v>3</v>
      </c>
      <c r="D170" s="689">
        <v>1</v>
      </c>
      <c r="E170" s="395" t="s">
        <v>192</v>
      </c>
      <c r="F170" s="384">
        <v>1</v>
      </c>
      <c r="G170" s="739">
        <f>(((B170+B171+B173+B172)*C170)-((0.8*2.1*F170)+(0.8*0.6*F171)))*D170</f>
        <v>16.740000000000002</v>
      </c>
      <c r="H170" s="739">
        <f>G170</f>
        <v>16.740000000000002</v>
      </c>
      <c r="I170" s="739">
        <v>0</v>
      </c>
      <c r="J170" s="738">
        <f>G170</f>
        <v>16.740000000000002</v>
      </c>
      <c r="K170" s="690"/>
    </row>
    <row r="171" spans="1:11" s="209" customFormat="1" ht="18" customHeight="1" x14ac:dyDescent="0.3">
      <c r="A171" s="704"/>
      <c r="B171" s="417">
        <v>2</v>
      </c>
      <c r="C171" s="706"/>
      <c r="D171" s="690"/>
      <c r="E171" s="393" t="s">
        <v>826</v>
      </c>
      <c r="F171" s="382">
        <v>1</v>
      </c>
      <c r="G171" s="707"/>
      <c r="H171" s="707"/>
      <c r="I171" s="707"/>
      <c r="J171" s="737"/>
      <c r="K171" s="690"/>
    </row>
    <row r="172" spans="1:11" s="209" customFormat="1" ht="18" customHeight="1" x14ac:dyDescent="0.3">
      <c r="A172" s="704"/>
      <c r="B172" s="417">
        <v>1.1499999999999999</v>
      </c>
      <c r="C172" s="706"/>
      <c r="D172" s="690"/>
      <c r="E172" s="393">
        <v>0</v>
      </c>
      <c r="F172" s="383">
        <v>0</v>
      </c>
      <c r="G172" s="707"/>
      <c r="H172" s="707"/>
      <c r="I172" s="707"/>
      <c r="J172" s="737"/>
      <c r="K172" s="690"/>
    </row>
    <row r="173" spans="1:11" s="209" customFormat="1" ht="18" customHeight="1" x14ac:dyDescent="0.3">
      <c r="A173" s="704"/>
      <c r="B173" s="419">
        <v>1.1499999999999999</v>
      </c>
      <c r="C173" s="707"/>
      <c r="D173" s="696"/>
      <c r="E173" s="397">
        <v>0</v>
      </c>
      <c r="F173" s="426">
        <v>0</v>
      </c>
      <c r="G173" s="707"/>
      <c r="H173" s="707"/>
      <c r="I173" s="707"/>
      <c r="J173" s="737"/>
      <c r="K173" s="690"/>
    </row>
    <row r="174" spans="1:11" s="209" customFormat="1" ht="18" customHeight="1" x14ac:dyDescent="0.3">
      <c r="A174" s="694" t="s">
        <v>238</v>
      </c>
      <c r="B174" s="416">
        <v>2</v>
      </c>
      <c r="C174" s="706">
        <v>3</v>
      </c>
      <c r="D174" s="690">
        <v>1</v>
      </c>
      <c r="E174" s="414" t="s">
        <v>819</v>
      </c>
      <c r="F174" s="388">
        <v>1</v>
      </c>
      <c r="G174" s="706">
        <f>(((B174+B175+B176+B177)*C174)-((1.2*0.6*F174)+(0.8*2.1*F175)))*D174</f>
        <v>23.1</v>
      </c>
      <c r="H174" s="706">
        <f>G174</f>
        <v>23.1</v>
      </c>
      <c r="I174" s="706">
        <v>0</v>
      </c>
      <c r="J174" s="736">
        <f>H174</f>
        <v>23.1</v>
      </c>
      <c r="K174" s="690"/>
    </row>
    <row r="175" spans="1:11" s="209" customFormat="1" ht="18" customHeight="1" x14ac:dyDescent="0.3">
      <c r="A175" s="694"/>
      <c r="B175" s="416">
        <v>2</v>
      </c>
      <c r="C175" s="706"/>
      <c r="D175" s="690"/>
      <c r="E175" s="393" t="s">
        <v>192</v>
      </c>
      <c r="F175" s="382">
        <v>1</v>
      </c>
      <c r="G175" s="706"/>
      <c r="H175" s="706"/>
      <c r="I175" s="706"/>
      <c r="J175" s="736"/>
      <c r="K175" s="690"/>
    </row>
    <row r="176" spans="1:11" s="209" customFormat="1" ht="18" customHeight="1" x14ac:dyDescent="0.3">
      <c r="A176" s="694"/>
      <c r="B176" s="416">
        <v>2.25</v>
      </c>
      <c r="C176" s="706"/>
      <c r="D176" s="690"/>
      <c r="E176" s="435">
        <v>0</v>
      </c>
      <c r="F176" s="428">
        <v>0</v>
      </c>
      <c r="G176" s="706"/>
      <c r="H176" s="706"/>
      <c r="I176" s="706"/>
      <c r="J176" s="736"/>
      <c r="K176" s="690"/>
    </row>
    <row r="177" spans="1:11" s="209" customFormat="1" ht="18" customHeight="1" thickBot="1" x14ac:dyDescent="0.35">
      <c r="A177" s="695"/>
      <c r="B177" s="544">
        <v>2.25</v>
      </c>
      <c r="C177" s="741"/>
      <c r="D177" s="747"/>
      <c r="E177" s="440">
        <v>0</v>
      </c>
      <c r="F177" s="545">
        <v>0</v>
      </c>
      <c r="G177" s="741"/>
      <c r="H177" s="741"/>
      <c r="I177" s="741"/>
      <c r="J177" s="746"/>
      <c r="K177" s="690"/>
    </row>
    <row r="178" spans="1:11" s="209" customFormat="1" ht="18" customHeight="1" x14ac:dyDescent="0.3">
      <c r="A178" s="750" t="s">
        <v>248</v>
      </c>
      <c r="B178" s="449">
        <f>B115</f>
        <v>12.5</v>
      </c>
      <c r="C178" s="751">
        <v>1</v>
      </c>
      <c r="D178" s="752">
        <v>2</v>
      </c>
      <c r="E178" s="546">
        <v>0</v>
      </c>
      <c r="F178" s="381">
        <v>0</v>
      </c>
      <c r="G178" s="748">
        <f>(((B178+B179+B180+B181+B182+B183+B186+B187+B184+B185)*C178)*D178)</f>
        <v>150.80000000000001</v>
      </c>
      <c r="H178" s="748">
        <f>G178</f>
        <v>150.80000000000001</v>
      </c>
      <c r="I178" s="748">
        <f>H178</f>
        <v>150.80000000000001</v>
      </c>
      <c r="J178" s="749">
        <v>0</v>
      </c>
      <c r="K178" s="690"/>
    </row>
    <row r="179" spans="1:11" s="209" customFormat="1" ht="18" customHeight="1" x14ac:dyDescent="0.3">
      <c r="A179" s="702"/>
      <c r="B179" s="416">
        <f t="shared" ref="B179:B187" si="36">B116</f>
        <v>1.35</v>
      </c>
      <c r="C179" s="706"/>
      <c r="D179" s="690"/>
      <c r="E179" s="393">
        <v>0</v>
      </c>
      <c r="F179" s="383">
        <v>0</v>
      </c>
      <c r="G179" s="739"/>
      <c r="H179" s="739"/>
      <c r="I179" s="739"/>
      <c r="J179" s="738"/>
      <c r="K179" s="690"/>
    </row>
    <row r="180" spans="1:11" s="209" customFormat="1" ht="18" customHeight="1" x14ac:dyDescent="0.3">
      <c r="A180" s="702"/>
      <c r="B180" s="416">
        <f t="shared" si="36"/>
        <v>7.65</v>
      </c>
      <c r="C180" s="706"/>
      <c r="D180" s="690"/>
      <c r="E180" s="393">
        <v>0</v>
      </c>
      <c r="F180" s="383">
        <v>0</v>
      </c>
      <c r="G180" s="739"/>
      <c r="H180" s="739"/>
      <c r="I180" s="739"/>
      <c r="J180" s="738"/>
      <c r="K180" s="690"/>
    </row>
    <row r="181" spans="1:11" s="209" customFormat="1" ht="18" customHeight="1" x14ac:dyDescent="0.3">
      <c r="A181" s="702"/>
      <c r="B181" s="416">
        <f t="shared" si="36"/>
        <v>5.7</v>
      </c>
      <c r="C181" s="706"/>
      <c r="D181" s="690"/>
      <c r="E181" s="393">
        <v>0</v>
      </c>
      <c r="F181" s="383">
        <v>0</v>
      </c>
      <c r="G181" s="739"/>
      <c r="H181" s="739"/>
      <c r="I181" s="739"/>
      <c r="J181" s="738"/>
      <c r="K181" s="690"/>
    </row>
    <row r="182" spans="1:11" s="209" customFormat="1" ht="18" customHeight="1" x14ac:dyDescent="0.3">
      <c r="A182" s="702"/>
      <c r="B182" s="416">
        <f t="shared" si="36"/>
        <v>5</v>
      </c>
      <c r="C182" s="706"/>
      <c r="D182" s="690"/>
      <c r="E182" s="393">
        <v>0</v>
      </c>
      <c r="F182" s="383">
        <v>0</v>
      </c>
      <c r="G182" s="739"/>
      <c r="H182" s="739"/>
      <c r="I182" s="739"/>
      <c r="J182" s="738"/>
      <c r="K182" s="690"/>
    </row>
    <row r="183" spans="1:11" s="209" customFormat="1" ht="18" customHeight="1" x14ac:dyDescent="0.3">
      <c r="A183" s="702"/>
      <c r="B183" s="416">
        <f t="shared" si="36"/>
        <v>3.4</v>
      </c>
      <c r="C183" s="706"/>
      <c r="D183" s="690"/>
      <c r="E183" s="393">
        <v>0</v>
      </c>
      <c r="F183" s="383">
        <v>0</v>
      </c>
      <c r="G183" s="739"/>
      <c r="H183" s="739"/>
      <c r="I183" s="739"/>
      <c r="J183" s="738"/>
      <c r="K183" s="690"/>
    </row>
    <row r="184" spans="1:11" s="209" customFormat="1" ht="18" customHeight="1" x14ac:dyDescent="0.3">
      <c r="A184" s="702"/>
      <c r="B184" s="416">
        <f t="shared" si="36"/>
        <v>5</v>
      </c>
      <c r="C184" s="706"/>
      <c r="D184" s="690"/>
      <c r="E184" s="393">
        <v>0</v>
      </c>
      <c r="F184" s="383">
        <v>0</v>
      </c>
      <c r="G184" s="739"/>
      <c r="H184" s="739"/>
      <c r="I184" s="739"/>
      <c r="J184" s="738"/>
      <c r="K184" s="690"/>
    </row>
    <row r="185" spans="1:11" s="209" customFormat="1" ht="18" customHeight="1" x14ac:dyDescent="0.3">
      <c r="A185" s="702"/>
      <c r="B185" s="416">
        <f t="shared" si="36"/>
        <v>13</v>
      </c>
      <c r="C185" s="706"/>
      <c r="D185" s="690"/>
      <c r="E185" s="393">
        <v>0</v>
      </c>
      <c r="F185" s="383">
        <v>0</v>
      </c>
      <c r="G185" s="739"/>
      <c r="H185" s="739"/>
      <c r="I185" s="739"/>
      <c r="J185" s="738"/>
      <c r="K185" s="690"/>
    </row>
    <row r="186" spans="1:11" s="209" customFormat="1" ht="18" customHeight="1" x14ac:dyDescent="0.3">
      <c r="A186" s="702"/>
      <c r="B186" s="416">
        <f t="shared" si="36"/>
        <v>7.45</v>
      </c>
      <c r="C186" s="706"/>
      <c r="D186" s="690"/>
      <c r="E186" s="393">
        <v>0</v>
      </c>
      <c r="F186" s="383">
        <v>0</v>
      </c>
      <c r="G186" s="739"/>
      <c r="H186" s="739"/>
      <c r="I186" s="739"/>
      <c r="J186" s="738"/>
      <c r="K186" s="690"/>
    </row>
    <row r="187" spans="1:11" s="209" customFormat="1" ht="18" customHeight="1" x14ac:dyDescent="0.3">
      <c r="A187" s="702"/>
      <c r="B187" s="359">
        <f t="shared" si="36"/>
        <v>14.35</v>
      </c>
      <c r="C187" s="706"/>
      <c r="D187" s="690"/>
      <c r="E187" s="393">
        <v>0</v>
      </c>
      <c r="F187" s="383">
        <v>0</v>
      </c>
      <c r="G187" s="705"/>
      <c r="H187" s="705"/>
      <c r="I187" s="705"/>
      <c r="J187" s="735"/>
      <c r="K187" s="690"/>
    </row>
    <row r="188" spans="1:11" s="209" customFormat="1" ht="18" customHeight="1" x14ac:dyDescent="0.3">
      <c r="A188" s="701" t="s">
        <v>195</v>
      </c>
      <c r="B188" s="441">
        <v>2.46</v>
      </c>
      <c r="C188" s="705">
        <v>2.25</v>
      </c>
      <c r="D188" s="689">
        <v>2</v>
      </c>
      <c r="E188" s="439">
        <v>0</v>
      </c>
      <c r="F188" s="432">
        <v>0</v>
      </c>
      <c r="G188" s="739">
        <f>(((B188+B189+B190+B191)*C188)*D188)</f>
        <v>38.339999999999996</v>
      </c>
      <c r="H188" s="739">
        <f>G188</f>
        <v>38.339999999999996</v>
      </c>
      <c r="I188" s="739">
        <f>H188</f>
        <v>38.339999999999996</v>
      </c>
      <c r="J188" s="738">
        <v>0</v>
      </c>
      <c r="K188" s="690"/>
    </row>
    <row r="189" spans="1:11" s="209" customFormat="1" ht="18" customHeight="1" x14ac:dyDescent="0.3">
      <c r="A189" s="702"/>
      <c r="B189" s="442">
        <v>2.46</v>
      </c>
      <c r="C189" s="706"/>
      <c r="D189" s="690"/>
      <c r="E189" s="436">
        <v>0</v>
      </c>
      <c r="F189" s="429">
        <v>0</v>
      </c>
      <c r="G189" s="739"/>
      <c r="H189" s="739"/>
      <c r="I189" s="739"/>
      <c r="J189" s="738"/>
      <c r="K189" s="690"/>
    </row>
    <row r="190" spans="1:11" s="209" customFormat="1" ht="18" customHeight="1" x14ac:dyDescent="0.3">
      <c r="A190" s="702"/>
      <c r="B190" s="442">
        <v>1.8</v>
      </c>
      <c r="C190" s="706"/>
      <c r="D190" s="690"/>
      <c r="E190" s="435">
        <v>0</v>
      </c>
      <c r="F190" s="429">
        <v>0</v>
      </c>
      <c r="G190" s="739"/>
      <c r="H190" s="739"/>
      <c r="I190" s="739"/>
      <c r="J190" s="738"/>
      <c r="K190" s="690"/>
    </row>
    <row r="191" spans="1:11" s="209" customFormat="1" ht="18" customHeight="1" x14ac:dyDescent="0.3">
      <c r="A191" s="703"/>
      <c r="B191" s="443">
        <v>1.8</v>
      </c>
      <c r="C191" s="707"/>
      <c r="D191" s="696"/>
      <c r="E191" s="437">
        <v>0</v>
      </c>
      <c r="F191" s="430">
        <v>0</v>
      </c>
      <c r="G191" s="739"/>
      <c r="H191" s="739"/>
      <c r="I191" s="739"/>
      <c r="J191" s="738"/>
      <c r="K191" s="690"/>
    </row>
    <row r="192" spans="1:11" s="209" customFormat="1" ht="18" customHeight="1" x14ac:dyDescent="0.3">
      <c r="A192" s="701" t="s">
        <v>251</v>
      </c>
      <c r="B192" s="422">
        <v>2.4500000000000002</v>
      </c>
      <c r="C192" s="706">
        <v>3</v>
      </c>
      <c r="D192" s="690">
        <v>1</v>
      </c>
      <c r="E192" s="438" t="s">
        <v>192</v>
      </c>
      <c r="F192" s="431">
        <v>3</v>
      </c>
      <c r="G192" s="707">
        <f>(((B192+B193+B194+B195+B196+B197+B198+B201+B199+B200)*C192)      -((0.8*2.1*F192)+(1.2*0.6*F193)+(0.8*0.6*F194)+(1.2*1.2*F195)+(1.2*1*F196)))*D192</f>
        <v>106.11000000000001</v>
      </c>
      <c r="H192" s="707">
        <f>G192</f>
        <v>106.11000000000001</v>
      </c>
      <c r="I192" s="707">
        <f>H192</f>
        <v>106.11000000000001</v>
      </c>
      <c r="J192" s="737">
        <v>0</v>
      </c>
      <c r="K192" s="690"/>
    </row>
    <row r="193" spans="1:11" s="209" customFormat="1" ht="18" customHeight="1" x14ac:dyDescent="0.3">
      <c r="A193" s="702"/>
      <c r="B193" s="423">
        <v>1.65</v>
      </c>
      <c r="C193" s="706"/>
      <c r="D193" s="690"/>
      <c r="E193" s="393" t="s">
        <v>819</v>
      </c>
      <c r="F193" s="429">
        <v>2</v>
      </c>
      <c r="G193" s="707"/>
      <c r="H193" s="707"/>
      <c r="I193" s="707"/>
      <c r="J193" s="737"/>
      <c r="K193" s="690"/>
    </row>
    <row r="194" spans="1:11" s="209" customFormat="1" ht="18" customHeight="1" x14ac:dyDescent="0.3">
      <c r="A194" s="702"/>
      <c r="B194" s="423">
        <v>7.65</v>
      </c>
      <c r="C194" s="706"/>
      <c r="D194" s="690"/>
      <c r="E194" s="393" t="s">
        <v>826</v>
      </c>
      <c r="F194" s="429">
        <v>3</v>
      </c>
      <c r="G194" s="707"/>
      <c r="H194" s="707"/>
      <c r="I194" s="707"/>
      <c r="J194" s="737"/>
      <c r="K194" s="690"/>
    </row>
    <row r="195" spans="1:11" s="209" customFormat="1" ht="18" customHeight="1" x14ac:dyDescent="0.3">
      <c r="A195" s="702"/>
      <c r="B195" s="423">
        <v>6</v>
      </c>
      <c r="C195" s="706"/>
      <c r="D195" s="690"/>
      <c r="E195" s="393" t="s">
        <v>825</v>
      </c>
      <c r="F195" s="429">
        <v>3</v>
      </c>
      <c r="G195" s="707"/>
      <c r="H195" s="707"/>
      <c r="I195" s="707"/>
      <c r="J195" s="737"/>
      <c r="K195" s="690"/>
    </row>
    <row r="196" spans="1:11" s="209" customFormat="1" ht="18" customHeight="1" x14ac:dyDescent="0.3">
      <c r="A196" s="702"/>
      <c r="B196" s="423">
        <v>1.3</v>
      </c>
      <c r="C196" s="706"/>
      <c r="D196" s="690"/>
      <c r="E196" s="393" t="s">
        <v>245</v>
      </c>
      <c r="F196" s="429">
        <v>1</v>
      </c>
      <c r="G196" s="707"/>
      <c r="H196" s="707"/>
      <c r="I196" s="707"/>
      <c r="J196" s="737"/>
      <c r="K196" s="690"/>
    </row>
    <row r="197" spans="1:11" s="209" customFormat="1" ht="18" customHeight="1" x14ac:dyDescent="0.3">
      <c r="A197" s="702"/>
      <c r="B197" s="423">
        <v>2.15</v>
      </c>
      <c r="C197" s="706"/>
      <c r="D197" s="690"/>
      <c r="E197" s="393">
        <v>0</v>
      </c>
      <c r="F197" s="382">
        <v>0</v>
      </c>
      <c r="G197" s="707"/>
      <c r="H197" s="707"/>
      <c r="I197" s="707"/>
      <c r="J197" s="737"/>
      <c r="K197" s="690"/>
    </row>
    <row r="198" spans="1:11" s="209" customFormat="1" ht="18" customHeight="1" x14ac:dyDescent="0.3">
      <c r="A198" s="702"/>
      <c r="B198" s="423">
        <v>3.85</v>
      </c>
      <c r="C198" s="706"/>
      <c r="D198" s="690"/>
      <c r="E198" s="435">
        <v>0</v>
      </c>
      <c r="F198" s="429">
        <v>0</v>
      </c>
      <c r="G198" s="707"/>
      <c r="H198" s="707"/>
      <c r="I198" s="707"/>
      <c r="J198" s="737"/>
      <c r="K198" s="690"/>
    </row>
    <row r="199" spans="1:11" s="209" customFormat="1" ht="18" customHeight="1" x14ac:dyDescent="0.3">
      <c r="A199" s="702"/>
      <c r="B199" s="424">
        <v>2.15</v>
      </c>
      <c r="C199" s="706"/>
      <c r="D199" s="690"/>
      <c r="E199" s="435">
        <v>0</v>
      </c>
      <c r="F199" s="429">
        <v>0</v>
      </c>
      <c r="G199" s="707"/>
      <c r="H199" s="707"/>
      <c r="I199" s="707"/>
      <c r="J199" s="737"/>
      <c r="K199" s="690"/>
    </row>
    <row r="200" spans="1:11" s="209" customFormat="1" ht="18" customHeight="1" x14ac:dyDescent="0.3">
      <c r="A200" s="702"/>
      <c r="B200" s="424">
        <v>5</v>
      </c>
      <c r="C200" s="706"/>
      <c r="D200" s="690"/>
      <c r="E200" s="435">
        <v>0</v>
      </c>
      <c r="F200" s="429">
        <v>0</v>
      </c>
      <c r="G200" s="707"/>
      <c r="H200" s="707"/>
      <c r="I200" s="707"/>
      <c r="J200" s="737"/>
      <c r="K200" s="690"/>
    </row>
    <row r="201" spans="1:11" s="209" customFormat="1" ht="18" customHeight="1" x14ac:dyDescent="0.3">
      <c r="A201" s="702"/>
      <c r="B201" s="424">
        <v>7.65</v>
      </c>
      <c r="C201" s="706"/>
      <c r="D201" s="690"/>
      <c r="E201" s="435">
        <v>0</v>
      </c>
      <c r="F201" s="429">
        <v>0</v>
      </c>
      <c r="G201" s="707"/>
      <c r="H201" s="707"/>
      <c r="I201" s="707"/>
      <c r="J201" s="737"/>
      <c r="K201" s="690"/>
    </row>
    <row r="202" spans="1:11" s="209" customFormat="1" ht="18" customHeight="1" x14ac:dyDescent="0.3">
      <c r="A202" s="693" t="s">
        <v>253</v>
      </c>
      <c r="B202" s="415">
        <v>0.3</v>
      </c>
      <c r="C202" s="705">
        <v>3</v>
      </c>
      <c r="D202" s="689">
        <v>16</v>
      </c>
      <c r="E202" s="439">
        <v>0</v>
      </c>
      <c r="F202" s="432">
        <v>0</v>
      </c>
      <c r="G202" s="739">
        <f>(((B202+B203+B204+B205)*C202)*D202)</f>
        <v>43.2</v>
      </c>
      <c r="H202" s="739">
        <f>G202</f>
        <v>43.2</v>
      </c>
      <c r="I202" s="739">
        <f>H202</f>
        <v>43.2</v>
      </c>
      <c r="J202" s="738">
        <v>0</v>
      </c>
      <c r="K202" s="690"/>
    </row>
    <row r="203" spans="1:11" s="209" customFormat="1" ht="18" customHeight="1" x14ac:dyDescent="0.3">
      <c r="A203" s="694"/>
      <c r="B203" s="417">
        <v>0.3</v>
      </c>
      <c r="C203" s="706"/>
      <c r="D203" s="690"/>
      <c r="E203" s="436">
        <v>0</v>
      </c>
      <c r="F203" s="429">
        <v>0</v>
      </c>
      <c r="G203" s="739"/>
      <c r="H203" s="739"/>
      <c r="I203" s="739"/>
      <c r="J203" s="738"/>
      <c r="K203" s="690"/>
    </row>
    <row r="204" spans="1:11" s="209" customFormat="1" ht="18" customHeight="1" x14ac:dyDescent="0.3">
      <c r="A204" s="694"/>
      <c r="B204" s="417">
        <v>0.15</v>
      </c>
      <c r="C204" s="706"/>
      <c r="D204" s="690"/>
      <c r="E204" s="435">
        <v>0</v>
      </c>
      <c r="F204" s="429">
        <v>0</v>
      </c>
      <c r="G204" s="739"/>
      <c r="H204" s="739"/>
      <c r="I204" s="739"/>
      <c r="J204" s="738"/>
      <c r="K204" s="690"/>
    </row>
    <row r="205" spans="1:11" s="209" customFormat="1" ht="18" customHeight="1" thickBot="1" x14ac:dyDescent="0.35">
      <c r="A205" s="695"/>
      <c r="B205" s="419">
        <v>0.15</v>
      </c>
      <c r="C205" s="741"/>
      <c r="D205" s="696"/>
      <c r="E205" s="440">
        <v>0</v>
      </c>
      <c r="F205" s="430">
        <v>0</v>
      </c>
      <c r="G205" s="739"/>
      <c r="H205" s="739"/>
      <c r="I205" s="739"/>
      <c r="J205" s="738"/>
      <c r="K205" s="690"/>
    </row>
    <row r="206" spans="1:11" s="209" customFormat="1" ht="18" customHeight="1" thickBot="1" x14ac:dyDescent="0.35">
      <c r="A206" s="691" t="s">
        <v>667</v>
      </c>
      <c r="B206" s="675"/>
      <c r="C206" s="675"/>
      <c r="D206" s="675"/>
      <c r="E206" s="675"/>
      <c r="F206" s="692"/>
      <c r="G206" s="222">
        <f>SUM(G133:G205)</f>
        <v>618.07000000000005</v>
      </c>
      <c r="H206" s="222">
        <f>SUM(H133:H205)</f>
        <v>618.07000000000005</v>
      </c>
      <c r="I206" s="222">
        <f>SUM(I133:I205)</f>
        <v>499.93499999999995</v>
      </c>
      <c r="J206" s="213">
        <f>SUM(J133:J205)</f>
        <v>118.13499999999999</v>
      </c>
      <c r="K206" s="290"/>
    </row>
    <row r="207" spans="1:11" x14ac:dyDescent="0.3">
      <c r="A207" s="171"/>
      <c r="B207" s="171"/>
      <c r="C207" s="171"/>
      <c r="D207" s="171"/>
      <c r="E207" s="171"/>
      <c r="F207" s="171"/>
      <c r="G207" s="171"/>
      <c r="H207" s="171"/>
      <c r="I207" s="171"/>
    </row>
    <row r="208" spans="1:11" ht="15" thickBot="1" x14ac:dyDescent="0.35">
      <c r="A208" s="171"/>
      <c r="B208" s="171"/>
      <c r="C208" s="171"/>
      <c r="D208" s="171"/>
      <c r="E208" s="171"/>
      <c r="F208" s="171"/>
      <c r="G208" s="171"/>
      <c r="H208" s="171"/>
      <c r="I208" s="171"/>
    </row>
    <row r="209" spans="1:11" ht="15" thickBot="1" x14ac:dyDescent="0.35">
      <c r="A209" s="671" t="s">
        <v>668</v>
      </c>
      <c r="B209" s="672"/>
      <c r="C209" s="672"/>
      <c r="D209" s="673"/>
      <c r="E209" s="214"/>
      <c r="F209" s="214"/>
      <c r="G209" s="214"/>
      <c r="H209" s="214"/>
      <c r="I209" s="63"/>
      <c r="J209" s="208"/>
      <c r="K209" s="208"/>
    </row>
    <row r="210" spans="1:11" ht="46.8" customHeight="1" thickBot="1" x14ac:dyDescent="0.35">
      <c r="A210" s="210" t="s">
        <v>1</v>
      </c>
      <c r="B210" s="211" t="s">
        <v>188</v>
      </c>
      <c r="C210" s="212" t="s">
        <v>860</v>
      </c>
      <c r="D210" s="212" t="s">
        <v>2</v>
      </c>
      <c r="E210" s="212" t="s">
        <v>669</v>
      </c>
      <c r="F210" s="212" t="s">
        <v>687</v>
      </c>
      <c r="G210" s="212" t="s">
        <v>684</v>
      </c>
      <c r="H210" s="212" t="s">
        <v>822</v>
      </c>
      <c r="I210" s="287" t="s">
        <v>670</v>
      </c>
      <c r="J210" s="286"/>
      <c r="K210" s="286"/>
    </row>
    <row r="211" spans="1:11" ht="19.95" customHeight="1" x14ac:dyDescent="0.3">
      <c r="A211" s="444" t="s">
        <v>671</v>
      </c>
      <c r="B211" s="447">
        <v>6.15</v>
      </c>
      <c r="C211" s="449">
        <v>2.8</v>
      </c>
      <c r="D211" s="447">
        <v>1</v>
      </c>
      <c r="E211" s="449">
        <v>0</v>
      </c>
      <c r="F211" s="447">
        <v>0</v>
      </c>
      <c r="G211" s="449">
        <f>B211*C211*D211</f>
        <v>17.22</v>
      </c>
      <c r="H211" s="447"/>
      <c r="I211" s="288">
        <f t="shared" ref="I211:I216" si="37">G211+F211</f>
        <v>17.22</v>
      </c>
    </row>
    <row r="212" spans="1:11" ht="19.95" customHeight="1" x14ac:dyDescent="0.3">
      <c r="A212" s="445" t="s">
        <v>672</v>
      </c>
      <c r="B212" s="448">
        <v>3.7</v>
      </c>
      <c r="C212" s="417">
        <v>1.2</v>
      </c>
      <c r="D212" s="448">
        <v>1</v>
      </c>
      <c r="E212" s="417">
        <v>0</v>
      </c>
      <c r="F212" s="448">
        <v>0</v>
      </c>
      <c r="G212" s="417">
        <f t="shared" ref="G212:G220" si="38">B212*C212*D212</f>
        <v>4.4400000000000004</v>
      </c>
      <c r="H212" s="448"/>
      <c r="I212" s="289">
        <f t="shared" si="37"/>
        <v>4.4400000000000004</v>
      </c>
    </row>
    <row r="213" spans="1:11" ht="19.95" customHeight="1" x14ac:dyDescent="0.3">
      <c r="A213" s="445" t="s">
        <v>250</v>
      </c>
      <c r="B213" s="448">
        <v>2.16</v>
      </c>
      <c r="C213" s="417">
        <v>1.65</v>
      </c>
      <c r="D213" s="448">
        <v>1</v>
      </c>
      <c r="E213" s="417">
        <v>0</v>
      </c>
      <c r="F213" s="448">
        <v>0</v>
      </c>
      <c r="G213" s="417">
        <f t="shared" si="38"/>
        <v>3.5640000000000001</v>
      </c>
      <c r="H213" s="448"/>
      <c r="I213" s="289">
        <f t="shared" si="37"/>
        <v>3.5640000000000001</v>
      </c>
    </row>
    <row r="214" spans="1:11" ht="30" customHeight="1" x14ac:dyDescent="0.3">
      <c r="A214" s="446" t="s">
        <v>252</v>
      </c>
      <c r="B214" s="448">
        <v>3.55</v>
      </c>
      <c r="C214" s="417">
        <v>1.2</v>
      </c>
      <c r="D214" s="448">
        <v>1</v>
      </c>
      <c r="E214" s="417">
        <v>0</v>
      </c>
      <c r="F214" s="448">
        <v>0</v>
      </c>
      <c r="G214" s="417">
        <f t="shared" si="38"/>
        <v>4.26</v>
      </c>
      <c r="H214" s="448"/>
      <c r="I214" s="289">
        <f t="shared" si="37"/>
        <v>4.26</v>
      </c>
    </row>
    <row r="215" spans="1:11" ht="19.95" customHeight="1" x14ac:dyDescent="0.3">
      <c r="A215" s="445" t="s">
        <v>241</v>
      </c>
      <c r="B215" s="448">
        <v>3</v>
      </c>
      <c r="C215" s="417">
        <v>2.75</v>
      </c>
      <c r="D215" s="448">
        <v>1</v>
      </c>
      <c r="E215" s="417">
        <v>0</v>
      </c>
      <c r="F215" s="448">
        <v>0</v>
      </c>
      <c r="G215" s="417">
        <f t="shared" si="38"/>
        <v>8.25</v>
      </c>
      <c r="H215" s="448"/>
      <c r="I215" s="289">
        <f t="shared" si="37"/>
        <v>8.25</v>
      </c>
    </row>
    <row r="216" spans="1:11" ht="19.95" customHeight="1" x14ac:dyDescent="0.3">
      <c r="A216" s="445" t="s">
        <v>243</v>
      </c>
      <c r="B216" s="448">
        <v>3</v>
      </c>
      <c r="C216" s="417">
        <v>2.75</v>
      </c>
      <c r="D216" s="448">
        <v>1</v>
      </c>
      <c r="E216" s="417">
        <v>0</v>
      </c>
      <c r="F216" s="448">
        <v>0</v>
      </c>
      <c r="G216" s="417">
        <f t="shared" si="38"/>
        <v>8.25</v>
      </c>
      <c r="H216" s="448"/>
      <c r="I216" s="289">
        <f t="shared" si="37"/>
        <v>8.25</v>
      </c>
    </row>
    <row r="217" spans="1:11" ht="19.95" customHeight="1" x14ac:dyDescent="0.3">
      <c r="A217" s="445" t="s">
        <v>817</v>
      </c>
      <c r="B217" s="448">
        <v>1.7</v>
      </c>
      <c r="C217" s="417">
        <v>2.75</v>
      </c>
      <c r="D217" s="448">
        <v>1</v>
      </c>
      <c r="E217" s="417">
        <f>B217*C217*D217</f>
        <v>4.6749999999999998</v>
      </c>
      <c r="F217" s="448">
        <f>E217</f>
        <v>4.6749999999999998</v>
      </c>
      <c r="G217" s="417"/>
      <c r="H217" s="448">
        <f>F217</f>
        <v>4.6749999999999998</v>
      </c>
      <c r="I217" s="289">
        <f>H217</f>
        <v>4.6749999999999998</v>
      </c>
    </row>
    <row r="218" spans="1:11" ht="19.95" customHeight="1" x14ac:dyDescent="0.3">
      <c r="A218" s="445" t="s">
        <v>818</v>
      </c>
      <c r="B218" s="448">
        <v>1.7</v>
      </c>
      <c r="C218" s="417">
        <v>2.75</v>
      </c>
      <c r="D218" s="448">
        <v>1</v>
      </c>
      <c r="E218" s="417">
        <f>B218*C218*D218</f>
        <v>4.6749999999999998</v>
      </c>
      <c r="F218" s="448">
        <f>E218</f>
        <v>4.6749999999999998</v>
      </c>
      <c r="G218" s="417"/>
      <c r="H218" s="448">
        <f>F218</f>
        <v>4.6749999999999998</v>
      </c>
      <c r="I218" s="289">
        <f>H218</f>
        <v>4.6749999999999998</v>
      </c>
    </row>
    <row r="219" spans="1:11" ht="19.95" customHeight="1" x14ac:dyDescent="0.3">
      <c r="A219" s="445" t="s">
        <v>239</v>
      </c>
      <c r="B219" s="448">
        <v>2</v>
      </c>
      <c r="C219" s="417">
        <v>1.1499999999999999</v>
      </c>
      <c r="D219" s="448">
        <v>1</v>
      </c>
      <c r="E219" s="417">
        <v>0</v>
      </c>
      <c r="F219" s="448">
        <v>0</v>
      </c>
      <c r="G219" s="417">
        <f t="shared" si="38"/>
        <v>2.2999999999999998</v>
      </c>
      <c r="H219" s="448"/>
      <c r="I219" s="289">
        <f t="shared" ref="I219:I224" si="39">G219+F219</f>
        <v>2.2999999999999998</v>
      </c>
    </row>
    <row r="220" spans="1:11" ht="30" customHeight="1" x14ac:dyDescent="0.3">
      <c r="A220" s="446" t="s">
        <v>238</v>
      </c>
      <c r="B220" s="448">
        <v>2.25</v>
      </c>
      <c r="C220" s="417">
        <v>2</v>
      </c>
      <c r="D220" s="448">
        <v>1</v>
      </c>
      <c r="E220" s="417">
        <v>0</v>
      </c>
      <c r="F220" s="448">
        <v>0</v>
      </c>
      <c r="G220" s="417">
        <f t="shared" si="38"/>
        <v>4.5</v>
      </c>
      <c r="H220" s="448"/>
      <c r="I220" s="289">
        <f t="shared" si="39"/>
        <v>4.5</v>
      </c>
    </row>
    <row r="221" spans="1:11" ht="19.95" customHeight="1" x14ac:dyDescent="0.3">
      <c r="A221" s="697" t="s">
        <v>662</v>
      </c>
      <c r="B221" s="448">
        <v>12.5</v>
      </c>
      <c r="C221" s="417">
        <v>1.5</v>
      </c>
      <c r="D221" s="448">
        <v>1</v>
      </c>
      <c r="E221" s="417">
        <f>B221*C221*D221</f>
        <v>18.75</v>
      </c>
      <c r="F221" s="448">
        <f>E221</f>
        <v>18.75</v>
      </c>
      <c r="G221" s="417">
        <v>0</v>
      </c>
      <c r="H221" s="448"/>
      <c r="I221" s="289">
        <f t="shared" si="39"/>
        <v>18.75</v>
      </c>
    </row>
    <row r="222" spans="1:11" ht="19.95" customHeight="1" x14ac:dyDescent="0.3">
      <c r="A222" s="698"/>
      <c r="B222" s="450">
        <v>7.45</v>
      </c>
      <c r="C222" s="417">
        <v>0.35</v>
      </c>
      <c r="D222" s="448">
        <v>1</v>
      </c>
      <c r="E222" s="417">
        <f>B222*C222*D222</f>
        <v>2.6074999999999999</v>
      </c>
      <c r="F222" s="448">
        <f t="shared" ref="F222:F224" si="40">E222</f>
        <v>2.6074999999999999</v>
      </c>
      <c r="G222" s="417">
        <v>0</v>
      </c>
      <c r="H222" s="448"/>
      <c r="I222" s="289">
        <f t="shared" si="39"/>
        <v>2.6074999999999999</v>
      </c>
    </row>
    <row r="223" spans="1:11" ht="19.95" customHeight="1" x14ac:dyDescent="0.3">
      <c r="A223" s="699"/>
      <c r="B223" s="450">
        <v>5</v>
      </c>
      <c r="C223" s="417">
        <v>1.25</v>
      </c>
      <c r="D223" s="448">
        <v>1</v>
      </c>
      <c r="E223" s="417">
        <f>B223*C223*D223</f>
        <v>6.25</v>
      </c>
      <c r="F223" s="448">
        <f t="shared" ref="F223" si="41">E223</f>
        <v>6.25</v>
      </c>
      <c r="G223" s="417">
        <v>0</v>
      </c>
      <c r="H223" s="448"/>
      <c r="I223" s="289">
        <f t="shared" si="39"/>
        <v>6.25</v>
      </c>
    </row>
    <row r="224" spans="1:11" ht="30" customHeight="1" thickBot="1" x14ac:dyDescent="0.35">
      <c r="A224" s="451" t="s">
        <v>673</v>
      </c>
      <c r="B224" s="452">
        <v>12.8</v>
      </c>
      <c r="C224" s="171">
        <v>7.45</v>
      </c>
      <c r="D224" s="452">
        <v>1</v>
      </c>
      <c r="E224" s="418">
        <f>B224*C224*D224</f>
        <v>95.360000000000014</v>
      </c>
      <c r="F224" s="453">
        <f t="shared" si="40"/>
        <v>95.360000000000014</v>
      </c>
      <c r="G224" s="454">
        <v>0</v>
      </c>
      <c r="H224" s="453"/>
      <c r="I224" s="455">
        <f t="shared" si="39"/>
        <v>95.360000000000014</v>
      </c>
    </row>
    <row r="225" spans="1:9" ht="19.95" customHeight="1" thickBot="1" x14ac:dyDescent="0.35">
      <c r="A225" s="674" t="s">
        <v>674</v>
      </c>
      <c r="B225" s="675"/>
      <c r="C225" s="675"/>
      <c r="D225" s="675"/>
      <c r="E225" s="222">
        <f>SUM(E211:E224)</f>
        <v>132.31750000000002</v>
      </c>
      <c r="F225" s="222">
        <f>SUM(F211:F224)</f>
        <v>132.31750000000002</v>
      </c>
      <c r="G225" s="222">
        <f>SUM(G211:G224)</f>
        <v>52.783999999999999</v>
      </c>
      <c r="H225" s="222">
        <f>SUM(H211:H224)</f>
        <v>9.35</v>
      </c>
      <c r="I225" s="213">
        <f>SUM(I211:I224)</f>
        <v>185.10149999999999</v>
      </c>
    </row>
    <row r="226" spans="1:9" x14ac:dyDescent="0.3">
      <c r="A226" s="229"/>
      <c r="B226" s="171"/>
      <c r="C226" s="171"/>
      <c r="D226" s="171"/>
      <c r="E226" s="171"/>
      <c r="F226" s="171"/>
      <c r="G226" s="171"/>
      <c r="H226" s="171"/>
      <c r="I226" s="171"/>
    </row>
    <row r="227" spans="1:9" x14ac:dyDescent="0.3">
      <c r="A227" s="229"/>
      <c r="B227" s="171"/>
      <c r="C227" s="171"/>
      <c r="D227" s="171"/>
      <c r="E227" s="171"/>
      <c r="F227" s="171"/>
      <c r="G227" s="171"/>
      <c r="H227" s="171"/>
      <c r="I227" s="171"/>
    </row>
    <row r="228" spans="1:9" x14ac:dyDescent="0.3">
      <c r="A228" s="171"/>
      <c r="B228" s="171"/>
      <c r="C228" s="171"/>
      <c r="D228" s="171"/>
      <c r="E228" s="171"/>
      <c r="F228" s="171"/>
      <c r="G228" s="171"/>
      <c r="H228" s="171"/>
      <c r="I228" s="171"/>
    </row>
    <row r="229" spans="1:9" x14ac:dyDescent="0.3">
      <c r="A229" s="171"/>
      <c r="B229" s="171"/>
      <c r="C229" s="171"/>
      <c r="D229" s="171"/>
      <c r="E229" s="171"/>
      <c r="F229" s="171"/>
      <c r="G229" s="171"/>
      <c r="H229" s="171"/>
      <c r="I229" s="171"/>
    </row>
    <row r="230" spans="1:9" x14ac:dyDescent="0.3">
      <c r="A230" s="171"/>
      <c r="B230" s="171"/>
      <c r="C230" s="171"/>
      <c r="D230" s="171"/>
      <c r="E230" s="171"/>
      <c r="F230" s="171"/>
      <c r="G230" s="171"/>
      <c r="H230" s="171"/>
      <c r="I230" s="171"/>
    </row>
    <row r="231" spans="1:9" x14ac:dyDescent="0.3">
      <c r="A231" s="171"/>
      <c r="B231" s="171"/>
      <c r="C231" s="171"/>
      <c r="D231" s="171"/>
      <c r="E231" s="171"/>
      <c r="F231" s="171"/>
      <c r="G231" s="171"/>
      <c r="H231" s="171"/>
      <c r="I231" s="171"/>
    </row>
    <row r="232" spans="1:9" x14ac:dyDescent="0.3">
      <c r="A232" s="171"/>
      <c r="B232" s="171"/>
      <c r="C232" s="171"/>
      <c r="D232" s="171"/>
      <c r="E232" s="171"/>
      <c r="F232" s="171"/>
      <c r="G232" s="171"/>
      <c r="H232" s="171"/>
      <c r="I232" s="171"/>
    </row>
    <row r="233" spans="1:9" x14ac:dyDescent="0.3">
      <c r="A233" s="171"/>
      <c r="B233" s="171"/>
      <c r="C233" s="171"/>
      <c r="D233" s="171"/>
      <c r="E233" s="171"/>
      <c r="F233" s="171"/>
      <c r="G233" s="171"/>
      <c r="H233" s="171"/>
      <c r="I233" s="171"/>
    </row>
    <row r="234" spans="1:9" x14ac:dyDescent="0.3">
      <c r="A234" s="171"/>
      <c r="B234" s="171"/>
      <c r="C234" s="171"/>
      <c r="D234" s="171"/>
      <c r="E234" s="171"/>
      <c r="F234" s="171"/>
      <c r="G234" s="171"/>
      <c r="H234" s="171"/>
      <c r="I234" s="171"/>
    </row>
    <row r="235" spans="1:9" x14ac:dyDescent="0.3">
      <c r="A235" s="171"/>
      <c r="B235" s="171"/>
      <c r="C235" s="171"/>
      <c r="D235" s="171"/>
      <c r="E235" s="171"/>
      <c r="F235" s="171"/>
      <c r="G235" s="171"/>
      <c r="H235" s="171"/>
      <c r="I235" s="171"/>
    </row>
    <row r="236" spans="1:9" x14ac:dyDescent="0.3">
      <c r="A236" s="171"/>
      <c r="B236" s="171"/>
      <c r="C236" s="171"/>
      <c r="D236" s="171"/>
      <c r="E236" s="171"/>
      <c r="F236" s="171"/>
      <c r="G236" s="171"/>
      <c r="H236" s="171"/>
      <c r="I236" s="171"/>
    </row>
    <row r="237" spans="1:9" x14ac:dyDescent="0.3">
      <c r="A237" s="171"/>
      <c r="B237" s="171"/>
      <c r="C237" s="171"/>
      <c r="D237" s="171"/>
      <c r="E237" s="171"/>
      <c r="F237" s="171"/>
      <c r="G237" s="171"/>
      <c r="H237" s="171"/>
      <c r="I237" s="171"/>
    </row>
    <row r="238" spans="1:9" x14ac:dyDescent="0.3">
      <c r="A238" s="171"/>
      <c r="B238" s="171"/>
      <c r="C238" s="171"/>
      <c r="D238" s="171"/>
      <c r="E238" s="171"/>
      <c r="F238" s="171"/>
      <c r="G238" s="171"/>
      <c r="H238" s="171"/>
      <c r="I238" s="171"/>
    </row>
    <row r="239" spans="1:9" x14ac:dyDescent="0.3">
      <c r="A239" s="171"/>
      <c r="B239" s="171"/>
      <c r="C239" s="171"/>
      <c r="D239" s="171"/>
      <c r="E239" s="171"/>
      <c r="F239" s="171"/>
      <c r="G239" s="171"/>
      <c r="H239" s="171"/>
      <c r="I239" s="171"/>
    </row>
    <row r="240" spans="1:9" x14ac:dyDescent="0.3">
      <c r="A240" s="171"/>
      <c r="B240" s="171"/>
      <c r="C240" s="171"/>
      <c r="D240" s="171"/>
      <c r="E240" s="171"/>
      <c r="F240" s="171"/>
      <c r="G240" s="171"/>
      <c r="H240" s="171"/>
      <c r="I240" s="171"/>
    </row>
    <row r="241" spans="1:9" x14ac:dyDescent="0.3">
      <c r="A241" s="171"/>
      <c r="B241" s="171"/>
      <c r="C241" s="171"/>
      <c r="D241" s="171"/>
      <c r="E241" s="171"/>
      <c r="F241" s="171"/>
      <c r="G241" s="171"/>
      <c r="H241" s="171"/>
      <c r="I241" s="171"/>
    </row>
    <row r="242" spans="1:9" x14ac:dyDescent="0.3">
      <c r="A242" s="171"/>
      <c r="B242" s="171"/>
      <c r="C242" s="171"/>
      <c r="D242" s="171"/>
      <c r="E242" s="171"/>
      <c r="F242" s="171"/>
      <c r="G242" s="171"/>
      <c r="H242" s="171"/>
      <c r="I242" s="171"/>
    </row>
    <row r="243" spans="1:9" x14ac:dyDescent="0.3">
      <c r="A243" s="171"/>
      <c r="B243" s="171"/>
      <c r="C243" s="171"/>
      <c r="D243" s="171"/>
      <c r="E243" s="171"/>
      <c r="F243" s="171"/>
      <c r="G243" s="171"/>
      <c r="H243" s="171"/>
      <c r="I243" s="171"/>
    </row>
    <row r="244" spans="1:9" x14ac:dyDescent="0.3">
      <c r="A244" s="171"/>
      <c r="B244" s="171"/>
      <c r="C244" s="171"/>
      <c r="D244" s="171"/>
      <c r="E244" s="171"/>
      <c r="F244" s="171"/>
      <c r="G244" s="171"/>
      <c r="H244" s="171"/>
      <c r="I244" s="171"/>
    </row>
    <row r="245" spans="1:9" x14ac:dyDescent="0.3">
      <c r="A245" s="171"/>
      <c r="B245" s="171"/>
      <c r="C245" s="171"/>
      <c r="D245" s="171"/>
      <c r="E245" s="171"/>
      <c r="F245" s="171"/>
      <c r="G245" s="171"/>
      <c r="H245" s="171"/>
      <c r="I245" s="171"/>
    </row>
    <row r="246" spans="1:9" x14ac:dyDescent="0.3">
      <c r="A246" s="171"/>
      <c r="B246" s="171"/>
      <c r="C246" s="171"/>
      <c r="D246" s="171"/>
      <c r="E246" s="171"/>
      <c r="F246" s="171"/>
      <c r="G246" s="171"/>
      <c r="H246" s="171"/>
      <c r="I246" s="171"/>
    </row>
    <row r="247" spans="1:9" x14ac:dyDescent="0.3">
      <c r="A247" s="171"/>
      <c r="B247" s="171"/>
      <c r="C247" s="171"/>
      <c r="D247" s="171"/>
      <c r="E247" s="171"/>
      <c r="F247" s="171"/>
      <c r="G247" s="171"/>
      <c r="H247" s="171"/>
      <c r="I247" s="171"/>
    </row>
    <row r="248" spans="1:9" x14ac:dyDescent="0.3">
      <c r="A248" s="171"/>
      <c r="B248" s="171"/>
      <c r="C248" s="171"/>
      <c r="D248" s="171"/>
      <c r="E248" s="171"/>
      <c r="F248" s="171"/>
      <c r="G248" s="171"/>
      <c r="H248" s="171"/>
      <c r="I248" s="171"/>
    </row>
    <row r="249" spans="1:9" x14ac:dyDescent="0.3">
      <c r="A249" s="171"/>
      <c r="B249" s="171"/>
      <c r="C249" s="171"/>
      <c r="D249" s="171"/>
      <c r="E249" s="171"/>
      <c r="F249" s="171"/>
      <c r="G249" s="171"/>
      <c r="H249" s="171"/>
      <c r="I249" s="171"/>
    </row>
    <row r="250" spans="1:9" x14ac:dyDescent="0.3">
      <c r="A250" s="171"/>
      <c r="B250" s="171"/>
      <c r="C250" s="171"/>
      <c r="D250" s="171"/>
      <c r="E250" s="171"/>
      <c r="F250" s="171"/>
      <c r="G250" s="171"/>
      <c r="H250" s="171"/>
      <c r="I250" s="171"/>
    </row>
    <row r="251" spans="1:9" x14ac:dyDescent="0.3">
      <c r="A251" s="171"/>
      <c r="B251" s="171"/>
      <c r="C251" s="171"/>
      <c r="D251" s="171"/>
      <c r="E251" s="171"/>
      <c r="F251" s="171"/>
      <c r="G251" s="171"/>
      <c r="H251" s="171"/>
      <c r="I251" s="171"/>
    </row>
    <row r="252" spans="1:9" x14ac:dyDescent="0.3">
      <c r="A252" s="171"/>
      <c r="B252" s="171"/>
      <c r="C252" s="171"/>
      <c r="D252" s="171"/>
      <c r="E252" s="171"/>
      <c r="F252" s="171"/>
      <c r="G252" s="171"/>
      <c r="H252" s="171"/>
      <c r="I252" s="171"/>
    </row>
    <row r="253" spans="1:9" x14ac:dyDescent="0.3">
      <c r="A253" s="171"/>
      <c r="B253" s="171"/>
      <c r="C253" s="171"/>
      <c r="D253" s="171"/>
      <c r="E253" s="171"/>
      <c r="F253" s="171"/>
      <c r="G253" s="171"/>
      <c r="H253" s="171"/>
      <c r="I253" s="171"/>
    </row>
    <row r="254" spans="1:9" x14ac:dyDescent="0.3">
      <c r="A254" s="171"/>
      <c r="B254" s="171"/>
      <c r="C254" s="171"/>
      <c r="D254" s="171"/>
      <c r="E254" s="171"/>
      <c r="F254" s="171"/>
      <c r="G254" s="171"/>
      <c r="H254" s="171"/>
      <c r="I254" s="171"/>
    </row>
    <row r="255" spans="1:9" x14ac:dyDescent="0.3">
      <c r="A255" s="171"/>
      <c r="B255" s="171"/>
      <c r="C255" s="171"/>
      <c r="D255" s="171"/>
      <c r="E255" s="171"/>
      <c r="F255" s="171"/>
      <c r="G255" s="171"/>
      <c r="H255" s="171"/>
      <c r="I255" s="171"/>
    </row>
    <row r="256" spans="1:9" x14ac:dyDescent="0.3">
      <c r="A256" s="171"/>
      <c r="B256" s="171"/>
      <c r="C256" s="171"/>
      <c r="D256" s="171"/>
      <c r="E256" s="171"/>
      <c r="F256" s="171"/>
      <c r="G256" s="171"/>
      <c r="H256" s="171"/>
      <c r="I256" s="171"/>
    </row>
    <row r="257" spans="1:9" x14ac:dyDescent="0.3">
      <c r="A257" s="171"/>
      <c r="B257" s="171"/>
      <c r="C257" s="171"/>
      <c r="D257" s="171"/>
      <c r="E257" s="171"/>
      <c r="F257" s="171"/>
      <c r="G257" s="171"/>
      <c r="H257" s="171"/>
      <c r="I257" s="171"/>
    </row>
    <row r="258" spans="1:9" x14ac:dyDescent="0.3">
      <c r="A258" s="171"/>
      <c r="B258" s="171"/>
      <c r="C258" s="171"/>
      <c r="D258" s="171"/>
      <c r="E258" s="171"/>
      <c r="F258" s="171"/>
      <c r="G258" s="171"/>
      <c r="H258" s="171"/>
      <c r="I258" s="171"/>
    </row>
    <row r="259" spans="1:9" x14ac:dyDescent="0.3">
      <c r="A259" s="171"/>
      <c r="B259" s="171"/>
      <c r="C259" s="171"/>
      <c r="D259" s="171"/>
      <c r="E259" s="171"/>
      <c r="F259" s="171"/>
      <c r="G259" s="171"/>
      <c r="H259" s="171"/>
      <c r="I259" s="171"/>
    </row>
    <row r="260" spans="1:9" x14ac:dyDescent="0.3">
      <c r="A260" s="171"/>
      <c r="B260" s="171"/>
      <c r="C260" s="171"/>
      <c r="D260" s="171"/>
      <c r="E260" s="171"/>
      <c r="F260" s="171"/>
      <c r="G260" s="171"/>
      <c r="H260" s="171"/>
      <c r="I260" s="171"/>
    </row>
    <row r="261" spans="1:9" x14ac:dyDescent="0.3">
      <c r="A261" s="171"/>
      <c r="B261" s="171"/>
      <c r="C261" s="171"/>
      <c r="D261" s="171"/>
      <c r="E261" s="171"/>
      <c r="F261" s="171"/>
      <c r="G261" s="171"/>
      <c r="H261" s="171"/>
      <c r="I261" s="171"/>
    </row>
    <row r="262" spans="1:9" x14ac:dyDescent="0.3">
      <c r="A262" s="172"/>
      <c r="B262" s="172"/>
      <c r="C262" s="172"/>
      <c r="D262" s="172"/>
      <c r="E262" s="173"/>
      <c r="F262" s="173"/>
    </row>
    <row r="263" spans="1:9" x14ac:dyDescent="0.3">
      <c r="A263" s="172"/>
      <c r="B263" s="172"/>
      <c r="C263" s="172"/>
      <c r="D263" s="172"/>
      <c r="E263" s="173"/>
      <c r="F263" s="173"/>
    </row>
    <row r="264" spans="1:9" x14ac:dyDescent="0.3">
      <c r="A264" s="172"/>
      <c r="B264" s="172"/>
      <c r="C264" s="172"/>
      <c r="D264" s="172"/>
      <c r="E264" s="173"/>
      <c r="F264" s="173"/>
    </row>
    <row r="265" spans="1:9" x14ac:dyDescent="0.3">
      <c r="A265" s="172"/>
      <c r="B265" s="172"/>
      <c r="C265" s="172"/>
      <c r="D265" s="172"/>
      <c r="E265" s="173"/>
      <c r="F265" s="173"/>
    </row>
    <row r="266" spans="1:9" x14ac:dyDescent="0.3">
      <c r="A266" s="172"/>
      <c r="B266" s="172"/>
      <c r="C266" s="172"/>
      <c r="D266" s="172"/>
      <c r="E266" s="173"/>
      <c r="F266" s="173"/>
    </row>
    <row r="267" spans="1:9" x14ac:dyDescent="0.3">
      <c r="A267" s="172"/>
      <c r="B267" s="172"/>
      <c r="C267" s="172"/>
      <c r="D267" s="172"/>
      <c r="E267" s="173"/>
      <c r="F267" s="173"/>
    </row>
    <row r="268" spans="1:9" x14ac:dyDescent="0.3">
      <c r="A268" s="172"/>
      <c r="B268" s="172"/>
      <c r="C268" s="172"/>
      <c r="D268" s="172"/>
      <c r="E268" s="173"/>
      <c r="F268" s="173"/>
    </row>
    <row r="269" spans="1:9" x14ac:dyDescent="0.3">
      <c r="A269" s="172"/>
      <c r="B269" s="172"/>
      <c r="C269" s="172"/>
      <c r="D269" s="172"/>
      <c r="E269" s="173"/>
      <c r="F269" s="173"/>
    </row>
    <row r="270" spans="1:9" x14ac:dyDescent="0.3">
      <c r="A270" s="172"/>
      <c r="B270" s="172"/>
      <c r="C270" s="172"/>
      <c r="D270" s="172"/>
      <c r="E270" s="173"/>
      <c r="F270" s="173"/>
    </row>
    <row r="271" spans="1:9" x14ac:dyDescent="0.3">
      <c r="A271" s="172"/>
      <c r="B271" s="172"/>
      <c r="C271" s="172"/>
      <c r="D271" s="172"/>
      <c r="E271" s="173"/>
      <c r="F271" s="173"/>
    </row>
    <row r="272" spans="1:9" x14ac:dyDescent="0.3">
      <c r="A272" s="172"/>
      <c r="B272" s="172"/>
      <c r="C272" s="172"/>
      <c r="D272" s="172"/>
      <c r="E272" s="173"/>
      <c r="F272" s="173"/>
    </row>
    <row r="273" spans="1:6" x14ac:dyDescent="0.3">
      <c r="A273" s="172"/>
      <c r="B273" s="172"/>
      <c r="C273" s="172"/>
      <c r="D273" s="172"/>
      <c r="E273" s="173"/>
      <c r="F273" s="173"/>
    </row>
    <row r="274" spans="1:6" x14ac:dyDescent="0.3">
      <c r="A274" s="172"/>
      <c r="B274" s="172"/>
      <c r="C274" s="172"/>
      <c r="D274" s="172"/>
      <c r="E274" s="173"/>
      <c r="F274" s="173"/>
    </row>
    <row r="275" spans="1:6" x14ac:dyDescent="0.3">
      <c r="A275" s="173"/>
      <c r="B275" s="173"/>
      <c r="C275" s="173"/>
      <c r="D275" s="174"/>
      <c r="E275" s="173"/>
      <c r="F275" s="173"/>
    </row>
    <row r="276" spans="1:6" x14ac:dyDescent="0.3">
      <c r="A276" s="173"/>
      <c r="B276" s="173"/>
      <c r="C276" s="173"/>
      <c r="D276" s="173"/>
      <c r="E276" s="173"/>
      <c r="F276" s="173"/>
    </row>
    <row r="277" spans="1:6" x14ac:dyDescent="0.3">
      <c r="A277" s="173"/>
      <c r="B277" s="173"/>
      <c r="C277" s="173"/>
      <c r="D277" s="173"/>
      <c r="E277" s="173"/>
      <c r="F277" s="173"/>
    </row>
    <row r="278" spans="1:6" x14ac:dyDescent="0.3">
      <c r="A278" s="173"/>
      <c r="B278" s="173"/>
      <c r="C278" s="173"/>
      <c r="D278" s="173"/>
      <c r="E278" s="173"/>
      <c r="F278" s="173"/>
    </row>
    <row r="279" spans="1:6" x14ac:dyDescent="0.3">
      <c r="A279" s="173"/>
      <c r="B279" s="173"/>
      <c r="C279" s="173"/>
      <c r="D279" s="173"/>
      <c r="E279" s="173"/>
      <c r="F279" s="173"/>
    </row>
    <row r="280" spans="1:6" x14ac:dyDescent="0.3">
      <c r="A280" s="173"/>
      <c r="B280" s="173"/>
      <c r="C280" s="173"/>
      <c r="D280" s="173"/>
      <c r="E280" s="173"/>
      <c r="F280" s="173"/>
    </row>
    <row r="281" spans="1:6" x14ac:dyDescent="0.3">
      <c r="A281" s="175"/>
      <c r="B281" s="173"/>
      <c r="C281" s="173"/>
      <c r="D281" s="173"/>
      <c r="E281" s="173"/>
      <c r="F281" s="173"/>
    </row>
    <row r="282" spans="1:6" x14ac:dyDescent="0.3">
      <c r="A282" s="172"/>
      <c r="B282" s="173"/>
      <c r="C282" s="173"/>
      <c r="D282" s="173"/>
      <c r="E282" s="173"/>
      <c r="F282" s="173"/>
    </row>
    <row r="283" spans="1:6" x14ac:dyDescent="0.3">
      <c r="A283" s="172"/>
      <c r="B283" s="173"/>
      <c r="C283" s="173"/>
      <c r="D283" s="173"/>
      <c r="E283" s="173"/>
      <c r="F283" s="173"/>
    </row>
    <row r="284" spans="1:6" x14ac:dyDescent="0.3">
      <c r="A284" s="174"/>
      <c r="B284" s="173"/>
      <c r="C284" s="173"/>
      <c r="D284" s="173"/>
      <c r="E284" s="173"/>
      <c r="F284" s="173"/>
    </row>
    <row r="285" spans="1:6" x14ac:dyDescent="0.3">
      <c r="A285" s="172"/>
      <c r="B285" s="173"/>
      <c r="C285" s="173"/>
      <c r="D285" s="173"/>
      <c r="E285" s="173"/>
      <c r="F285" s="173"/>
    </row>
    <row r="286" spans="1:6" x14ac:dyDescent="0.3">
      <c r="A286" s="172"/>
      <c r="B286" s="173"/>
      <c r="C286" s="173"/>
      <c r="D286" s="173"/>
      <c r="E286" s="173"/>
      <c r="F286" s="173"/>
    </row>
    <row r="287" spans="1:6" x14ac:dyDescent="0.3">
      <c r="A287" s="172"/>
      <c r="B287" s="173"/>
      <c r="C287" s="173"/>
      <c r="D287" s="173"/>
      <c r="E287" s="173"/>
      <c r="F287" s="173"/>
    </row>
    <row r="288" spans="1:6" x14ac:dyDescent="0.3">
      <c r="A288" s="172"/>
      <c r="B288" s="173"/>
      <c r="C288" s="173"/>
      <c r="D288" s="173"/>
      <c r="E288" s="173"/>
      <c r="F288" s="173"/>
    </row>
    <row r="289" spans="1:6" x14ac:dyDescent="0.3">
      <c r="A289" s="175"/>
      <c r="B289" s="173"/>
      <c r="C289" s="173"/>
      <c r="D289" s="173"/>
      <c r="E289" s="173"/>
      <c r="F289" s="173"/>
    </row>
    <row r="290" spans="1:6" x14ac:dyDescent="0.3">
      <c r="A290" s="172"/>
      <c r="B290" s="173"/>
      <c r="C290" s="173"/>
      <c r="D290" s="173"/>
      <c r="E290" s="173"/>
      <c r="F290" s="173"/>
    </row>
    <row r="291" spans="1:6" x14ac:dyDescent="0.3">
      <c r="A291" s="172"/>
      <c r="B291" s="173"/>
      <c r="C291" s="173"/>
      <c r="D291" s="173"/>
      <c r="E291" s="173"/>
      <c r="F291" s="173"/>
    </row>
    <row r="292" spans="1:6" x14ac:dyDescent="0.3">
      <c r="A292" s="174"/>
      <c r="B292" s="173"/>
      <c r="C292" s="173"/>
      <c r="D292" s="173"/>
      <c r="E292" s="173"/>
      <c r="F292" s="173"/>
    </row>
    <row r="293" spans="1:6" x14ac:dyDescent="0.3">
      <c r="A293" s="173"/>
      <c r="B293" s="173"/>
      <c r="C293" s="173"/>
      <c r="D293" s="173"/>
      <c r="E293" s="173"/>
      <c r="F293" s="173"/>
    </row>
    <row r="294" spans="1:6" x14ac:dyDescent="0.3">
      <c r="A294" s="173"/>
      <c r="B294" s="173"/>
      <c r="C294" s="173"/>
      <c r="D294" s="173"/>
      <c r="E294" s="173"/>
      <c r="F294" s="173"/>
    </row>
    <row r="295" spans="1:6" x14ac:dyDescent="0.3">
      <c r="A295" s="173"/>
      <c r="B295" s="173"/>
      <c r="C295" s="173"/>
      <c r="D295" s="173"/>
      <c r="E295" s="173"/>
      <c r="F295" s="173"/>
    </row>
    <row r="296" spans="1:6" x14ac:dyDescent="0.3">
      <c r="A296" s="173"/>
      <c r="B296" s="173"/>
      <c r="C296" s="173"/>
      <c r="D296" s="173"/>
      <c r="E296" s="173"/>
      <c r="F296" s="173"/>
    </row>
    <row r="297" spans="1:6" x14ac:dyDescent="0.3">
      <c r="A297" s="175"/>
      <c r="B297" s="173"/>
      <c r="C297" s="173"/>
      <c r="D297" s="173"/>
      <c r="E297" s="173"/>
      <c r="F297" s="173"/>
    </row>
    <row r="298" spans="1:6" x14ac:dyDescent="0.3">
      <c r="A298" s="172"/>
      <c r="B298" s="173"/>
      <c r="C298" s="173"/>
      <c r="D298" s="173"/>
      <c r="E298" s="173"/>
      <c r="F298" s="173"/>
    </row>
    <row r="299" spans="1:6" x14ac:dyDescent="0.3">
      <c r="A299" s="172"/>
      <c r="B299" s="173"/>
      <c r="C299" s="173"/>
      <c r="D299" s="173"/>
      <c r="E299" s="173"/>
      <c r="F299" s="173"/>
    </row>
    <row r="300" spans="1:6" x14ac:dyDescent="0.3">
      <c r="A300" s="174"/>
      <c r="B300" s="173"/>
      <c r="C300" s="173"/>
      <c r="D300" s="173"/>
      <c r="E300" s="173"/>
      <c r="F300" s="173"/>
    </row>
    <row r="301" spans="1:6" x14ac:dyDescent="0.3">
      <c r="A301" s="173"/>
      <c r="B301" s="173"/>
      <c r="C301" s="173"/>
      <c r="D301" s="173"/>
      <c r="E301" s="173"/>
      <c r="F301" s="173"/>
    </row>
    <row r="302" spans="1:6" x14ac:dyDescent="0.3">
      <c r="A302" s="173"/>
      <c r="B302" s="173"/>
      <c r="C302" s="173"/>
      <c r="D302" s="173"/>
      <c r="E302" s="173"/>
      <c r="F302" s="173"/>
    </row>
    <row r="303" spans="1:6" x14ac:dyDescent="0.3">
      <c r="A303" s="173"/>
      <c r="B303" s="173"/>
      <c r="C303" s="173"/>
      <c r="D303" s="173"/>
      <c r="E303" s="173"/>
      <c r="F303" s="173"/>
    </row>
    <row r="304" spans="1:6" x14ac:dyDescent="0.3">
      <c r="A304" s="173"/>
      <c r="B304" s="173"/>
      <c r="C304" s="173"/>
      <c r="D304" s="173"/>
      <c r="E304" s="173"/>
      <c r="F304" s="173"/>
    </row>
    <row r="305" spans="1:9" x14ac:dyDescent="0.3">
      <c r="A305" s="175"/>
      <c r="B305" s="173"/>
      <c r="C305" s="176"/>
      <c r="D305" s="173"/>
      <c r="E305" s="173"/>
      <c r="F305" s="173"/>
    </row>
    <row r="306" spans="1:9" x14ac:dyDescent="0.3">
      <c r="A306" s="172"/>
      <c r="B306" s="173"/>
    </row>
    <row r="307" spans="1:9" x14ac:dyDescent="0.3">
      <c r="A307" s="172"/>
      <c r="B307" s="173"/>
      <c r="C307" s="173"/>
      <c r="D307" s="173"/>
      <c r="E307" s="173"/>
      <c r="F307" s="173"/>
    </row>
    <row r="308" spans="1:9" x14ac:dyDescent="0.3">
      <c r="A308" s="172"/>
      <c r="B308" s="173"/>
      <c r="C308" s="173"/>
      <c r="D308" s="173"/>
      <c r="E308" s="173"/>
      <c r="F308" s="173"/>
    </row>
    <row r="309" spans="1:9" x14ac:dyDescent="0.3">
      <c r="A309" s="172"/>
      <c r="B309" s="173"/>
      <c r="C309" s="173"/>
      <c r="D309" s="173"/>
      <c r="E309" s="173"/>
      <c r="F309" s="173"/>
    </row>
    <row r="310" spans="1:9" x14ac:dyDescent="0.3">
      <c r="A310" s="172"/>
      <c r="B310" s="173"/>
      <c r="C310" s="173"/>
      <c r="D310" s="173"/>
      <c r="E310" s="173"/>
      <c r="F310" s="173"/>
    </row>
    <row r="311" spans="1:9" x14ac:dyDescent="0.3">
      <c r="A311" s="172"/>
      <c r="B311" s="173"/>
      <c r="C311" s="173"/>
      <c r="D311" s="173"/>
      <c r="E311" s="173"/>
      <c r="F311" s="173"/>
    </row>
    <row r="312" spans="1:9" x14ac:dyDescent="0.3">
      <c r="A312" s="172"/>
      <c r="B312" s="173"/>
      <c r="C312" s="173"/>
      <c r="D312" s="173"/>
      <c r="E312" s="173"/>
      <c r="F312" s="173"/>
    </row>
    <row r="313" spans="1:9" x14ac:dyDescent="0.3">
      <c r="A313" s="172"/>
      <c r="B313" s="173"/>
      <c r="C313" s="173"/>
      <c r="D313" s="173"/>
      <c r="E313" s="173"/>
      <c r="F313" s="173"/>
    </row>
    <row r="314" spans="1:9" x14ac:dyDescent="0.3">
      <c r="A314" s="174"/>
      <c r="B314" s="173"/>
      <c r="C314" s="173"/>
      <c r="D314" s="173"/>
      <c r="E314" s="173"/>
      <c r="F314" s="173"/>
    </row>
    <row r="315" spans="1:9" x14ac:dyDescent="0.3">
      <c r="C315" s="173"/>
      <c r="D315" s="173"/>
      <c r="E315" s="173"/>
      <c r="F315" s="173"/>
    </row>
    <row r="316" spans="1:9" x14ac:dyDescent="0.3">
      <c r="C316" s="173"/>
      <c r="D316" s="173"/>
      <c r="E316" s="173"/>
      <c r="F316" s="173"/>
    </row>
    <row r="317" spans="1:9" x14ac:dyDescent="0.3">
      <c r="C317" s="173"/>
      <c r="D317" s="173"/>
      <c r="E317" s="173"/>
      <c r="F317" s="173"/>
    </row>
    <row r="318" spans="1:9" x14ac:dyDescent="0.3">
      <c r="C318" s="173"/>
      <c r="D318" s="173"/>
      <c r="E318" s="173"/>
      <c r="F318" s="173"/>
    </row>
    <row r="319" spans="1:9" x14ac:dyDescent="0.3">
      <c r="A319" s="172"/>
      <c r="B319" s="177"/>
      <c r="C319" s="172"/>
      <c r="D319" s="177"/>
      <c r="E319" s="172"/>
      <c r="F319" s="177"/>
      <c r="G319" s="174"/>
      <c r="H319" s="173"/>
      <c r="I319" s="173"/>
    </row>
    <row r="320" spans="1:9" x14ac:dyDescent="0.3">
      <c r="A320" s="178"/>
      <c r="C320" s="173"/>
      <c r="D320" s="173"/>
      <c r="E320" s="173"/>
      <c r="F320" s="173"/>
    </row>
    <row r="321" spans="1:7" x14ac:dyDescent="0.3">
      <c r="C321" s="173"/>
      <c r="D321" s="173"/>
      <c r="E321" s="173"/>
      <c r="F321" s="173"/>
    </row>
    <row r="322" spans="1:7" x14ac:dyDescent="0.3">
      <c r="C322" s="173"/>
      <c r="D322" s="173"/>
      <c r="E322" s="173"/>
      <c r="F322" s="173"/>
    </row>
    <row r="323" spans="1:7" x14ac:dyDescent="0.3">
      <c r="A323" s="179"/>
      <c r="B323" s="179"/>
      <c r="C323" s="179"/>
      <c r="D323" s="179"/>
      <c r="E323" s="179"/>
      <c r="F323" s="179"/>
      <c r="G323" s="179"/>
    </row>
    <row r="324" spans="1:7" x14ac:dyDescent="0.3">
      <c r="A324" s="179"/>
      <c r="B324" s="179"/>
      <c r="C324" s="179"/>
      <c r="D324" s="179"/>
      <c r="E324" s="179"/>
      <c r="F324" s="179"/>
      <c r="G324" s="179"/>
    </row>
    <row r="325" spans="1:7" x14ac:dyDescent="0.3">
      <c r="A325" s="173"/>
      <c r="B325" s="173"/>
      <c r="C325" s="173"/>
      <c r="D325" s="173"/>
      <c r="E325" s="173"/>
      <c r="F325" s="173"/>
    </row>
    <row r="326" spans="1:7" x14ac:dyDescent="0.3">
      <c r="A326" s="175"/>
      <c r="B326" s="173"/>
      <c r="C326" s="173"/>
      <c r="D326" s="173"/>
      <c r="E326" s="173"/>
      <c r="F326" s="173"/>
    </row>
    <row r="327" spans="1:7" x14ac:dyDescent="0.3">
      <c r="A327" s="172"/>
      <c r="B327" s="173"/>
      <c r="C327" s="173"/>
      <c r="D327" s="173"/>
      <c r="E327" s="173"/>
      <c r="F327" s="173"/>
    </row>
    <row r="328" spans="1:7" x14ac:dyDescent="0.3">
      <c r="A328" s="172"/>
      <c r="B328" s="173"/>
      <c r="C328" s="173"/>
      <c r="D328" s="173"/>
      <c r="E328" s="173"/>
      <c r="F328" s="173"/>
    </row>
    <row r="329" spans="1:7" x14ac:dyDescent="0.3">
      <c r="A329" s="172"/>
      <c r="B329" s="173"/>
      <c r="C329" s="173"/>
      <c r="D329" s="173"/>
      <c r="E329" s="173"/>
      <c r="F329" s="173"/>
    </row>
    <row r="330" spans="1:7" x14ac:dyDescent="0.3">
      <c r="A330" s="172"/>
      <c r="B330" s="173"/>
      <c r="C330" s="173"/>
      <c r="D330" s="173"/>
      <c r="E330" s="173"/>
      <c r="F330" s="173"/>
    </row>
    <row r="331" spans="1:7" x14ac:dyDescent="0.3">
      <c r="A331" s="174"/>
      <c r="B331" s="173"/>
      <c r="C331" s="173"/>
      <c r="D331" s="173"/>
      <c r="E331" s="173"/>
      <c r="F331" s="173"/>
    </row>
    <row r="332" spans="1:7" x14ac:dyDescent="0.3">
      <c r="A332" s="173"/>
      <c r="B332" s="173"/>
      <c r="C332" s="173"/>
      <c r="D332" s="173"/>
      <c r="E332" s="173"/>
      <c r="F332" s="173"/>
    </row>
    <row r="333" spans="1:7" x14ac:dyDescent="0.3">
      <c r="A333" s="173"/>
      <c r="B333" s="173"/>
      <c r="C333" s="173"/>
      <c r="D333" s="173"/>
      <c r="E333" s="173"/>
      <c r="F333" s="173"/>
    </row>
    <row r="334" spans="1:7" x14ac:dyDescent="0.3">
      <c r="A334" s="173"/>
      <c r="B334" s="173"/>
      <c r="C334" s="173"/>
      <c r="D334" s="173"/>
      <c r="E334" s="173"/>
      <c r="F334" s="173"/>
    </row>
    <row r="335" spans="1:7" x14ac:dyDescent="0.3">
      <c r="A335" s="173"/>
      <c r="B335" s="173"/>
      <c r="C335" s="173"/>
      <c r="D335" s="173"/>
      <c r="E335" s="173"/>
      <c r="F335" s="173"/>
    </row>
    <row r="336" spans="1:7" x14ac:dyDescent="0.3">
      <c r="A336" s="173"/>
      <c r="B336" s="173"/>
      <c r="C336" s="173"/>
      <c r="D336" s="173"/>
      <c r="E336" s="173"/>
      <c r="F336" s="173"/>
    </row>
    <row r="337" spans="1:6" x14ac:dyDescent="0.3">
      <c r="A337" s="175"/>
      <c r="B337" s="175"/>
      <c r="C337" s="175"/>
      <c r="D337" s="175"/>
      <c r="E337" s="173"/>
      <c r="F337" s="173"/>
    </row>
    <row r="338" spans="1:6" x14ac:dyDescent="0.3">
      <c r="A338" s="172"/>
      <c r="B338" s="172"/>
      <c r="C338" s="172"/>
      <c r="D338" s="172"/>
      <c r="E338" s="173"/>
      <c r="F338" s="173"/>
    </row>
    <row r="339" spans="1:6" x14ac:dyDescent="0.3">
      <c r="A339" s="172"/>
      <c r="B339" s="172"/>
      <c r="C339" s="172"/>
      <c r="D339" s="172"/>
      <c r="E339" s="173"/>
      <c r="F339" s="173"/>
    </row>
    <row r="340" spans="1:6" x14ac:dyDescent="0.3">
      <c r="A340" s="172"/>
      <c r="B340" s="172"/>
      <c r="C340" s="172"/>
      <c r="D340" s="172"/>
      <c r="E340" s="173"/>
      <c r="F340" s="173"/>
    </row>
    <row r="341" spans="1:6" x14ac:dyDescent="0.3">
      <c r="A341" s="172"/>
      <c r="B341" s="172"/>
      <c r="C341" s="172"/>
      <c r="D341" s="172"/>
      <c r="E341" s="173"/>
      <c r="F341" s="173"/>
    </row>
    <row r="342" spans="1:6" x14ac:dyDescent="0.3">
      <c r="A342" s="172"/>
      <c r="B342" s="172"/>
      <c r="C342" s="172"/>
      <c r="D342" s="172"/>
      <c r="E342" s="173"/>
      <c r="F342" s="173"/>
    </row>
    <row r="343" spans="1:6" x14ac:dyDescent="0.3">
      <c r="A343" s="172"/>
      <c r="B343" s="172"/>
      <c r="C343" s="172"/>
      <c r="D343" s="172"/>
      <c r="E343" s="173"/>
      <c r="F343" s="173"/>
    </row>
    <row r="344" spans="1:6" x14ac:dyDescent="0.3">
      <c r="A344" s="173"/>
      <c r="B344" s="173"/>
      <c r="C344" s="173"/>
      <c r="D344" s="174"/>
      <c r="E344" s="173"/>
      <c r="F344" s="173"/>
    </row>
    <row r="345" spans="1:6" x14ac:dyDescent="0.3">
      <c r="A345" s="173"/>
      <c r="B345" s="173"/>
      <c r="C345" s="173"/>
      <c r="D345" s="173"/>
      <c r="E345" s="173"/>
      <c r="F345" s="173"/>
    </row>
    <row r="346" spans="1:6" x14ac:dyDescent="0.3">
      <c r="A346" s="173"/>
      <c r="B346" s="173"/>
      <c r="C346" s="173"/>
      <c r="D346" s="173"/>
      <c r="E346" s="173"/>
      <c r="F346" s="173"/>
    </row>
    <row r="347" spans="1:6" x14ac:dyDescent="0.3">
      <c r="A347" s="173"/>
      <c r="B347" s="173"/>
      <c r="C347" s="173"/>
      <c r="D347" s="173"/>
      <c r="E347" s="173"/>
      <c r="F347" s="173"/>
    </row>
    <row r="348" spans="1:6" x14ac:dyDescent="0.3">
      <c r="A348" s="173"/>
      <c r="B348" s="173"/>
      <c r="C348" s="173"/>
      <c r="D348" s="173"/>
      <c r="E348" s="173"/>
      <c r="F348" s="173"/>
    </row>
    <row r="349" spans="1:6" x14ac:dyDescent="0.3">
      <c r="A349" s="175"/>
      <c r="B349" s="175"/>
      <c r="C349" s="175"/>
      <c r="D349" s="175"/>
      <c r="E349" s="173"/>
      <c r="F349" s="173"/>
    </row>
    <row r="350" spans="1:6" x14ac:dyDescent="0.3">
      <c r="A350" s="172"/>
      <c r="B350" s="172"/>
      <c r="C350" s="172"/>
      <c r="D350" s="172"/>
      <c r="E350" s="173"/>
      <c r="F350" s="173"/>
    </row>
    <row r="351" spans="1:6" x14ac:dyDescent="0.3">
      <c r="A351" s="172"/>
      <c r="B351" s="172"/>
      <c r="C351" s="172"/>
      <c r="D351" s="172"/>
      <c r="E351" s="173"/>
      <c r="F351" s="173"/>
    </row>
    <row r="352" spans="1:6" x14ac:dyDescent="0.3">
      <c r="A352" s="172"/>
      <c r="B352" s="172"/>
      <c r="C352" s="172"/>
      <c r="D352" s="172"/>
      <c r="E352" s="173"/>
      <c r="F352" s="173"/>
    </row>
    <row r="353" spans="1:7" x14ac:dyDescent="0.3">
      <c r="A353" s="172"/>
      <c r="B353" s="172"/>
      <c r="C353" s="172"/>
      <c r="D353" s="172"/>
      <c r="E353" s="173"/>
      <c r="F353" s="173"/>
    </row>
    <row r="354" spans="1:7" x14ac:dyDescent="0.3">
      <c r="A354" s="172"/>
      <c r="B354" s="172"/>
      <c r="C354" s="172"/>
      <c r="D354" s="172"/>
      <c r="E354" s="173"/>
      <c r="F354" s="173"/>
    </row>
    <row r="355" spans="1:7" x14ac:dyDescent="0.3">
      <c r="A355" s="172"/>
      <c r="B355" s="172"/>
      <c r="C355" s="172"/>
      <c r="D355" s="172"/>
      <c r="E355" s="173"/>
      <c r="F355" s="173"/>
    </row>
    <row r="356" spans="1:7" x14ac:dyDescent="0.3">
      <c r="A356" s="172"/>
      <c r="B356" s="172"/>
      <c r="C356" s="172"/>
      <c r="D356" s="172"/>
      <c r="E356" s="173"/>
      <c r="F356" s="173"/>
    </row>
    <row r="357" spans="1:7" x14ac:dyDescent="0.3">
      <c r="A357" s="172"/>
      <c r="B357" s="172"/>
      <c r="C357" s="172"/>
      <c r="D357" s="172"/>
      <c r="E357" s="173"/>
      <c r="F357" s="173"/>
    </row>
    <row r="358" spans="1:7" x14ac:dyDescent="0.3">
      <c r="A358" s="172"/>
      <c r="B358" s="172"/>
      <c r="C358" s="172"/>
      <c r="D358" s="172"/>
      <c r="E358" s="173"/>
      <c r="F358" s="173"/>
    </row>
    <row r="359" spans="1:7" x14ac:dyDescent="0.3">
      <c r="A359" s="172"/>
      <c r="B359" s="172"/>
      <c r="C359" s="172"/>
      <c r="D359" s="172"/>
      <c r="E359" s="173"/>
      <c r="F359" s="173"/>
    </row>
    <row r="360" spans="1:7" x14ac:dyDescent="0.3">
      <c r="A360" s="172"/>
      <c r="B360" s="172"/>
      <c r="C360" s="172"/>
      <c r="D360" s="172"/>
      <c r="E360" s="173"/>
      <c r="F360" s="173"/>
    </row>
    <row r="361" spans="1:7" x14ac:dyDescent="0.3">
      <c r="C361" s="173"/>
      <c r="D361" s="174"/>
      <c r="E361" s="173"/>
      <c r="F361" s="173"/>
    </row>
    <row r="362" spans="1:7" x14ac:dyDescent="0.3">
      <c r="A362" s="173"/>
      <c r="B362" s="173"/>
      <c r="C362" s="173"/>
      <c r="D362" s="173"/>
      <c r="E362" s="173"/>
      <c r="F362" s="173"/>
    </row>
    <row r="363" spans="1:7" x14ac:dyDescent="0.3">
      <c r="A363" s="173"/>
      <c r="B363" s="173"/>
      <c r="C363" s="173"/>
      <c r="D363" s="173"/>
      <c r="E363" s="173"/>
      <c r="F363" s="173"/>
    </row>
    <row r="364" spans="1:7" x14ac:dyDescent="0.3">
      <c r="A364" s="179"/>
      <c r="B364" s="179"/>
      <c r="C364" s="179"/>
      <c r="D364" s="179"/>
      <c r="E364" s="179"/>
      <c r="F364" s="179"/>
      <c r="G364" s="179"/>
    </row>
    <row r="365" spans="1:7" x14ac:dyDescent="0.3">
      <c r="A365" s="179"/>
      <c r="B365" s="179"/>
      <c r="C365" s="179"/>
      <c r="D365" s="179"/>
      <c r="E365" s="179"/>
      <c r="F365" s="179"/>
      <c r="G365" s="179"/>
    </row>
    <row r="366" spans="1:7" x14ac:dyDescent="0.3">
      <c r="A366" s="173"/>
      <c r="B366" s="173"/>
      <c r="C366" s="173"/>
      <c r="D366" s="173"/>
      <c r="E366" s="173"/>
      <c r="F366" s="173"/>
    </row>
    <row r="367" spans="1:7" x14ac:dyDescent="0.3">
      <c r="A367" s="175"/>
      <c r="B367" s="173"/>
      <c r="C367" s="173"/>
      <c r="D367" s="173"/>
      <c r="E367" s="173"/>
      <c r="F367" s="173"/>
    </row>
    <row r="368" spans="1:7" x14ac:dyDescent="0.3">
      <c r="A368" s="172"/>
      <c r="B368" s="172"/>
      <c r="D368" s="173"/>
      <c r="E368" s="173"/>
      <c r="F368" s="173"/>
    </row>
    <row r="369" spans="1:6" x14ac:dyDescent="0.3">
      <c r="A369" s="172"/>
      <c r="B369" s="173"/>
      <c r="C369" s="173"/>
      <c r="D369" s="173"/>
      <c r="E369" s="173"/>
      <c r="F369" s="173"/>
    </row>
    <row r="370" spans="1:6" x14ac:dyDescent="0.3">
      <c r="A370" s="174"/>
      <c r="B370" s="173"/>
      <c r="C370" s="173"/>
      <c r="D370" s="173"/>
      <c r="E370" s="173"/>
      <c r="F370" s="173"/>
    </row>
    <row r="371" spans="1:6" x14ac:dyDescent="0.3">
      <c r="A371" s="173"/>
      <c r="B371" s="173"/>
      <c r="C371" s="173"/>
      <c r="D371" s="173"/>
      <c r="E371" s="173"/>
      <c r="F371" s="173"/>
    </row>
    <row r="372" spans="1:6" x14ac:dyDescent="0.3">
      <c r="A372" s="173"/>
      <c r="B372" s="173"/>
      <c r="C372" s="173"/>
      <c r="D372" s="173"/>
      <c r="E372" s="173"/>
      <c r="F372" s="173"/>
    </row>
    <row r="373" spans="1:6" x14ac:dyDescent="0.3">
      <c r="A373" s="173"/>
      <c r="B373" s="173"/>
      <c r="C373" s="173"/>
      <c r="D373" s="173"/>
      <c r="E373" s="173"/>
      <c r="F373" s="173"/>
    </row>
    <row r="374" spans="1:6" x14ac:dyDescent="0.3">
      <c r="A374" s="173"/>
      <c r="B374" s="173"/>
      <c r="C374" s="173"/>
      <c r="D374" s="173"/>
      <c r="E374" s="173"/>
      <c r="F374" s="173"/>
    </row>
    <row r="375" spans="1:6" x14ac:dyDescent="0.3">
      <c r="A375" s="175"/>
      <c r="B375" s="175"/>
      <c r="C375" s="175"/>
      <c r="D375" s="175"/>
      <c r="E375" s="173"/>
      <c r="F375" s="173"/>
    </row>
    <row r="376" spans="1:6" x14ac:dyDescent="0.3">
      <c r="A376" s="172"/>
      <c r="B376" s="172"/>
      <c r="C376" s="172"/>
      <c r="D376" s="172"/>
      <c r="E376" s="173"/>
      <c r="F376" s="173"/>
    </row>
    <row r="377" spans="1:6" x14ac:dyDescent="0.3">
      <c r="A377" s="172"/>
      <c r="B377" s="172"/>
      <c r="C377" s="172"/>
      <c r="D377" s="172"/>
      <c r="E377" s="173"/>
      <c r="F377" s="173"/>
    </row>
    <row r="378" spans="1:6" x14ac:dyDescent="0.3">
      <c r="C378" s="173"/>
      <c r="D378" s="174"/>
      <c r="E378" s="173"/>
      <c r="F378" s="173"/>
    </row>
    <row r="379" spans="1:6" x14ac:dyDescent="0.3">
      <c r="A379" s="173"/>
      <c r="B379" s="173"/>
      <c r="C379" s="173"/>
      <c r="D379" s="173"/>
      <c r="E379" s="173"/>
      <c r="F379" s="173"/>
    </row>
    <row r="380" spans="1:6" x14ac:dyDescent="0.3">
      <c r="A380" s="173"/>
      <c r="B380" s="173"/>
      <c r="C380" s="173"/>
      <c r="D380" s="173"/>
      <c r="E380" s="173"/>
      <c r="F380" s="173"/>
    </row>
    <row r="381" spans="1:6" x14ac:dyDescent="0.3">
      <c r="A381" s="173"/>
      <c r="B381" s="173"/>
      <c r="C381" s="173"/>
      <c r="D381" s="173"/>
      <c r="E381" s="173"/>
      <c r="F381" s="173"/>
    </row>
    <row r="382" spans="1:6" x14ac:dyDescent="0.3">
      <c r="A382" s="173"/>
      <c r="B382" s="173"/>
      <c r="C382" s="173"/>
      <c r="D382" s="173"/>
      <c r="E382" s="173"/>
      <c r="F382" s="173"/>
    </row>
    <row r="383" spans="1:6" x14ac:dyDescent="0.3">
      <c r="A383" s="175"/>
      <c r="B383" s="175"/>
      <c r="C383" s="175"/>
      <c r="D383" s="175"/>
      <c r="E383" s="173"/>
      <c r="F383" s="173"/>
    </row>
    <row r="384" spans="1:6" x14ac:dyDescent="0.3">
      <c r="A384" s="172"/>
      <c r="B384" s="172"/>
      <c r="C384" s="172"/>
      <c r="D384" s="172"/>
      <c r="E384" s="173"/>
      <c r="F384" s="173"/>
    </row>
    <row r="385" spans="1:6" x14ac:dyDescent="0.3">
      <c r="A385" s="173"/>
      <c r="B385" s="173"/>
      <c r="C385" s="173"/>
      <c r="D385" s="174"/>
      <c r="E385" s="173"/>
      <c r="F385" s="173"/>
    </row>
    <row r="386" spans="1:6" x14ac:dyDescent="0.3">
      <c r="A386" s="173"/>
      <c r="B386" s="173"/>
      <c r="C386" s="173"/>
      <c r="D386" s="173"/>
      <c r="E386" s="173"/>
      <c r="F386" s="173"/>
    </row>
    <row r="387" spans="1:6" x14ac:dyDescent="0.3">
      <c r="A387" s="173"/>
      <c r="B387" s="173"/>
      <c r="C387" s="173"/>
      <c r="D387" s="173"/>
      <c r="E387" s="173"/>
      <c r="F387" s="173"/>
    </row>
    <row r="388" spans="1:6" x14ac:dyDescent="0.3">
      <c r="A388" s="173"/>
      <c r="B388" s="173"/>
      <c r="C388" s="173"/>
      <c r="D388" s="173"/>
      <c r="E388" s="173"/>
      <c r="F388" s="173"/>
    </row>
    <row r="389" spans="1:6" x14ac:dyDescent="0.3">
      <c r="A389" s="173"/>
      <c r="B389" s="173"/>
      <c r="C389" s="173"/>
      <c r="D389" s="173"/>
      <c r="E389" s="173"/>
      <c r="F389" s="173"/>
    </row>
    <row r="390" spans="1:6" x14ac:dyDescent="0.3">
      <c r="A390" s="175"/>
      <c r="B390" s="175"/>
      <c r="C390" s="175"/>
      <c r="D390" s="175"/>
      <c r="E390" s="173"/>
      <c r="F390" s="173"/>
    </row>
    <row r="391" spans="1:6" x14ac:dyDescent="0.3">
      <c r="A391" s="180"/>
      <c r="B391" s="172"/>
      <c r="C391" s="172"/>
      <c r="D391" s="172"/>
      <c r="E391" s="173"/>
      <c r="F391" s="173"/>
    </row>
    <row r="392" spans="1:6" x14ac:dyDescent="0.3">
      <c r="A392" s="180"/>
      <c r="B392" s="172"/>
      <c r="C392" s="172"/>
      <c r="D392" s="172"/>
      <c r="E392" s="173"/>
      <c r="F392" s="173"/>
    </row>
    <row r="393" spans="1:6" x14ac:dyDescent="0.3">
      <c r="A393" s="180"/>
      <c r="B393" s="172"/>
      <c r="C393" s="172"/>
      <c r="D393" s="172"/>
      <c r="E393" s="173"/>
      <c r="F393" s="173"/>
    </row>
    <row r="394" spans="1:6" x14ac:dyDescent="0.3">
      <c r="A394" s="173"/>
      <c r="B394" s="173"/>
      <c r="C394" s="173"/>
      <c r="D394" s="174"/>
      <c r="E394" s="173"/>
      <c r="F394" s="173"/>
    </row>
    <row r="395" spans="1:6" x14ac:dyDescent="0.3">
      <c r="A395" s="173"/>
      <c r="B395" s="173"/>
      <c r="C395" s="173"/>
      <c r="D395" s="173"/>
      <c r="E395" s="173"/>
      <c r="F395" s="173"/>
    </row>
    <row r="396" spans="1:6" x14ac:dyDescent="0.3">
      <c r="A396" s="173"/>
      <c r="B396" s="173"/>
      <c r="C396" s="173"/>
      <c r="D396" s="173"/>
      <c r="E396" s="173"/>
      <c r="F396" s="173"/>
    </row>
    <row r="397" spans="1:6" x14ac:dyDescent="0.3">
      <c r="A397" s="173"/>
      <c r="B397" s="173"/>
      <c r="C397" s="173"/>
      <c r="D397" s="173"/>
      <c r="E397" s="173"/>
      <c r="F397" s="173"/>
    </row>
    <row r="398" spans="1:6" x14ac:dyDescent="0.3">
      <c r="A398" s="173"/>
      <c r="B398" s="173"/>
      <c r="C398" s="173"/>
      <c r="D398" s="173"/>
      <c r="E398" s="173"/>
      <c r="F398" s="173"/>
    </row>
    <row r="399" spans="1:6" x14ac:dyDescent="0.3">
      <c r="A399" s="173"/>
      <c r="B399" s="173"/>
      <c r="C399" s="173"/>
      <c r="D399" s="173"/>
      <c r="E399" s="173"/>
      <c r="F399" s="173"/>
    </row>
    <row r="400" spans="1:6" x14ac:dyDescent="0.3">
      <c r="A400" s="175"/>
      <c r="B400" s="173"/>
      <c r="C400" s="173"/>
      <c r="D400" s="173"/>
      <c r="E400" s="173"/>
      <c r="F400" s="173"/>
    </row>
    <row r="401" spans="1:7" x14ac:dyDescent="0.3">
      <c r="A401" s="172"/>
      <c r="B401" s="173"/>
      <c r="C401" s="173"/>
      <c r="D401" s="173"/>
      <c r="E401" s="173"/>
      <c r="F401" s="173"/>
    </row>
    <row r="402" spans="1:7" x14ac:dyDescent="0.3">
      <c r="A402" s="172"/>
      <c r="C402" s="173"/>
      <c r="D402" s="173"/>
      <c r="E402" s="173"/>
      <c r="F402" s="173"/>
    </row>
    <row r="403" spans="1:7" x14ac:dyDescent="0.3">
      <c r="A403" s="172"/>
      <c r="C403" s="173"/>
      <c r="D403" s="173"/>
      <c r="E403" s="173"/>
      <c r="F403" s="173"/>
    </row>
    <row r="404" spans="1:7" x14ac:dyDescent="0.3">
      <c r="A404" s="174"/>
      <c r="B404" s="173"/>
      <c r="C404" s="173"/>
      <c r="D404" s="173"/>
      <c r="E404" s="173"/>
      <c r="F404" s="173"/>
    </row>
    <row r="405" spans="1:7" x14ac:dyDescent="0.3">
      <c r="A405" s="173"/>
      <c r="B405" s="173"/>
      <c r="C405" s="173"/>
      <c r="D405" s="173"/>
      <c r="E405" s="173"/>
      <c r="F405" s="173"/>
    </row>
    <row r="406" spans="1:7" x14ac:dyDescent="0.3">
      <c r="A406" s="173"/>
      <c r="B406" s="173"/>
      <c r="C406" s="173"/>
      <c r="D406" s="173"/>
      <c r="E406" s="173"/>
      <c r="F406" s="173"/>
    </row>
    <row r="407" spans="1:7" x14ac:dyDescent="0.3">
      <c r="A407" s="173"/>
      <c r="B407" s="173"/>
      <c r="C407" s="173"/>
      <c r="D407" s="173"/>
      <c r="E407" s="173"/>
      <c r="F407" s="173"/>
    </row>
    <row r="408" spans="1:7" x14ac:dyDescent="0.3">
      <c r="A408" s="173"/>
      <c r="B408" s="173"/>
      <c r="C408" s="173"/>
      <c r="D408" s="173"/>
      <c r="E408" s="173"/>
      <c r="F408" s="173"/>
    </row>
    <row r="409" spans="1:7" x14ac:dyDescent="0.3">
      <c r="C409" s="174"/>
      <c r="D409" s="173"/>
      <c r="E409" s="173"/>
      <c r="F409" s="173"/>
    </row>
    <row r="410" spans="1:7" x14ac:dyDescent="0.3">
      <c r="A410" s="173"/>
      <c r="B410" s="173"/>
      <c r="C410" s="173"/>
      <c r="D410" s="173"/>
      <c r="E410" s="173"/>
      <c r="F410" s="173"/>
    </row>
    <row r="411" spans="1:7" x14ac:dyDescent="0.3">
      <c r="A411" s="173"/>
      <c r="B411" s="173"/>
      <c r="C411" s="173"/>
      <c r="D411" s="173"/>
      <c r="E411" s="173"/>
      <c r="F411" s="173"/>
    </row>
    <row r="412" spans="1:7" x14ac:dyDescent="0.3">
      <c r="A412" s="179"/>
      <c r="B412" s="179"/>
      <c r="C412" s="179"/>
      <c r="D412" s="179"/>
      <c r="E412" s="179"/>
      <c r="F412" s="179"/>
      <c r="G412" s="179"/>
    </row>
    <row r="413" spans="1:7" x14ac:dyDescent="0.3">
      <c r="A413" s="179"/>
      <c r="B413" s="179"/>
      <c r="C413" s="179"/>
      <c r="D413" s="179"/>
      <c r="E413" s="179"/>
      <c r="F413" s="179"/>
      <c r="G413" s="179"/>
    </row>
    <row r="414" spans="1:7" x14ac:dyDescent="0.3">
      <c r="A414" s="173"/>
      <c r="B414" s="173"/>
      <c r="C414" s="173"/>
      <c r="D414" s="173"/>
      <c r="E414" s="173"/>
      <c r="F414" s="173"/>
    </row>
    <row r="415" spans="1:7" x14ac:dyDescent="0.3">
      <c r="A415" s="175"/>
      <c r="B415" s="173"/>
      <c r="C415" s="173"/>
      <c r="D415" s="173"/>
      <c r="E415" s="173"/>
      <c r="F415" s="173"/>
    </row>
    <row r="416" spans="1:7" x14ac:dyDescent="0.3">
      <c r="A416" s="172"/>
      <c r="B416" s="173"/>
      <c r="C416" s="173"/>
      <c r="D416" s="173"/>
      <c r="E416" s="173"/>
      <c r="F416" s="173"/>
    </row>
    <row r="417" spans="1:6" x14ac:dyDescent="0.3">
      <c r="A417" s="172"/>
      <c r="B417" s="173"/>
      <c r="C417" s="173"/>
      <c r="D417" s="173"/>
      <c r="E417" s="173"/>
      <c r="F417" s="173"/>
    </row>
    <row r="418" spans="1:6" x14ac:dyDescent="0.3">
      <c r="A418" s="172"/>
      <c r="B418" s="173"/>
      <c r="C418" s="173"/>
      <c r="D418" s="173"/>
      <c r="E418" s="173"/>
      <c r="F418" s="173"/>
    </row>
    <row r="419" spans="1:6" x14ac:dyDescent="0.3">
      <c r="A419" s="174"/>
      <c r="B419" s="173"/>
      <c r="C419" s="173"/>
      <c r="D419" s="173"/>
      <c r="E419" s="173"/>
      <c r="F419" s="173"/>
    </row>
    <row r="420" spans="1:6" x14ac:dyDescent="0.3">
      <c r="A420" s="173"/>
      <c r="B420" s="173"/>
      <c r="C420" s="173"/>
      <c r="D420" s="173"/>
      <c r="E420" s="173"/>
      <c r="F420" s="173"/>
    </row>
    <row r="421" spans="1:6" x14ac:dyDescent="0.3">
      <c r="A421" s="173"/>
      <c r="B421" s="173"/>
      <c r="C421" s="173"/>
      <c r="D421" s="173"/>
      <c r="E421" s="173"/>
      <c r="F421" s="173"/>
    </row>
    <row r="422" spans="1:6" x14ac:dyDescent="0.3">
      <c r="A422" s="173"/>
      <c r="B422" s="173"/>
      <c r="C422" s="173"/>
      <c r="D422" s="173"/>
      <c r="E422" s="173"/>
      <c r="F422" s="173"/>
    </row>
    <row r="423" spans="1:6" x14ac:dyDescent="0.3">
      <c r="A423" s="173"/>
      <c r="B423" s="173"/>
      <c r="C423" s="173"/>
      <c r="D423" s="173"/>
      <c r="E423" s="173"/>
      <c r="F423" s="173"/>
    </row>
    <row r="424" spans="1:6" x14ac:dyDescent="0.3">
      <c r="A424" s="175"/>
      <c r="B424" s="175"/>
      <c r="C424" s="175"/>
      <c r="D424" s="175"/>
      <c r="E424" s="173"/>
      <c r="F424" s="173"/>
    </row>
    <row r="425" spans="1:6" x14ac:dyDescent="0.3">
      <c r="A425" s="172"/>
      <c r="C425" s="173"/>
      <c r="D425" s="173"/>
      <c r="E425" s="173"/>
      <c r="F425" s="173"/>
    </row>
    <row r="426" spans="1:6" x14ac:dyDescent="0.3">
      <c r="A426" s="172"/>
      <c r="C426" s="173"/>
      <c r="D426" s="173"/>
      <c r="E426" s="173"/>
      <c r="F426" s="173"/>
    </row>
    <row r="427" spans="1:6" x14ac:dyDescent="0.3">
      <c r="A427" s="174"/>
      <c r="B427" s="173"/>
      <c r="C427" s="173"/>
      <c r="D427" s="173"/>
      <c r="E427" s="173"/>
      <c r="F427" s="173"/>
    </row>
    <row r="428" spans="1:6" x14ac:dyDescent="0.3">
      <c r="A428" s="173"/>
      <c r="B428" s="173"/>
      <c r="C428" s="173"/>
      <c r="D428" s="173"/>
      <c r="E428" s="173"/>
      <c r="F428" s="173"/>
    </row>
    <row r="429" spans="1:6" x14ac:dyDescent="0.3">
      <c r="A429" s="173"/>
      <c r="B429" s="173"/>
      <c r="C429" s="173"/>
      <c r="D429" s="173"/>
      <c r="E429" s="173"/>
      <c r="F429" s="173"/>
    </row>
    <row r="430" spans="1:6" x14ac:dyDescent="0.3">
      <c r="A430" s="173"/>
      <c r="B430" s="173"/>
      <c r="C430" s="173"/>
      <c r="D430" s="173"/>
      <c r="E430" s="173"/>
      <c r="F430" s="173"/>
    </row>
    <row r="431" spans="1:6" x14ac:dyDescent="0.3">
      <c r="A431" s="173"/>
      <c r="B431" s="173"/>
      <c r="C431" s="173"/>
      <c r="D431" s="173"/>
      <c r="E431" s="173"/>
      <c r="F431" s="173"/>
    </row>
    <row r="432" spans="1:6" x14ac:dyDescent="0.3">
      <c r="A432" s="175"/>
      <c r="B432" s="175"/>
      <c r="C432" s="175"/>
      <c r="D432" s="175"/>
      <c r="E432" s="173"/>
      <c r="F432" s="173"/>
    </row>
    <row r="433" spans="1:6" x14ac:dyDescent="0.3">
      <c r="A433" s="172"/>
      <c r="B433" s="172"/>
      <c r="C433" s="172"/>
      <c r="D433" s="172"/>
      <c r="E433" s="173"/>
      <c r="F433" s="173"/>
    </row>
    <row r="434" spans="1:6" x14ac:dyDescent="0.3">
      <c r="A434" s="172"/>
      <c r="B434" s="172"/>
      <c r="C434" s="172"/>
      <c r="D434" s="172"/>
      <c r="E434" s="173"/>
      <c r="F434" s="173"/>
    </row>
    <row r="435" spans="1:6" x14ac:dyDescent="0.3">
      <c r="A435" s="172"/>
      <c r="B435" s="172"/>
      <c r="C435" s="172"/>
      <c r="D435" s="174"/>
      <c r="E435" s="173"/>
      <c r="F435" s="173"/>
    </row>
    <row r="436" spans="1:6" x14ac:dyDescent="0.3">
      <c r="A436" s="173"/>
      <c r="B436" s="173"/>
      <c r="C436" s="173"/>
      <c r="D436" s="173"/>
      <c r="E436" s="173"/>
      <c r="F436" s="173"/>
    </row>
    <row r="437" spans="1:6" x14ac:dyDescent="0.3">
      <c r="A437" s="173"/>
      <c r="B437" s="173"/>
      <c r="C437" s="173"/>
      <c r="D437" s="173"/>
      <c r="E437" s="173"/>
      <c r="F437" s="173"/>
    </row>
    <row r="438" spans="1:6" x14ac:dyDescent="0.3">
      <c r="A438" s="173"/>
      <c r="B438" s="173"/>
      <c r="C438" s="173"/>
      <c r="D438" s="173"/>
      <c r="E438" s="173"/>
      <c r="F438" s="173"/>
    </row>
    <row r="439" spans="1:6" x14ac:dyDescent="0.3">
      <c r="A439" s="173"/>
      <c r="B439" s="173"/>
      <c r="C439" s="173"/>
      <c r="D439" s="173"/>
      <c r="E439" s="173"/>
      <c r="F439" s="173"/>
    </row>
    <row r="440" spans="1:6" x14ac:dyDescent="0.3">
      <c r="A440" s="175"/>
      <c r="B440" s="173"/>
      <c r="C440" s="173"/>
      <c r="D440" s="173"/>
      <c r="E440" s="173"/>
      <c r="F440" s="173"/>
    </row>
    <row r="441" spans="1:6" x14ac:dyDescent="0.3">
      <c r="A441" s="172"/>
      <c r="B441" s="173"/>
      <c r="C441" s="173"/>
      <c r="D441" s="173"/>
      <c r="E441" s="173"/>
      <c r="F441" s="173"/>
    </row>
    <row r="442" spans="1:6" x14ac:dyDescent="0.3">
      <c r="A442" s="174"/>
      <c r="B442" s="173"/>
      <c r="C442" s="173"/>
      <c r="D442" s="173"/>
      <c r="E442" s="173"/>
      <c r="F442" s="173"/>
    </row>
    <row r="443" spans="1:6" x14ac:dyDescent="0.3">
      <c r="A443" s="173"/>
      <c r="B443" s="173"/>
      <c r="C443" s="173"/>
      <c r="D443" s="173"/>
      <c r="E443" s="173"/>
      <c r="F443" s="173"/>
    </row>
    <row r="444" spans="1:6" x14ac:dyDescent="0.3">
      <c r="A444" s="173"/>
      <c r="B444" s="173"/>
      <c r="C444" s="173"/>
      <c r="D444" s="173"/>
      <c r="E444" s="173"/>
      <c r="F444" s="173"/>
    </row>
    <row r="445" spans="1:6" x14ac:dyDescent="0.3">
      <c r="A445" s="173"/>
      <c r="B445" s="173"/>
      <c r="C445" s="173"/>
      <c r="D445" s="173"/>
      <c r="E445" s="173"/>
      <c r="F445" s="173"/>
    </row>
    <row r="446" spans="1:6" x14ac:dyDescent="0.3">
      <c r="A446" s="173"/>
      <c r="B446" s="173"/>
      <c r="C446" s="173"/>
      <c r="D446" s="173"/>
      <c r="E446" s="173"/>
      <c r="F446" s="173"/>
    </row>
    <row r="447" spans="1:6" x14ac:dyDescent="0.3">
      <c r="A447" s="175"/>
      <c r="B447" s="175"/>
      <c r="C447" s="175"/>
      <c r="D447" s="175"/>
      <c r="E447" s="173"/>
      <c r="F447" s="173"/>
    </row>
    <row r="448" spans="1:6" x14ac:dyDescent="0.3">
      <c r="A448" s="172"/>
      <c r="B448" s="172"/>
      <c r="C448" s="172"/>
      <c r="D448" s="172"/>
      <c r="E448" s="173"/>
      <c r="F448" s="173"/>
    </row>
    <row r="449" spans="1:6" x14ac:dyDescent="0.3">
      <c r="A449" s="172"/>
      <c r="B449" s="172"/>
      <c r="C449" s="172"/>
      <c r="D449" s="172"/>
      <c r="E449" s="173"/>
      <c r="F449" s="173"/>
    </row>
    <row r="450" spans="1:6" x14ac:dyDescent="0.3">
      <c r="A450" s="172"/>
      <c r="B450" s="172"/>
      <c r="C450" s="172"/>
      <c r="D450" s="172"/>
      <c r="E450" s="173"/>
      <c r="F450" s="173"/>
    </row>
    <row r="451" spans="1:6" x14ac:dyDescent="0.3">
      <c r="A451" s="173"/>
      <c r="B451" s="173"/>
      <c r="C451" s="173"/>
      <c r="D451" s="174"/>
      <c r="E451" s="173"/>
      <c r="F451" s="173"/>
    </row>
    <row r="452" spans="1:6" x14ac:dyDescent="0.3">
      <c r="A452" s="173"/>
      <c r="B452" s="173"/>
      <c r="C452" s="173"/>
      <c r="D452" s="173"/>
      <c r="E452" s="173"/>
      <c r="F452" s="173"/>
    </row>
    <row r="453" spans="1:6" x14ac:dyDescent="0.3">
      <c r="A453" s="173"/>
      <c r="B453" s="173"/>
      <c r="C453" s="173"/>
      <c r="D453" s="173"/>
      <c r="E453" s="173"/>
      <c r="F453" s="173"/>
    </row>
    <row r="454" spans="1:6" x14ac:dyDescent="0.3">
      <c r="A454" s="173"/>
      <c r="B454" s="173"/>
      <c r="C454" s="173"/>
      <c r="D454" s="173"/>
      <c r="E454" s="173"/>
      <c r="F454" s="173"/>
    </row>
    <row r="455" spans="1:6" x14ac:dyDescent="0.3">
      <c r="A455" s="173"/>
      <c r="B455" s="173"/>
      <c r="C455" s="173"/>
      <c r="D455" s="173"/>
      <c r="E455" s="173"/>
      <c r="F455" s="173"/>
    </row>
    <row r="456" spans="1:6" x14ac:dyDescent="0.3">
      <c r="A456" s="175"/>
      <c r="B456" s="173"/>
      <c r="C456" s="173"/>
      <c r="D456" s="173"/>
      <c r="E456" s="173"/>
      <c r="F456" s="173"/>
    </row>
    <row r="457" spans="1:6" x14ac:dyDescent="0.3">
      <c r="A457" s="172"/>
      <c r="B457" s="173"/>
      <c r="C457" s="173"/>
      <c r="D457" s="173"/>
      <c r="E457" s="173"/>
      <c r="F457" s="173"/>
    </row>
    <row r="458" spans="1:6" x14ac:dyDescent="0.3">
      <c r="A458" s="174"/>
      <c r="B458" s="173"/>
      <c r="C458" s="173"/>
      <c r="D458" s="173"/>
      <c r="E458" s="173"/>
      <c r="F458" s="173"/>
    </row>
    <row r="459" spans="1:6" x14ac:dyDescent="0.3">
      <c r="A459" s="173"/>
      <c r="B459" s="173"/>
      <c r="C459" s="173"/>
      <c r="D459" s="173"/>
      <c r="E459" s="173"/>
      <c r="F459" s="173"/>
    </row>
    <row r="460" spans="1:6" x14ac:dyDescent="0.3">
      <c r="A460" s="173"/>
      <c r="B460" s="173"/>
      <c r="C460" s="173"/>
      <c r="D460" s="173"/>
      <c r="E460" s="173"/>
      <c r="F460" s="173"/>
    </row>
    <row r="461" spans="1:6" x14ac:dyDescent="0.3">
      <c r="A461" s="173"/>
      <c r="B461" s="173"/>
      <c r="C461" s="173"/>
      <c r="D461" s="173"/>
      <c r="E461" s="173"/>
      <c r="F461" s="173"/>
    </row>
    <row r="462" spans="1:6" x14ac:dyDescent="0.3">
      <c r="A462" s="173"/>
      <c r="B462" s="173"/>
      <c r="C462" s="173"/>
      <c r="D462" s="173"/>
      <c r="E462" s="173"/>
      <c r="F462" s="173"/>
    </row>
    <row r="463" spans="1:6" x14ac:dyDescent="0.3">
      <c r="A463" s="175"/>
      <c r="B463" s="173"/>
      <c r="C463" s="173"/>
      <c r="D463" s="173"/>
      <c r="E463" s="173"/>
      <c r="F463" s="173"/>
    </row>
    <row r="464" spans="1:6" x14ac:dyDescent="0.3">
      <c r="A464" s="172"/>
      <c r="B464" s="173"/>
      <c r="C464" s="173"/>
      <c r="D464" s="173"/>
      <c r="E464" s="173"/>
      <c r="F464" s="173"/>
    </row>
    <row r="465" spans="1:6" x14ac:dyDescent="0.3">
      <c r="A465" s="172"/>
      <c r="B465" s="173"/>
      <c r="C465" s="173"/>
      <c r="D465" s="173"/>
      <c r="E465" s="173"/>
      <c r="F465" s="173"/>
    </row>
    <row r="466" spans="1:6" x14ac:dyDescent="0.3">
      <c r="A466" s="172"/>
      <c r="B466" s="173"/>
      <c r="C466" s="173"/>
      <c r="D466" s="173"/>
      <c r="E466" s="173"/>
      <c r="F466" s="173"/>
    </row>
    <row r="467" spans="1:6" x14ac:dyDescent="0.3">
      <c r="A467" s="172"/>
      <c r="B467" s="173"/>
      <c r="C467" s="173"/>
      <c r="D467" s="173"/>
      <c r="E467" s="173"/>
      <c r="F467" s="173"/>
    </row>
    <row r="468" spans="1:6" x14ac:dyDescent="0.3">
      <c r="A468" s="174"/>
      <c r="B468" s="173"/>
      <c r="C468" s="173"/>
      <c r="D468" s="173"/>
      <c r="E468" s="173"/>
      <c r="F468" s="173"/>
    </row>
    <row r="469" spans="1:6" x14ac:dyDescent="0.3">
      <c r="A469" s="173"/>
      <c r="B469" s="173"/>
      <c r="C469" s="173"/>
      <c r="D469" s="173"/>
      <c r="E469" s="173"/>
      <c r="F469" s="173"/>
    </row>
    <row r="470" spans="1:6" x14ac:dyDescent="0.3">
      <c r="A470" s="173"/>
      <c r="B470" s="173"/>
      <c r="C470" s="173"/>
      <c r="D470" s="173"/>
      <c r="E470" s="173"/>
      <c r="F470" s="173"/>
    </row>
    <row r="471" spans="1:6" x14ac:dyDescent="0.3">
      <c r="A471" s="173"/>
      <c r="B471" s="173"/>
      <c r="C471" s="173"/>
      <c r="D471" s="173"/>
      <c r="E471" s="173"/>
      <c r="F471" s="173"/>
    </row>
    <row r="472" spans="1:6" x14ac:dyDescent="0.3">
      <c r="A472" s="173"/>
      <c r="B472" s="173"/>
      <c r="C472" s="173"/>
      <c r="D472" s="173"/>
      <c r="E472" s="173"/>
      <c r="F472" s="173"/>
    </row>
    <row r="473" spans="1:6" x14ac:dyDescent="0.3">
      <c r="A473" s="175"/>
      <c r="B473" s="173"/>
      <c r="C473" s="173"/>
      <c r="D473" s="173"/>
      <c r="E473" s="173"/>
      <c r="F473" s="173"/>
    </row>
    <row r="474" spans="1:6" x14ac:dyDescent="0.3">
      <c r="A474" s="172"/>
      <c r="B474" s="173"/>
      <c r="C474" s="173"/>
      <c r="D474" s="173"/>
      <c r="E474" s="173"/>
      <c r="F474" s="173"/>
    </row>
    <row r="475" spans="1:6" x14ac:dyDescent="0.3">
      <c r="A475" s="174"/>
      <c r="B475" s="173"/>
      <c r="C475" s="173"/>
      <c r="D475" s="173"/>
      <c r="E475" s="173"/>
      <c r="F475" s="173"/>
    </row>
    <row r="476" spans="1:6" x14ac:dyDescent="0.3">
      <c r="A476" s="173"/>
      <c r="B476" s="173"/>
      <c r="C476" s="173"/>
      <c r="D476" s="173"/>
      <c r="E476" s="173"/>
      <c r="F476" s="173"/>
    </row>
    <row r="477" spans="1:6" x14ac:dyDescent="0.3">
      <c r="A477" s="173"/>
      <c r="B477" s="173"/>
      <c r="C477" s="173"/>
      <c r="D477" s="173"/>
      <c r="E477" s="173"/>
      <c r="F477" s="173"/>
    </row>
    <row r="478" spans="1:6" x14ac:dyDescent="0.3">
      <c r="A478" s="173"/>
      <c r="B478" s="173"/>
      <c r="C478" s="173"/>
      <c r="D478" s="173"/>
      <c r="E478" s="173"/>
      <c r="F478" s="173"/>
    </row>
    <row r="479" spans="1:6" x14ac:dyDescent="0.3">
      <c r="A479" s="173"/>
      <c r="B479" s="173"/>
      <c r="C479" s="173"/>
      <c r="D479" s="173"/>
      <c r="E479" s="173"/>
      <c r="F479" s="173"/>
    </row>
    <row r="480" spans="1:6" x14ac:dyDescent="0.3">
      <c r="A480" s="175"/>
      <c r="B480" s="173"/>
      <c r="C480" s="173"/>
      <c r="D480" s="173"/>
      <c r="E480" s="173"/>
      <c r="F480" s="173"/>
    </row>
    <row r="481" spans="1:6" x14ac:dyDescent="0.3">
      <c r="A481" s="172"/>
      <c r="B481" s="173"/>
      <c r="C481" s="173"/>
      <c r="D481" s="173"/>
      <c r="E481" s="173"/>
      <c r="F481" s="173"/>
    </row>
    <row r="482" spans="1:6" x14ac:dyDescent="0.3">
      <c r="A482" s="172"/>
      <c r="B482" s="173"/>
      <c r="C482" s="173"/>
      <c r="D482" s="173"/>
      <c r="E482" s="173"/>
      <c r="F482" s="173"/>
    </row>
    <row r="483" spans="1:6" x14ac:dyDescent="0.3">
      <c r="A483" s="172"/>
      <c r="B483" s="173"/>
      <c r="C483" s="173"/>
      <c r="D483" s="173"/>
      <c r="E483" s="173"/>
      <c r="F483" s="173"/>
    </row>
    <row r="484" spans="1:6" x14ac:dyDescent="0.3">
      <c r="A484" s="172"/>
      <c r="B484" s="173"/>
      <c r="C484" s="181"/>
      <c r="D484" s="173"/>
      <c r="E484" s="173"/>
      <c r="F484" s="173"/>
    </row>
    <row r="485" spans="1:6" x14ac:dyDescent="0.3">
      <c r="A485" s="172"/>
      <c r="B485" s="173"/>
      <c r="C485" s="173"/>
      <c r="D485" s="173"/>
      <c r="E485" s="173"/>
      <c r="F485" s="173"/>
    </row>
    <row r="486" spans="1:6" x14ac:dyDescent="0.3">
      <c r="A486" s="174"/>
      <c r="B486" s="173"/>
      <c r="C486" s="173"/>
      <c r="D486" s="173"/>
      <c r="E486" s="173"/>
      <c r="F486" s="173"/>
    </row>
    <row r="487" spans="1:6" x14ac:dyDescent="0.3">
      <c r="A487" s="173"/>
      <c r="B487" s="173"/>
      <c r="C487" s="173"/>
      <c r="D487" s="173"/>
      <c r="E487" s="173"/>
      <c r="F487" s="173"/>
    </row>
    <row r="488" spans="1:6" x14ac:dyDescent="0.3">
      <c r="A488" s="173"/>
      <c r="B488" s="173"/>
      <c r="C488" s="173"/>
      <c r="D488" s="173"/>
      <c r="E488" s="173"/>
      <c r="F488" s="173"/>
    </row>
    <row r="489" spans="1:6" x14ac:dyDescent="0.3">
      <c r="A489" s="173"/>
      <c r="B489" s="173"/>
      <c r="C489" s="173"/>
      <c r="D489" s="173"/>
      <c r="E489" s="173"/>
      <c r="F489" s="173"/>
    </row>
    <row r="490" spans="1:6" x14ac:dyDescent="0.3">
      <c r="A490" s="173"/>
      <c r="B490" s="173"/>
      <c r="C490" s="173"/>
      <c r="D490" s="173"/>
      <c r="E490" s="173"/>
      <c r="F490" s="173"/>
    </row>
    <row r="491" spans="1:6" x14ac:dyDescent="0.3">
      <c r="D491" s="174"/>
      <c r="E491" s="173"/>
      <c r="F491" s="173"/>
    </row>
    <row r="492" spans="1:6" x14ac:dyDescent="0.3">
      <c r="A492" s="173"/>
      <c r="B492" s="173"/>
      <c r="C492" s="173"/>
      <c r="D492" s="173"/>
      <c r="E492" s="173"/>
      <c r="F492" s="173"/>
    </row>
    <row r="493" spans="1:6" x14ac:dyDescent="0.3">
      <c r="A493" s="173"/>
      <c r="B493" s="173"/>
      <c r="C493" s="173"/>
      <c r="D493" s="173"/>
      <c r="E493" s="173"/>
      <c r="F493" s="173"/>
    </row>
    <row r="494" spans="1:6" x14ac:dyDescent="0.3">
      <c r="A494" s="173"/>
      <c r="B494" s="173"/>
      <c r="C494" s="173"/>
      <c r="D494" s="173"/>
      <c r="E494" s="173"/>
      <c r="F494" s="173"/>
    </row>
    <row r="495" spans="1:6" x14ac:dyDescent="0.3">
      <c r="A495" s="173"/>
      <c r="B495" s="173"/>
      <c r="C495" s="173"/>
      <c r="D495" s="173"/>
      <c r="E495" s="173"/>
      <c r="F495" s="173"/>
    </row>
    <row r="496" spans="1:6" x14ac:dyDescent="0.3">
      <c r="E496" s="174"/>
      <c r="F496" s="173"/>
    </row>
    <row r="497" spans="1:6" x14ac:dyDescent="0.3">
      <c r="A497" s="173"/>
      <c r="B497" s="173"/>
      <c r="C497" s="173"/>
      <c r="D497" s="173"/>
      <c r="E497" s="173"/>
      <c r="F497" s="173"/>
    </row>
    <row r="498" spans="1:6" x14ac:dyDescent="0.3">
      <c r="A498" s="173"/>
      <c r="B498" s="173"/>
      <c r="C498" s="173"/>
      <c r="D498" s="173"/>
      <c r="E498" s="173"/>
      <c r="F498" s="173"/>
    </row>
    <row r="499" spans="1:6" x14ac:dyDescent="0.3">
      <c r="A499" s="173"/>
      <c r="B499" s="173"/>
      <c r="C499" s="173"/>
      <c r="D499" s="173"/>
      <c r="E499" s="173"/>
      <c r="F499" s="173"/>
    </row>
    <row r="500" spans="1:6" x14ac:dyDescent="0.3">
      <c r="A500" s="173"/>
      <c r="B500" s="173"/>
      <c r="C500" s="173"/>
      <c r="D500" s="173"/>
      <c r="E500" s="173"/>
      <c r="F500" s="173"/>
    </row>
    <row r="501" spans="1:6" x14ac:dyDescent="0.3">
      <c r="A501" s="175"/>
      <c r="B501" s="173"/>
      <c r="C501" s="173"/>
      <c r="D501" s="173"/>
      <c r="E501" s="173"/>
      <c r="F501" s="173"/>
    </row>
    <row r="502" spans="1:6" x14ac:dyDescent="0.3">
      <c r="A502" s="172"/>
      <c r="B502" s="173"/>
      <c r="C502" s="173"/>
      <c r="D502" s="173"/>
      <c r="E502" s="173"/>
      <c r="F502" s="173"/>
    </row>
    <row r="503" spans="1:6" x14ac:dyDescent="0.3">
      <c r="A503" s="172"/>
      <c r="B503" s="173"/>
      <c r="C503" s="173"/>
      <c r="D503" s="173"/>
      <c r="E503" s="173"/>
      <c r="F503" s="173"/>
    </row>
    <row r="504" spans="1:6" x14ac:dyDescent="0.3">
      <c r="A504" s="174"/>
      <c r="B504" s="173"/>
      <c r="C504" s="173"/>
      <c r="D504" s="173"/>
      <c r="E504" s="173"/>
      <c r="F504" s="173"/>
    </row>
    <row r="505" spans="1:6" x14ac:dyDescent="0.3">
      <c r="A505" s="172"/>
      <c r="B505" s="173"/>
      <c r="C505" s="173"/>
      <c r="D505" s="173"/>
      <c r="E505" s="173"/>
      <c r="F505" s="173"/>
    </row>
    <row r="506" spans="1:6" x14ac:dyDescent="0.3">
      <c r="A506" s="172"/>
      <c r="B506" s="173"/>
      <c r="C506" s="173"/>
      <c r="D506" s="173"/>
      <c r="E506" s="173"/>
      <c r="F506" s="173"/>
    </row>
    <row r="507" spans="1:6" x14ac:dyDescent="0.3">
      <c r="A507" s="173"/>
      <c r="B507" s="173"/>
      <c r="C507" s="173"/>
      <c r="D507" s="173"/>
      <c r="E507" s="173"/>
      <c r="F507" s="173"/>
    </row>
    <row r="508" spans="1:6" x14ac:dyDescent="0.3">
      <c r="A508" s="173"/>
      <c r="B508" s="173"/>
      <c r="C508" s="173"/>
      <c r="D508" s="173"/>
      <c r="E508" s="173"/>
      <c r="F508" s="173"/>
    </row>
    <row r="509" spans="1:6" x14ac:dyDescent="0.3">
      <c r="C509" s="174"/>
      <c r="D509" s="173"/>
      <c r="E509" s="173"/>
      <c r="F509" s="173"/>
    </row>
    <row r="510" spans="1:6" x14ac:dyDescent="0.3">
      <c r="A510" s="173"/>
      <c r="B510" s="173"/>
      <c r="C510" s="173"/>
      <c r="D510" s="173"/>
      <c r="E510" s="173"/>
      <c r="F510" s="173"/>
    </row>
    <row r="511" spans="1:6" x14ac:dyDescent="0.3">
      <c r="A511" s="173"/>
      <c r="B511" s="173"/>
      <c r="C511" s="173"/>
      <c r="D511" s="173"/>
      <c r="E511" s="173"/>
      <c r="F511" s="173"/>
    </row>
    <row r="512" spans="1:6" x14ac:dyDescent="0.3">
      <c r="A512" s="173"/>
      <c r="B512" s="173"/>
      <c r="C512" s="173"/>
      <c r="D512" s="173"/>
      <c r="E512" s="173"/>
      <c r="F512" s="173"/>
    </row>
    <row r="513" spans="1:6" x14ac:dyDescent="0.3">
      <c r="A513" s="173"/>
      <c r="B513" s="173"/>
      <c r="C513" s="173"/>
      <c r="D513" s="173"/>
      <c r="E513" s="173"/>
      <c r="F513" s="173"/>
    </row>
    <row r="514" spans="1:6" x14ac:dyDescent="0.3">
      <c r="A514" s="175"/>
      <c r="B514" s="173"/>
      <c r="C514" s="173"/>
      <c r="D514" s="173"/>
      <c r="E514" s="173"/>
      <c r="F514" s="173"/>
    </row>
    <row r="515" spans="1:6" x14ac:dyDescent="0.3">
      <c r="A515" s="172"/>
      <c r="B515" s="173"/>
      <c r="C515" s="173"/>
      <c r="D515" s="173"/>
      <c r="E515" s="173"/>
      <c r="F515" s="173"/>
    </row>
    <row r="516" spans="1:6" x14ac:dyDescent="0.3">
      <c r="A516" s="172"/>
      <c r="B516" s="173"/>
      <c r="C516" s="173"/>
      <c r="D516" s="173"/>
      <c r="E516" s="173"/>
      <c r="F516" s="173"/>
    </row>
    <row r="517" spans="1:6" x14ac:dyDescent="0.3">
      <c r="A517" s="172"/>
      <c r="B517" s="173"/>
      <c r="C517" s="173"/>
      <c r="D517" s="173"/>
      <c r="E517" s="173"/>
      <c r="F517" s="173"/>
    </row>
    <row r="518" spans="1:6" x14ac:dyDescent="0.3">
      <c r="A518" s="172"/>
      <c r="B518" s="173"/>
      <c r="C518" s="173"/>
      <c r="D518" s="173"/>
      <c r="E518" s="173"/>
      <c r="F518" s="173"/>
    </row>
    <row r="519" spans="1:6" x14ac:dyDescent="0.3">
      <c r="A519" s="174"/>
      <c r="B519" s="173"/>
      <c r="C519" s="173"/>
      <c r="D519" s="173"/>
      <c r="E519" s="173"/>
      <c r="F519" s="173"/>
    </row>
    <row r="520" spans="1:6" x14ac:dyDescent="0.3">
      <c r="A520" s="174"/>
      <c r="B520" s="173"/>
      <c r="C520" s="173"/>
      <c r="D520" s="173"/>
      <c r="E520" s="173"/>
      <c r="F520" s="173"/>
    </row>
    <row r="521" spans="1:6" x14ac:dyDescent="0.3">
      <c r="A521" s="174"/>
      <c r="B521" s="173"/>
      <c r="C521" s="173"/>
      <c r="D521" s="173"/>
      <c r="E521" s="173"/>
      <c r="F521" s="173"/>
    </row>
    <row r="522" spans="1:6" x14ac:dyDescent="0.3">
      <c r="A522" s="173"/>
      <c r="B522" s="173"/>
      <c r="C522" s="173"/>
      <c r="D522" s="173"/>
      <c r="E522" s="173"/>
      <c r="F522" s="173"/>
    </row>
    <row r="523" spans="1:6" x14ac:dyDescent="0.3">
      <c r="A523" s="173"/>
      <c r="B523" s="173"/>
      <c r="C523" s="173"/>
      <c r="D523" s="173"/>
      <c r="E523" s="173"/>
      <c r="F523" s="173"/>
    </row>
    <row r="524" spans="1:6" x14ac:dyDescent="0.3">
      <c r="A524" s="175"/>
      <c r="B524" s="173"/>
      <c r="C524" s="173"/>
      <c r="D524" s="173"/>
      <c r="E524" s="173"/>
      <c r="F524" s="173"/>
    </row>
    <row r="525" spans="1:6" x14ac:dyDescent="0.3">
      <c r="A525" s="172"/>
      <c r="B525" s="173"/>
      <c r="C525" s="173"/>
      <c r="D525" s="173"/>
      <c r="E525" s="173"/>
      <c r="F525" s="173"/>
    </row>
    <row r="526" spans="1:6" x14ac:dyDescent="0.3">
      <c r="A526" s="172"/>
      <c r="B526" s="173"/>
      <c r="C526" s="173"/>
      <c r="D526" s="173"/>
      <c r="E526" s="173"/>
      <c r="F526" s="173"/>
    </row>
    <row r="527" spans="1:6" x14ac:dyDescent="0.3">
      <c r="A527" s="172"/>
      <c r="B527" s="173"/>
      <c r="C527" s="173"/>
      <c r="D527" s="173"/>
      <c r="E527" s="173"/>
      <c r="F527" s="173"/>
    </row>
    <row r="528" spans="1:6" x14ac:dyDescent="0.3">
      <c r="A528" s="172"/>
      <c r="B528" s="173"/>
      <c r="C528" s="173"/>
      <c r="D528" s="173"/>
      <c r="E528" s="173"/>
      <c r="F528" s="173"/>
    </row>
    <row r="529" spans="1:6" x14ac:dyDescent="0.3">
      <c r="A529" s="174"/>
      <c r="B529" s="173"/>
      <c r="C529" s="173"/>
      <c r="D529" s="173"/>
      <c r="E529" s="173"/>
      <c r="F529" s="173"/>
    </row>
    <row r="530" spans="1:6" x14ac:dyDescent="0.3">
      <c r="A530" s="173"/>
      <c r="B530" s="173"/>
      <c r="C530" s="173"/>
      <c r="D530" s="173"/>
      <c r="E530" s="173"/>
      <c r="F530" s="173"/>
    </row>
    <row r="531" spans="1:6" x14ac:dyDescent="0.3">
      <c r="A531" s="173"/>
      <c r="B531" s="173"/>
      <c r="C531" s="173"/>
      <c r="D531" s="173"/>
      <c r="E531" s="173"/>
      <c r="F531" s="173"/>
    </row>
    <row r="532" spans="1:6" x14ac:dyDescent="0.3">
      <c r="A532" s="173"/>
      <c r="B532" s="173"/>
      <c r="C532" s="173"/>
      <c r="D532" s="173"/>
      <c r="E532" s="173"/>
      <c r="F532" s="173"/>
    </row>
    <row r="533" spans="1:6" x14ac:dyDescent="0.3">
      <c r="A533" s="173"/>
      <c r="B533" s="173"/>
      <c r="C533" s="173"/>
      <c r="D533" s="173"/>
      <c r="E533" s="173"/>
      <c r="F533" s="173"/>
    </row>
    <row r="534" spans="1:6" x14ac:dyDescent="0.3">
      <c r="A534" s="175"/>
      <c r="B534" s="173"/>
      <c r="C534" s="173"/>
      <c r="D534" s="173"/>
      <c r="E534" s="173"/>
      <c r="F534" s="173"/>
    </row>
    <row r="535" spans="1:6" x14ac:dyDescent="0.3">
      <c r="A535" s="172"/>
      <c r="B535" s="173"/>
      <c r="C535" s="173"/>
      <c r="D535" s="173"/>
      <c r="E535" s="173"/>
      <c r="F535" s="173"/>
    </row>
    <row r="536" spans="1:6" x14ac:dyDescent="0.3">
      <c r="A536" s="174"/>
      <c r="B536" s="173"/>
      <c r="C536" s="173"/>
      <c r="D536" s="173"/>
      <c r="E536" s="173"/>
      <c r="F536" s="173"/>
    </row>
    <row r="537" spans="1:6" x14ac:dyDescent="0.3">
      <c r="A537" s="173"/>
      <c r="B537" s="173"/>
      <c r="C537" s="173"/>
      <c r="D537" s="173"/>
      <c r="E537" s="173"/>
      <c r="F537" s="173"/>
    </row>
    <row r="538" spans="1:6" x14ac:dyDescent="0.3">
      <c r="A538" s="173"/>
      <c r="B538" s="173"/>
      <c r="C538" s="173"/>
      <c r="D538" s="173"/>
      <c r="E538" s="173"/>
      <c r="F538" s="173"/>
    </row>
    <row r="539" spans="1:6" x14ac:dyDescent="0.3">
      <c r="A539" s="173"/>
      <c r="B539" s="173"/>
      <c r="C539" s="173"/>
      <c r="D539" s="173"/>
      <c r="E539" s="173"/>
      <c r="F539" s="173"/>
    </row>
    <row r="540" spans="1:6" x14ac:dyDescent="0.3">
      <c r="A540" s="173"/>
      <c r="B540" s="173"/>
      <c r="C540" s="173"/>
      <c r="D540" s="173"/>
      <c r="E540" s="173"/>
      <c r="F540" s="173"/>
    </row>
    <row r="541" spans="1:6" x14ac:dyDescent="0.3">
      <c r="A541" s="175"/>
      <c r="B541" s="173"/>
      <c r="C541" s="173"/>
      <c r="D541" s="173"/>
      <c r="E541" s="173"/>
      <c r="F541" s="173"/>
    </row>
    <row r="542" spans="1:6" x14ac:dyDescent="0.3">
      <c r="A542" s="172"/>
      <c r="B542" s="173"/>
      <c r="C542" s="173"/>
      <c r="D542" s="173"/>
      <c r="E542" s="173"/>
      <c r="F542" s="173"/>
    </row>
    <row r="543" spans="1:6" x14ac:dyDescent="0.3">
      <c r="A543" s="174"/>
      <c r="B543" s="173"/>
      <c r="C543" s="173"/>
      <c r="D543" s="173"/>
      <c r="E543" s="173"/>
      <c r="F543" s="173"/>
    </row>
    <row r="544" spans="1:6" x14ac:dyDescent="0.3">
      <c r="A544" s="173"/>
      <c r="B544" s="173"/>
      <c r="C544" s="173"/>
      <c r="D544" s="173"/>
      <c r="E544" s="173"/>
      <c r="F544" s="173"/>
    </row>
    <row r="545" spans="1:6" x14ac:dyDescent="0.3">
      <c r="A545" s="173"/>
      <c r="B545" s="173"/>
      <c r="C545" s="173"/>
      <c r="D545" s="173"/>
      <c r="E545" s="173"/>
      <c r="F545" s="173"/>
    </row>
    <row r="546" spans="1:6" x14ac:dyDescent="0.3">
      <c r="A546" s="173"/>
      <c r="B546" s="173"/>
      <c r="C546" s="173"/>
      <c r="D546" s="173"/>
      <c r="E546" s="173"/>
      <c r="F546" s="173"/>
    </row>
    <row r="547" spans="1:6" x14ac:dyDescent="0.3">
      <c r="A547" s="173"/>
      <c r="B547" s="173"/>
      <c r="C547" s="173"/>
      <c r="D547" s="173"/>
      <c r="E547" s="173"/>
      <c r="F547" s="173"/>
    </row>
    <row r="548" spans="1:6" x14ac:dyDescent="0.3">
      <c r="A548" s="173"/>
      <c r="B548" s="173"/>
      <c r="C548" s="173"/>
      <c r="D548" s="173"/>
      <c r="E548" s="173"/>
      <c r="F548" s="173"/>
    </row>
    <row r="549" spans="1:6" x14ac:dyDescent="0.3">
      <c r="D549" s="174"/>
      <c r="E549" s="173"/>
      <c r="F549" s="173"/>
    </row>
    <row r="550" spans="1:6" x14ac:dyDescent="0.3">
      <c r="A550" s="173"/>
      <c r="B550" s="173"/>
      <c r="C550" s="173"/>
      <c r="D550" s="173"/>
      <c r="E550" s="173"/>
      <c r="F550" s="173"/>
    </row>
    <row r="551" spans="1:6" x14ac:dyDescent="0.3">
      <c r="A551" s="173"/>
      <c r="B551" s="173"/>
      <c r="C551" s="173"/>
      <c r="D551" s="173"/>
      <c r="E551" s="173"/>
      <c r="F551" s="173"/>
    </row>
    <row r="552" spans="1:6" x14ac:dyDescent="0.3">
      <c r="A552" s="173"/>
      <c r="B552" s="173"/>
      <c r="C552" s="173"/>
      <c r="D552" s="173"/>
      <c r="E552" s="173"/>
      <c r="F552" s="173"/>
    </row>
    <row r="553" spans="1:6" x14ac:dyDescent="0.3">
      <c r="A553" s="173"/>
      <c r="B553" s="173"/>
      <c r="C553" s="173"/>
      <c r="D553" s="173"/>
      <c r="E553" s="173"/>
      <c r="F553" s="173"/>
    </row>
    <row r="554" spans="1:6" x14ac:dyDescent="0.3">
      <c r="A554" s="173"/>
      <c r="B554" s="173"/>
      <c r="C554" s="173"/>
      <c r="D554" s="173"/>
      <c r="E554" s="173"/>
      <c r="F554" s="173"/>
    </row>
    <row r="555" spans="1:6" x14ac:dyDescent="0.3">
      <c r="F555" s="173"/>
    </row>
    <row r="556" spans="1:6" x14ac:dyDescent="0.3">
      <c r="F556" s="173"/>
    </row>
    <row r="557" spans="1:6" x14ac:dyDescent="0.3">
      <c r="B557" s="162"/>
      <c r="F557" s="173"/>
    </row>
    <row r="558" spans="1:6" x14ac:dyDescent="0.3">
      <c r="F558" s="173"/>
    </row>
    <row r="559" spans="1:6" x14ac:dyDescent="0.3">
      <c r="F559" s="173"/>
    </row>
    <row r="560" spans="1:6" x14ac:dyDescent="0.3">
      <c r="F560" s="173"/>
    </row>
    <row r="561" spans="1:7" x14ac:dyDescent="0.3">
      <c r="A561" s="175"/>
      <c r="B561" s="175"/>
      <c r="C561" s="175"/>
      <c r="D561" s="175"/>
      <c r="F561" s="173"/>
    </row>
    <row r="562" spans="1:7" x14ac:dyDescent="0.3">
      <c r="A562" s="172"/>
      <c r="B562" s="172"/>
      <c r="C562" s="172"/>
      <c r="D562" s="172"/>
      <c r="F562" s="173"/>
    </row>
    <row r="563" spans="1:7" x14ac:dyDescent="0.3">
      <c r="A563" s="175"/>
      <c r="B563" s="175"/>
      <c r="C563" s="175"/>
      <c r="D563" s="162"/>
      <c r="F563" s="173"/>
    </row>
    <row r="564" spans="1:7" x14ac:dyDescent="0.3">
      <c r="A564" s="175"/>
      <c r="B564" s="175"/>
      <c r="C564" s="175"/>
      <c r="D564" s="175"/>
      <c r="F564" s="173"/>
    </row>
    <row r="565" spans="1:7" x14ac:dyDescent="0.3">
      <c r="A565" s="173"/>
      <c r="B565" s="172"/>
      <c r="C565" s="177"/>
      <c r="D565" s="172"/>
      <c r="E565" s="177"/>
      <c r="F565" s="174"/>
      <c r="G565" s="173"/>
    </row>
    <row r="566" spans="1:7" x14ac:dyDescent="0.3">
      <c r="A566" s="173"/>
      <c r="B566" s="173"/>
      <c r="C566" s="173"/>
      <c r="D566" s="174"/>
      <c r="E566" s="173"/>
      <c r="F566" s="173"/>
    </row>
    <row r="567" spans="1:7" x14ac:dyDescent="0.3">
      <c r="A567" s="173"/>
      <c r="B567" s="173"/>
      <c r="C567" s="173"/>
      <c r="D567" s="173"/>
      <c r="E567" s="173"/>
      <c r="F567" s="173"/>
    </row>
    <row r="568" spans="1:7" x14ac:dyDescent="0.3">
      <c r="A568" s="173"/>
      <c r="B568" s="173"/>
      <c r="C568" s="173"/>
      <c r="D568" s="173"/>
      <c r="E568" s="173"/>
      <c r="F568" s="173"/>
    </row>
    <row r="569" spans="1:7" x14ac:dyDescent="0.3">
      <c r="A569" s="175"/>
      <c r="B569" s="173"/>
      <c r="C569" s="173"/>
      <c r="D569" s="173"/>
      <c r="E569" s="173"/>
      <c r="F569" s="173"/>
    </row>
    <row r="570" spans="1:7" x14ac:dyDescent="0.3">
      <c r="A570" s="172"/>
      <c r="B570" s="173"/>
      <c r="C570" s="173"/>
      <c r="D570" s="173"/>
      <c r="E570" s="173"/>
      <c r="F570" s="173"/>
    </row>
    <row r="571" spans="1:7" x14ac:dyDescent="0.3">
      <c r="A571" s="172"/>
      <c r="B571" s="173"/>
      <c r="C571" s="173"/>
      <c r="D571" s="173"/>
      <c r="E571" s="173"/>
      <c r="F571" s="173"/>
    </row>
    <row r="572" spans="1:7" x14ac:dyDescent="0.3">
      <c r="A572" s="172"/>
      <c r="B572" s="173"/>
      <c r="C572" s="173"/>
      <c r="D572" s="173"/>
      <c r="E572" s="173"/>
      <c r="F572" s="173"/>
    </row>
    <row r="573" spans="1:7" x14ac:dyDescent="0.3">
      <c r="A573" s="172"/>
      <c r="B573" s="173"/>
      <c r="C573" s="173"/>
      <c r="D573" s="173"/>
      <c r="E573" s="173"/>
      <c r="F573" s="173"/>
    </row>
    <row r="574" spans="1:7" x14ac:dyDescent="0.3">
      <c r="A574" s="172"/>
      <c r="B574" s="173"/>
      <c r="C574" s="173"/>
      <c r="D574" s="173"/>
      <c r="E574" s="173"/>
      <c r="F574" s="173"/>
    </row>
    <row r="575" spans="1:7" x14ac:dyDescent="0.3">
      <c r="A575" s="181"/>
      <c r="B575" s="173"/>
      <c r="C575" s="181"/>
      <c r="D575" s="173"/>
      <c r="E575" s="173"/>
      <c r="F575" s="173"/>
    </row>
    <row r="576" spans="1:7" x14ac:dyDescent="0.3">
      <c r="A576" s="181"/>
      <c r="B576" s="173"/>
      <c r="C576" s="181"/>
      <c r="D576" s="173"/>
      <c r="E576" s="173"/>
      <c r="F576" s="173"/>
    </row>
    <row r="577" spans="1:6" x14ac:dyDescent="0.3">
      <c r="A577" s="174"/>
      <c r="B577" s="173"/>
      <c r="C577" s="173"/>
      <c r="D577" s="173"/>
      <c r="E577" s="173"/>
      <c r="F577" s="173"/>
    </row>
    <row r="578" spans="1:6" x14ac:dyDescent="0.3">
      <c r="A578" s="173"/>
      <c r="B578" s="173"/>
      <c r="C578" s="173"/>
      <c r="D578" s="173"/>
      <c r="E578" s="173"/>
      <c r="F578" s="173"/>
    </row>
    <row r="579" spans="1:6" x14ac:dyDescent="0.3">
      <c r="A579" s="173"/>
      <c r="B579" s="173"/>
      <c r="C579" s="173"/>
      <c r="D579" s="173"/>
      <c r="E579" s="173"/>
      <c r="F579" s="173"/>
    </row>
    <row r="580" spans="1:6" x14ac:dyDescent="0.3">
      <c r="A580" s="173"/>
      <c r="B580" s="173"/>
      <c r="C580" s="173"/>
      <c r="D580" s="173"/>
      <c r="E580" s="173"/>
      <c r="F580" s="173"/>
    </row>
    <row r="581" spans="1:6" x14ac:dyDescent="0.3">
      <c r="A581" s="173"/>
      <c r="B581" s="173"/>
      <c r="C581" s="173"/>
      <c r="D581" s="173"/>
      <c r="E581" s="173"/>
      <c r="F581" s="173"/>
    </row>
    <row r="582" spans="1:6" x14ac:dyDescent="0.3">
      <c r="A582" s="175"/>
      <c r="B582" s="173"/>
      <c r="C582" s="173"/>
      <c r="D582" s="173"/>
      <c r="E582" s="173"/>
      <c r="F582" s="173"/>
    </row>
    <row r="583" spans="1:6" x14ac:dyDescent="0.3">
      <c r="A583" s="172"/>
      <c r="B583" s="173"/>
      <c r="C583" s="173"/>
      <c r="D583" s="173"/>
      <c r="E583" s="173"/>
      <c r="F583" s="173"/>
    </row>
    <row r="584" spans="1:6" x14ac:dyDescent="0.3">
      <c r="A584" s="172"/>
      <c r="B584" s="173"/>
      <c r="C584" s="173"/>
      <c r="D584" s="173"/>
      <c r="E584" s="173"/>
      <c r="F584" s="173"/>
    </row>
    <row r="585" spans="1:6" x14ac:dyDescent="0.3">
      <c r="A585" s="172"/>
      <c r="B585" s="173"/>
      <c r="C585" s="173"/>
      <c r="D585" s="173"/>
      <c r="E585" s="173"/>
      <c r="F585" s="173"/>
    </row>
    <row r="586" spans="1:6" x14ac:dyDescent="0.3">
      <c r="A586" s="172"/>
      <c r="B586" s="173"/>
      <c r="C586" s="173"/>
      <c r="D586" s="173"/>
      <c r="E586" s="173"/>
      <c r="F586" s="173"/>
    </row>
    <row r="587" spans="1:6" x14ac:dyDescent="0.3">
      <c r="A587" s="172"/>
      <c r="B587" s="173"/>
      <c r="C587" s="173"/>
      <c r="D587" s="173"/>
      <c r="E587" s="173"/>
      <c r="F587" s="173"/>
    </row>
    <row r="588" spans="1:6" x14ac:dyDescent="0.3">
      <c r="A588" s="172"/>
      <c r="B588" s="173"/>
      <c r="C588" s="173"/>
      <c r="D588" s="173"/>
      <c r="E588" s="173"/>
      <c r="F588" s="173"/>
    </row>
    <row r="589" spans="1:6" x14ac:dyDescent="0.3">
      <c r="A589" s="174"/>
      <c r="B589" s="173"/>
      <c r="C589" s="173"/>
      <c r="D589" s="173"/>
      <c r="E589" s="173"/>
      <c r="F589" s="173"/>
    </row>
    <row r="590" spans="1:6" x14ac:dyDescent="0.3">
      <c r="A590" s="173"/>
      <c r="B590" s="173"/>
      <c r="C590" s="173"/>
      <c r="D590" s="173"/>
      <c r="E590" s="173"/>
      <c r="F590" s="173"/>
    </row>
    <row r="591" spans="1:6" x14ac:dyDescent="0.3">
      <c r="A591" s="173"/>
      <c r="B591" s="173"/>
      <c r="C591" s="173"/>
      <c r="D591" s="173"/>
      <c r="E591" s="173"/>
      <c r="F591" s="173"/>
    </row>
    <row r="592" spans="1:6" x14ac:dyDescent="0.3">
      <c r="A592" s="173"/>
      <c r="B592" s="173"/>
      <c r="C592" s="173"/>
      <c r="D592" s="173"/>
      <c r="E592" s="173"/>
      <c r="F592" s="173"/>
    </row>
    <row r="593" spans="1:6" x14ac:dyDescent="0.3">
      <c r="A593" s="173"/>
      <c r="B593" s="173"/>
      <c r="C593" s="173"/>
      <c r="D593" s="173"/>
      <c r="E593" s="173"/>
      <c r="F593" s="173"/>
    </row>
    <row r="594" spans="1:6" x14ac:dyDescent="0.3">
      <c r="A594" s="175"/>
      <c r="B594" s="173"/>
      <c r="C594" s="173"/>
      <c r="D594" s="173"/>
      <c r="E594" s="173"/>
      <c r="F594" s="173"/>
    </row>
    <row r="595" spans="1:6" x14ac:dyDescent="0.3">
      <c r="A595" s="172"/>
      <c r="B595" s="173"/>
      <c r="C595" s="173"/>
      <c r="D595" s="173"/>
      <c r="E595" s="173"/>
      <c r="F595" s="173"/>
    </row>
    <row r="596" spans="1:6" x14ac:dyDescent="0.3">
      <c r="A596" s="172"/>
      <c r="B596" s="173"/>
      <c r="C596" s="173"/>
      <c r="D596" s="173"/>
      <c r="E596" s="173"/>
      <c r="F596" s="173"/>
    </row>
    <row r="597" spans="1:6" x14ac:dyDescent="0.3">
      <c r="A597" s="172"/>
      <c r="B597" s="173"/>
      <c r="C597" s="173"/>
      <c r="D597" s="173"/>
      <c r="E597" s="173"/>
      <c r="F597" s="173"/>
    </row>
    <row r="598" spans="1:6" x14ac:dyDescent="0.3">
      <c r="A598" s="172"/>
      <c r="B598" s="173"/>
      <c r="C598" s="173"/>
      <c r="D598" s="173"/>
      <c r="E598" s="173"/>
      <c r="F598" s="173"/>
    </row>
    <row r="599" spans="1:6" x14ac:dyDescent="0.3">
      <c r="A599" s="172"/>
      <c r="B599" s="173"/>
      <c r="C599" s="173"/>
      <c r="D599" s="173"/>
      <c r="E599" s="173"/>
      <c r="F599" s="173"/>
    </row>
    <row r="600" spans="1:6" x14ac:dyDescent="0.3">
      <c r="A600" s="172"/>
      <c r="B600" s="173"/>
      <c r="C600" s="173"/>
      <c r="D600" s="173"/>
      <c r="E600" s="173"/>
      <c r="F600" s="173"/>
    </row>
    <row r="601" spans="1:6" x14ac:dyDescent="0.3">
      <c r="A601" s="174"/>
      <c r="B601" s="173"/>
      <c r="C601" s="173"/>
      <c r="D601" s="173"/>
      <c r="E601" s="173"/>
      <c r="F601" s="173"/>
    </row>
    <row r="602" spans="1:6" x14ac:dyDescent="0.3">
      <c r="A602" s="173"/>
      <c r="B602" s="173"/>
      <c r="C602" s="173"/>
      <c r="D602" s="173"/>
      <c r="E602" s="173"/>
      <c r="F602" s="173"/>
    </row>
    <row r="603" spans="1:6" x14ac:dyDescent="0.3">
      <c r="A603" s="173"/>
      <c r="B603" s="173"/>
      <c r="C603" s="173"/>
      <c r="D603" s="173"/>
      <c r="E603" s="173"/>
      <c r="F603" s="173"/>
    </row>
    <row r="604" spans="1:6" x14ac:dyDescent="0.3">
      <c r="A604" s="173"/>
      <c r="B604" s="173"/>
      <c r="C604" s="173"/>
      <c r="D604" s="173"/>
      <c r="E604" s="173"/>
      <c r="F604" s="173"/>
    </row>
    <row r="605" spans="1:6" x14ac:dyDescent="0.3">
      <c r="A605" s="173"/>
      <c r="B605" s="173"/>
      <c r="C605" s="173"/>
      <c r="D605" s="173"/>
      <c r="E605" s="173"/>
      <c r="F605" s="173"/>
    </row>
    <row r="606" spans="1:6" x14ac:dyDescent="0.3">
      <c r="D606" s="174"/>
      <c r="E606" s="173"/>
      <c r="F606" s="173"/>
    </row>
    <row r="607" spans="1:6" x14ac:dyDescent="0.3">
      <c r="A607" s="173"/>
      <c r="B607" s="173"/>
      <c r="C607" s="173"/>
      <c r="D607" s="173"/>
      <c r="E607" s="173"/>
      <c r="F607" s="173"/>
    </row>
    <row r="608" spans="1:6" x14ac:dyDescent="0.3">
      <c r="A608" s="173"/>
      <c r="B608" s="173"/>
      <c r="C608" s="173"/>
      <c r="D608" s="173"/>
      <c r="E608" s="173"/>
      <c r="F608" s="173"/>
    </row>
    <row r="609" spans="1:6" x14ac:dyDescent="0.3">
      <c r="A609" s="173"/>
      <c r="B609" s="173"/>
      <c r="C609" s="173"/>
      <c r="D609" s="173"/>
      <c r="E609" s="173"/>
      <c r="F609" s="173"/>
    </row>
    <row r="610" spans="1:6" x14ac:dyDescent="0.3">
      <c r="A610" s="173"/>
      <c r="B610" s="173"/>
      <c r="C610" s="173"/>
      <c r="D610" s="173"/>
      <c r="E610" s="173"/>
      <c r="F610" s="173"/>
    </row>
    <row r="611" spans="1:6" x14ac:dyDescent="0.3">
      <c r="A611" s="173"/>
      <c r="B611" s="173"/>
      <c r="C611" s="173"/>
      <c r="D611" s="173"/>
      <c r="E611" s="173"/>
      <c r="F611" s="173"/>
    </row>
    <row r="612" spans="1:6" ht="15.6" x14ac:dyDescent="0.3">
      <c r="A612" s="182"/>
      <c r="B612" s="182"/>
      <c r="C612" s="182"/>
      <c r="D612" s="182"/>
      <c r="E612" s="182"/>
      <c r="F612" s="182"/>
    </row>
    <row r="613" spans="1:6" x14ac:dyDescent="0.3">
      <c r="A613" s="183"/>
      <c r="B613" s="183"/>
      <c r="C613" s="183"/>
      <c r="D613" s="184"/>
      <c r="E613" s="183"/>
      <c r="F613" s="183"/>
    </row>
    <row r="614" spans="1:6" x14ac:dyDescent="0.3">
      <c r="A614" s="180"/>
      <c r="B614" s="180"/>
      <c r="C614" s="180"/>
      <c r="D614" s="180"/>
      <c r="E614" s="180"/>
      <c r="F614" s="180"/>
    </row>
    <row r="615" spans="1:6" x14ac:dyDescent="0.3">
      <c r="A615" s="180"/>
      <c r="B615" s="180"/>
      <c r="C615" s="180"/>
      <c r="D615" s="180"/>
      <c r="E615" s="180"/>
      <c r="F615" s="180"/>
    </row>
    <row r="616" spans="1:6" x14ac:dyDescent="0.3">
      <c r="A616" s="180"/>
      <c r="B616" s="180"/>
      <c r="C616" s="180"/>
      <c r="D616" s="180"/>
      <c r="E616" s="180"/>
      <c r="F616" s="180"/>
    </row>
    <row r="617" spans="1:6" x14ac:dyDescent="0.3">
      <c r="A617" s="180"/>
      <c r="B617" s="180"/>
      <c r="C617" s="180"/>
      <c r="D617" s="180"/>
      <c r="E617" s="180"/>
      <c r="F617" s="180"/>
    </row>
    <row r="618" spans="1:6" x14ac:dyDescent="0.3">
      <c r="A618" s="180"/>
      <c r="B618" s="180"/>
      <c r="C618" s="180"/>
      <c r="D618" s="180"/>
      <c r="E618" s="180"/>
      <c r="F618" s="180"/>
    </row>
    <row r="619" spans="1:6" x14ac:dyDescent="0.3">
      <c r="A619" s="180"/>
      <c r="B619" s="180"/>
      <c r="C619" s="180"/>
      <c r="D619" s="180"/>
      <c r="E619" s="180"/>
      <c r="F619" s="180"/>
    </row>
    <row r="620" spans="1:6" x14ac:dyDescent="0.3">
      <c r="A620" s="180"/>
      <c r="B620" s="180"/>
      <c r="C620" s="180"/>
      <c r="D620" s="180"/>
      <c r="E620" s="180"/>
      <c r="F620" s="180"/>
    </row>
    <row r="621" spans="1:6" x14ac:dyDescent="0.3">
      <c r="A621" s="180"/>
      <c r="B621" s="180"/>
      <c r="C621" s="180"/>
      <c r="D621" s="180"/>
      <c r="E621" s="180"/>
      <c r="F621" s="180"/>
    </row>
    <row r="622" spans="1:6" x14ac:dyDescent="0.3">
      <c r="A622" s="180"/>
      <c r="B622" s="180"/>
      <c r="C622" s="180"/>
      <c r="D622" s="180"/>
      <c r="E622" s="180"/>
      <c r="F622" s="180"/>
    </row>
    <row r="623" spans="1:6" x14ac:dyDescent="0.3">
      <c r="A623" s="180"/>
      <c r="B623" s="180"/>
      <c r="C623" s="180"/>
      <c r="D623" s="180"/>
      <c r="E623" s="180"/>
      <c r="F623" s="180"/>
    </row>
    <row r="624" spans="1:6" x14ac:dyDescent="0.3">
      <c r="A624" s="180"/>
      <c r="B624" s="180"/>
      <c r="C624" s="180"/>
      <c r="D624" s="180"/>
      <c r="E624" s="180"/>
      <c r="F624" s="180"/>
    </row>
    <row r="625" spans="1:6" x14ac:dyDescent="0.3">
      <c r="A625" s="180"/>
      <c r="B625" s="180"/>
      <c r="C625" s="180"/>
      <c r="D625" s="180"/>
      <c r="E625" s="180"/>
      <c r="F625" s="180"/>
    </row>
    <row r="626" spans="1:6" x14ac:dyDescent="0.3">
      <c r="A626" s="180"/>
      <c r="B626" s="180"/>
      <c r="C626" s="180"/>
      <c r="D626" s="180"/>
      <c r="E626" s="180"/>
      <c r="F626" s="180"/>
    </row>
    <row r="627" spans="1:6" x14ac:dyDescent="0.3">
      <c r="A627" s="180"/>
      <c r="B627" s="180"/>
      <c r="C627" s="180"/>
      <c r="D627" s="180"/>
      <c r="E627" s="180"/>
      <c r="F627" s="180"/>
    </row>
    <row r="628" spans="1:6" x14ac:dyDescent="0.3">
      <c r="A628" s="180"/>
      <c r="B628" s="180"/>
      <c r="C628" s="180"/>
      <c r="D628" s="180"/>
      <c r="E628" s="180"/>
      <c r="F628" s="180"/>
    </row>
    <row r="629" spans="1:6" x14ac:dyDescent="0.3">
      <c r="A629" s="180"/>
      <c r="B629" s="180"/>
      <c r="C629" s="180"/>
      <c r="D629" s="180"/>
      <c r="E629" s="180"/>
      <c r="F629" s="180"/>
    </row>
    <row r="630" spans="1:6" x14ac:dyDescent="0.3">
      <c r="A630" s="180"/>
      <c r="B630" s="180"/>
      <c r="C630" s="180"/>
      <c r="D630" s="180"/>
      <c r="E630" s="180"/>
      <c r="F630" s="180"/>
    </row>
    <row r="631" spans="1:6" x14ac:dyDescent="0.3">
      <c r="A631" s="180"/>
      <c r="B631" s="180"/>
      <c r="C631" s="180"/>
      <c r="D631" s="180"/>
      <c r="E631" s="180"/>
      <c r="F631" s="180"/>
    </row>
    <row r="632" spans="1:6" x14ac:dyDescent="0.3">
      <c r="A632" s="180"/>
      <c r="B632" s="180"/>
      <c r="C632" s="180"/>
      <c r="D632" s="180"/>
      <c r="E632" s="180"/>
      <c r="F632" s="180"/>
    </row>
    <row r="633" spans="1:6" x14ac:dyDescent="0.3">
      <c r="A633" s="180"/>
      <c r="B633" s="180"/>
      <c r="C633" s="180"/>
      <c r="D633" s="180"/>
      <c r="E633" s="180"/>
      <c r="F633" s="180"/>
    </row>
    <row r="634" spans="1:6" x14ac:dyDescent="0.3">
      <c r="A634" s="180"/>
      <c r="B634" s="180"/>
      <c r="C634" s="180"/>
      <c r="D634" s="180"/>
      <c r="E634" s="180"/>
      <c r="F634" s="185"/>
    </row>
    <row r="635" spans="1:6" x14ac:dyDescent="0.3">
      <c r="A635" s="180"/>
      <c r="B635" s="180"/>
      <c r="C635" s="180"/>
      <c r="D635" s="180"/>
      <c r="E635" s="180"/>
      <c r="F635" s="180"/>
    </row>
    <row r="636" spans="1:6" ht="15.6" x14ac:dyDescent="0.3">
      <c r="A636" s="182"/>
      <c r="B636" s="182"/>
      <c r="C636" s="182"/>
      <c r="D636" s="182"/>
      <c r="E636" s="182"/>
      <c r="F636" s="182"/>
    </row>
    <row r="637" spans="1:6" x14ac:dyDescent="0.3">
      <c r="A637" s="183"/>
      <c r="B637" s="183"/>
      <c r="C637" s="183"/>
      <c r="D637" s="184"/>
      <c r="E637" s="183"/>
      <c r="F637" s="183"/>
    </row>
    <row r="638" spans="1:6" x14ac:dyDescent="0.3">
      <c r="A638" s="180"/>
      <c r="B638" s="180"/>
      <c r="C638" s="180"/>
      <c r="D638" s="180"/>
      <c r="E638" s="180"/>
      <c r="F638" s="180"/>
    </row>
    <row r="639" spans="1:6" x14ac:dyDescent="0.3">
      <c r="A639" s="180"/>
      <c r="B639" s="180"/>
      <c r="C639" s="180"/>
      <c r="D639" s="180"/>
      <c r="E639" s="180"/>
      <c r="F639" s="180"/>
    </row>
    <row r="640" spans="1:6" x14ac:dyDescent="0.3">
      <c r="A640" s="180"/>
      <c r="B640" s="180"/>
      <c r="C640" s="180"/>
      <c r="D640" s="180"/>
      <c r="E640" s="180"/>
      <c r="F640" s="180"/>
    </row>
    <row r="641" spans="1:7" x14ac:dyDescent="0.3">
      <c r="A641" s="180"/>
      <c r="B641" s="180"/>
      <c r="C641" s="180"/>
      <c r="D641" s="180"/>
      <c r="E641" s="180"/>
      <c r="F641" s="180"/>
    </row>
    <row r="642" spans="1:7" x14ac:dyDescent="0.3">
      <c r="A642" s="180"/>
      <c r="B642" s="180"/>
      <c r="C642" s="180"/>
      <c r="D642" s="180"/>
      <c r="E642" s="180"/>
      <c r="F642" s="180"/>
    </row>
    <row r="643" spans="1:7" x14ac:dyDescent="0.3">
      <c r="A643" s="180"/>
      <c r="B643" s="180"/>
      <c r="C643" s="180"/>
      <c r="D643" s="180"/>
      <c r="E643" s="180"/>
      <c r="F643" s="180"/>
    </row>
    <row r="644" spans="1:7" x14ac:dyDescent="0.3">
      <c r="A644" s="180"/>
      <c r="B644" s="180"/>
      <c r="C644" s="180"/>
      <c r="D644" s="180"/>
      <c r="E644" s="180"/>
      <c r="F644" s="180"/>
    </row>
    <row r="645" spans="1:7" x14ac:dyDescent="0.3">
      <c r="A645" s="180"/>
      <c r="B645" s="180"/>
      <c r="C645" s="180"/>
      <c r="D645" s="180"/>
      <c r="E645" s="180"/>
      <c r="F645" s="180"/>
    </row>
    <row r="646" spans="1:7" x14ac:dyDescent="0.3">
      <c r="A646" s="180"/>
      <c r="B646" s="180"/>
      <c r="C646" s="180"/>
      <c r="D646" s="180"/>
      <c r="E646" s="180"/>
      <c r="F646" s="180"/>
    </row>
    <row r="647" spans="1:7" x14ac:dyDescent="0.3">
      <c r="A647" s="180"/>
      <c r="B647" s="180"/>
      <c r="C647" s="180"/>
      <c r="D647" s="180"/>
      <c r="E647" s="180"/>
      <c r="F647" s="180"/>
    </row>
    <row r="648" spans="1:7" x14ac:dyDescent="0.3">
      <c r="A648" s="180"/>
      <c r="B648" s="180"/>
      <c r="C648" s="180"/>
      <c r="D648" s="180"/>
      <c r="E648" s="180"/>
      <c r="F648" s="180"/>
    </row>
    <row r="649" spans="1:7" x14ac:dyDescent="0.3">
      <c r="A649" s="180"/>
      <c r="B649" s="180"/>
      <c r="C649" s="180"/>
      <c r="D649" s="172"/>
      <c r="E649" s="180"/>
      <c r="F649" s="180"/>
    </row>
    <row r="650" spans="1:7" x14ac:dyDescent="0.3">
      <c r="A650" s="180"/>
      <c r="B650" s="180"/>
      <c r="C650" s="180"/>
      <c r="D650" s="177"/>
      <c r="E650" s="180"/>
      <c r="F650" s="180"/>
    </row>
    <row r="651" spans="1:7" x14ac:dyDescent="0.3">
      <c r="A651" s="180"/>
      <c r="B651" s="180"/>
      <c r="C651" s="180"/>
      <c r="D651" s="180"/>
      <c r="E651" s="180"/>
      <c r="F651" s="180"/>
    </row>
    <row r="652" spans="1:7" x14ac:dyDescent="0.3">
      <c r="A652" s="186"/>
      <c r="B652" s="186"/>
      <c r="C652" s="186"/>
      <c r="D652" s="186"/>
      <c r="E652" s="186"/>
      <c r="F652" s="185"/>
    </row>
    <row r="653" spans="1:7" x14ac:dyDescent="0.3">
      <c r="F653" s="180"/>
    </row>
    <row r="654" spans="1:7" x14ac:dyDescent="0.3">
      <c r="A654" s="187"/>
      <c r="B654" s="187"/>
      <c r="C654" s="172"/>
      <c r="D654" s="177"/>
      <c r="E654" s="172"/>
      <c r="F654" s="177"/>
    </row>
    <row r="655" spans="1:7" x14ac:dyDescent="0.3">
      <c r="A655" s="187"/>
      <c r="B655" s="172"/>
      <c r="C655" s="177"/>
      <c r="D655" s="172"/>
      <c r="E655" s="177"/>
      <c r="F655" s="172"/>
      <c r="G655" s="177"/>
    </row>
    <row r="656" spans="1:7" x14ac:dyDescent="0.3">
      <c r="A656" s="188"/>
      <c r="B656" s="174"/>
      <c r="C656" s="173"/>
      <c r="D656" s="173"/>
      <c r="E656" s="173"/>
      <c r="F656" s="173"/>
    </row>
    <row r="657" spans="1:6" x14ac:dyDescent="0.3">
      <c r="F657" s="180"/>
    </row>
    <row r="658" spans="1:6" x14ac:dyDescent="0.3">
      <c r="F658" s="180"/>
    </row>
    <row r="659" spans="1:6" x14ac:dyDescent="0.3">
      <c r="F659" s="180"/>
    </row>
    <row r="660" spans="1:6" x14ac:dyDescent="0.3">
      <c r="F660" s="180"/>
    </row>
    <row r="661" spans="1:6" ht="15.6" x14ac:dyDescent="0.3">
      <c r="A661" s="182"/>
      <c r="B661" s="182"/>
      <c r="C661" s="182"/>
      <c r="D661" s="182"/>
      <c r="E661" s="182"/>
      <c r="F661" s="182"/>
    </row>
    <row r="662" spans="1:6" x14ac:dyDescent="0.3">
      <c r="A662" s="183"/>
      <c r="B662" s="183"/>
      <c r="C662" s="183"/>
      <c r="D662" s="184"/>
      <c r="E662" s="183"/>
      <c r="F662" s="183"/>
    </row>
    <row r="663" spans="1:6" x14ac:dyDescent="0.3">
      <c r="A663" s="180"/>
      <c r="B663" s="189"/>
      <c r="C663" s="180"/>
      <c r="F663" s="180"/>
    </row>
    <row r="664" spans="1:6" x14ac:dyDescent="0.3">
      <c r="A664" s="180"/>
      <c r="B664" s="189"/>
      <c r="C664" s="180"/>
    </row>
    <row r="665" spans="1:6" x14ac:dyDescent="0.3">
      <c r="A665" s="180"/>
      <c r="B665" s="189"/>
      <c r="C665" s="180"/>
    </row>
    <row r="666" spans="1:6" x14ac:dyDescent="0.3">
      <c r="A666" s="180"/>
      <c r="B666" s="189"/>
      <c r="C666" s="180"/>
    </row>
    <row r="667" spans="1:6" x14ac:dyDescent="0.3">
      <c r="A667" s="180"/>
      <c r="B667" s="189"/>
      <c r="C667" s="180"/>
    </row>
    <row r="668" spans="1:6" x14ac:dyDescent="0.3">
      <c r="A668" s="180"/>
      <c r="B668" s="189"/>
      <c r="C668" s="180"/>
    </row>
    <row r="669" spans="1:6" x14ac:dyDescent="0.3">
      <c r="A669" s="180"/>
      <c r="B669" s="189"/>
      <c r="C669" s="180"/>
    </row>
    <row r="670" spans="1:6" x14ac:dyDescent="0.3">
      <c r="A670" s="180"/>
      <c r="B670" s="189"/>
      <c r="C670" s="180"/>
    </row>
    <row r="671" spans="1:6" x14ac:dyDescent="0.3">
      <c r="A671" s="180"/>
      <c r="B671" s="189"/>
      <c r="C671" s="180"/>
    </row>
    <row r="672" spans="1:6" x14ac:dyDescent="0.3">
      <c r="A672" s="180"/>
      <c r="B672" s="189"/>
      <c r="C672" s="180"/>
    </row>
    <row r="673" spans="1:7" x14ac:dyDescent="0.3">
      <c r="A673" s="180"/>
      <c r="B673" s="189"/>
      <c r="C673" s="190"/>
      <c r="D673" s="173"/>
    </row>
    <row r="677" spans="1:7" x14ac:dyDescent="0.3">
      <c r="A677" s="173"/>
      <c r="B677" s="173"/>
      <c r="C677" s="173"/>
      <c r="D677" s="173"/>
      <c r="E677" s="173"/>
      <c r="F677" s="173"/>
    </row>
    <row r="678" spans="1:7" x14ac:dyDescent="0.3">
      <c r="A678" s="173"/>
      <c r="B678" s="173"/>
      <c r="C678" s="173"/>
      <c r="D678" s="173"/>
      <c r="E678" s="173"/>
      <c r="F678" s="173"/>
    </row>
    <row r="679" spans="1:7" ht="15.6" x14ac:dyDescent="0.3">
      <c r="A679" s="182"/>
      <c r="B679" s="182"/>
      <c r="C679" s="182"/>
      <c r="D679" s="182"/>
      <c r="E679" s="182"/>
      <c r="F679" s="182"/>
    </row>
    <row r="680" spans="1:7" x14ac:dyDescent="0.3">
      <c r="A680" s="183"/>
      <c r="B680" s="183"/>
      <c r="C680" s="183"/>
      <c r="D680" s="184"/>
      <c r="E680" s="183"/>
      <c r="F680" s="183"/>
    </row>
    <row r="681" spans="1:7" x14ac:dyDescent="0.3">
      <c r="A681" s="180"/>
      <c r="B681" s="180"/>
      <c r="C681" s="180"/>
      <c r="D681" s="180"/>
      <c r="E681" s="180"/>
      <c r="F681" s="180"/>
    </row>
    <row r="682" spans="1:7" x14ac:dyDescent="0.3">
      <c r="A682" s="180"/>
      <c r="B682" s="180"/>
      <c r="C682" s="180"/>
      <c r="D682" s="180"/>
      <c r="E682" s="180"/>
      <c r="F682" s="180"/>
    </row>
    <row r="683" spans="1:7" x14ac:dyDescent="0.3">
      <c r="A683" s="180"/>
      <c r="B683" s="180"/>
      <c r="C683" s="180"/>
      <c r="D683" s="180"/>
      <c r="E683" s="180"/>
      <c r="F683" s="180"/>
    </row>
    <row r="684" spans="1:7" x14ac:dyDescent="0.3">
      <c r="A684" s="180"/>
      <c r="B684" s="180"/>
      <c r="C684" s="180"/>
      <c r="D684" s="180"/>
      <c r="E684" s="180"/>
      <c r="F684" s="180"/>
    </row>
    <row r="685" spans="1:7" x14ac:dyDescent="0.3">
      <c r="A685" s="180"/>
      <c r="B685" s="180"/>
      <c r="C685" s="180"/>
      <c r="D685" s="180"/>
      <c r="E685" s="180"/>
      <c r="F685" s="180"/>
    </row>
    <row r="686" spans="1:7" x14ac:dyDescent="0.3">
      <c r="A686" s="180"/>
      <c r="B686" s="180"/>
      <c r="C686" s="180"/>
      <c r="D686" s="172"/>
      <c r="E686" s="180"/>
      <c r="F686" s="180"/>
    </row>
    <row r="687" spans="1:7" x14ac:dyDescent="0.3">
      <c r="A687" s="180"/>
      <c r="B687" s="180"/>
      <c r="C687" s="180"/>
      <c r="D687" s="172"/>
      <c r="E687" s="180"/>
      <c r="F687" s="180"/>
    </row>
    <row r="688" spans="1:7" x14ac:dyDescent="0.3">
      <c r="A688" s="180"/>
      <c r="B688" s="180"/>
      <c r="C688" s="180"/>
      <c r="D688" s="177"/>
      <c r="E688" s="180"/>
      <c r="F688" s="174"/>
      <c r="G688" s="173"/>
    </row>
    <row r="689" spans="1:7" x14ac:dyDescent="0.3">
      <c r="A689" s="180"/>
      <c r="B689" s="180"/>
      <c r="C689" s="180"/>
      <c r="D689" s="173"/>
      <c r="E689" s="173"/>
      <c r="F689" s="173"/>
    </row>
    <row r="690" spans="1:7" x14ac:dyDescent="0.3">
      <c r="A690" s="180"/>
      <c r="B690" s="180"/>
      <c r="C690" s="180"/>
      <c r="D690" s="173"/>
      <c r="E690" s="173"/>
      <c r="F690" s="173"/>
    </row>
    <row r="691" spans="1:7" x14ac:dyDescent="0.3">
      <c r="A691" s="173"/>
      <c r="B691" s="173"/>
      <c r="C691" s="173"/>
      <c r="D691" s="173"/>
      <c r="E691" s="173"/>
      <c r="F691" s="173"/>
    </row>
    <row r="692" spans="1:7" x14ac:dyDescent="0.3">
      <c r="A692" s="173"/>
      <c r="B692" s="173"/>
      <c r="C692" s="173"/>
      <c r="D692" s="173"/>
      <c r="E692" s="173"/>
      <c r="F692" s="173"/>
    </row>
    <row r="693" spans="1:7" ht="15.6" x14ac:dyDescent="0.3">
      <c r="A693" s="182"/>
      <c r="B693" s="182"/>
      <c r="C693" s="182"/>
      <c r="D693" s="182"/>
      <c r="E693" s="182"/>
      <c r="F693" s="182"/>
    </row>
    <row r="694" spans="1:7" x14ac:dyDescent="0.3">
      <c r="A694" s="183"/>
      <c r="B694" s="183"/>
      <c r="C694" s="183"/>
      <c r="D694" s="184"/>
      <c r="E694" s="183"/>
      <c r="F694" s="183"/>
    </row>
    <row r="695" spans="1:7" x14ac:dyDescent="0.3">
      <c r="A695" s="180"/>
      <c r="B695" s="180"/>
      <c r="C695" s="180"/>
      <c r="D695" s="180"/>
      <c r="E695" s="180"/>
      <c r="F695" s="180"/>
    </row>
    <row r="696" spans="1:7" x14ac:dyDescent="0.3">
      <c r="A696" s="180"/>
      <c r="B696" s="180"/>
      <c r="C696" s="180"/>
      <c r="D696" s="180"/>
      <c r="E696" s="180"/>
      <c r="F696" s="180"/>
    </row>
    <row r="697" spans="1:7" x14ac:dyDescent="0.3">
      <c r="A697" s="180"/>
      <c r="B697" s="180"/>
      <c r="C697" s="180"/>
      <c r="D697" s="180"/>
      <c r="E697" s="180"/>
      <c r="F697" s="180"/>
    </row>
    <row r="698" spans="1:7" x14ac:dyDescent="0.3">
      <c r="A698" s="180"/>
      <c r="B698" s="180"/>
      <c r="C698" s="180"/>
      <c r="D698" s="180"/>
      <c r="E698" s="180"/>
      <c r="F698" s="180"/>
    </row>
    <row r="699" spans="1:7" x14ac:dyDescent="0.3">
      <c r="A699" s="180"/>
      <c r="B699" s="180"/>
      <c r="C699" s="180"/>
      <c r="D699" s="180"/>
      <c r="E699" s="180"/>
      <c r="F699" s="180"/>
    </row>
    <row r="700" spans="1:7" x14ac:dyDescent="0.3">
      <c r="A700" s="180"/>
      <c r="B700" s="180"/>
      <c r="C700" s="180"/>
      <c r="D700" s="180"/>
      <c r="E700" s="180"/>
      <c r="F700" s="180"/>
    </row>
    <row r="701" spans="1:7" x14ac:dyDescent="0.3">
      <c r="A701" s="180"/>
      <c r="B701" s="180"/>
      <c r="C701" s="180"/>
      <c r="D701" s="172"/>
      <c r="E701" s="180"/>
      <c r="F701" s="180"/>
    </row>
    <row r="702" spans="1:7" x14ac:dyDescent="0.3">
      <c r="A702" s="180"/>
      <c r="B702" s="180"/>
      <c r="C702" s="180"/>
      <c r="D702" s="177"/>
      <c r="E702" s="180"/>
      <c r="F702" s="180"/>
    </row>
    <row r="703" spans="1:7" x14ac:dyDescent="0.3">
      <c r="A703" s="180"/>
      <c r="B703" s="180"/>
      <c r="C703" s="180"/>
      <c r="D703" s="180"/>
      <c r="E703" s="180"/>
      <c r="F703" s="180"/>
    </row>
    <row r="704" spans="1:7" x14ac:dyDescent="0.3">
      <c r="A704" s="173"/>
      <c r="B704" s="173"/>
      <c r="C704" s="173"/>
      <c r="D704" s="173"/>
      <c r="E704" s="173"/>
      <c r="F704" s="174"/>
      <c r="G704" s="173"/>
    </row>
    <row r="705" spans="1:9" x14ac:dyDescent="0.3">
      <c r="A705" s="173"/>
      <c r="B705" s="173"/>
      <c r="C705" s="173"/>
      <c r="D705" s="173"/>
      <c r="E705" s="173"/>
      <c r="F705" s="173"/>
    </row>
    <row r="706" spans="1:9" x14ac:dyDescent="0.3">
      <c r="A706" s="173"/>
      <c r="B706" s="173"/>
      <c r="C706" s="173"/>
      <c r="D706" s="173"/>
      <c r="E706" s="173"/>
      <c r="F706" s="173"/>
    </row>
    <row r="707" spans="1:9" x14ac:dyDescent="0.3">
      <c r="C707" s="172"/>
      <c r="D707" s="177"/>
      <c r="E707" s="172"/>
      <c r="F707" s="176"/>
      <c r="G707" s="174"/>
      <c r="H707" s="173"/>
      <c r="I707" s="173"/>
    </row>
    <row r="708" spans="1:9" x14ac:dyDescent="0.3">
      <c r="A708" s="173"/>
      <c r="B708" s="173"/>
      <c r="C708" s="173"/>
      <c r="D708" s="173"/>
      <c r="E708" s="173"/>
      <c r="F708" s="173"/>
    </row>
    <row r="709" spans="1:9" x14ac:dyDescent="0.3">
      <c r="A709" s="173"/>
      <c r="B709" s="173"/>
      <c r="C709" s="173"/>
      <c r="D709" s="173"/>
      <c r="E709" s="173"/>
      <c r="F709" s="173"/>
    </row>
    <row r="710" spans="1:9" x14ac:dyDescent="0.3">
      <c r="A710" s="173"/>
      <c r="B710" s="173"/>
      <c r="C710" s="173"/>
      <c r="D710" s="173"/>
      <c r="E710" s="173"/>
      <c r="F710" s="173"/>
    </row>
    <row r="711" spans="1:9" x14ac:dyDescent="0.3">
      <c r="B711" s="174"/>
      <c r="C711" s="173"/>
      <c r="D711" s="173"/>
      <c r="E711" s="173"/>
      <c r="F711" s="173"/>
    </row>
    <row r="712" spans="1:9" x14ac:dyDescent="0.3">
      <c r="A712" s="173"/>
      <c r="B712" s="173"/>
      <c r="C712" s="173"/>
      <c r="D712" s="173"/>
      <c r="E712" s="173"/>
      <c r="F712" s="173"/>
    </row>
    <row r="713" spans="1:9" x14ac:dyDescent="0.3">
      <c r="A713" s="173"/>
      <c r="B713" s="173"/>
      <c r="C713" s="173"/>
      <c r="D713" s="173"/>
      <c r="E713" s="173"/>
      <c r="F713" s="173"/>
    </row>
    <row r="714" spans="1:9" x14ac:dyDescent="0.3">
      <c r="A714" s="173"/>
      <c r="B714" s="173"/>
      <c r="C714" s="173"/>
      <c r="D714" s="173"/>
      <c r="E714" s="173"/>
      <c r="F714" s="173"/>
    </row>
    <row r="715" spans="1:9" ht="15.6" x14ac:dyDescent="0.3">
      <c r="A715" s="182"/>
      <c r="B715" s="182"/>
      <c r="C715" s="182"/>
      <c r="D715" s="182"/>
      <c r="E715" s="182"/>
      <c r="F715" s="182"/>
    </row>
    <row r="716" spans="1:9" x14ac:dyDescent="0.3">
      <c r="A716" s="183"/>
      <c r="B716" s="183"/>
      <c r="C716" s="183"/>
      <c r="D716" s="184"/>
      <c r="E716" s="183"/>
      <c r="F716" s="183"/>
    </row>
    <row r="717" spans="1:9" x14ac:dyDescent="0.3">
      <c r="A717" s="180"/>
      <c r="B717" s="180"/>
      <c r="C717" s="180"/>
      <c r="D717" s="180"/>
      <c r="E717" s="180"/>
      <c r="F717" s="180"/>
    </row>
    <row r="718" spans="1:9" x14ac:dyDescent="0.3">
      <c r="A718" s="180"/>
      <c r="B718" s="180"/>
      <c r="C718" s="180"/>
      <c r="D718" s="180"/>
      <c r="E718" s="180"/>
      <c r="F718" s="180"/>
    </row>
    <row r="719" spans="1:9" x14ac:dyDescent="0.3">
      <c r="A719" s="180"/>
      <c r="B719" s="180"/>
      <c r="C719" s="180"/>
      <c r="D719" s="180"/>
      <c r="E719" s="180"/>
      <c r="F719" s="180"/>
    </row>
    <row r="720" spans="1:9" x14ac:dyDescent="0.3">
      <c r="A720" s="180"/>
      <c r="B720" s="180"/>
      <c r="C720" s="180"/>
      <c r="D720" s="180"/>
      <c r="E720" s="180"/>
      <c r="F720" s="180"/>
    </row>
    <row r="721" spans="1:7" x14ac:dyDescent="0.3">
      <c r="A721" s="180"/>
      <c r="B721" s="180"/>
      <c r="C721" s="180"/>
      <c r="D721" s="180"/>
      <c r="E721" s="180"/>
      <c r="F721" s="180"/>
    </row>
    <row r="722" spans="1:7" x14ac:dyDescent="0.3">
      <c r="A722" s="180"/>
      <c r="B722" s="180"/>
      <c r="C722" s="180"/>
      <c r="D722" s="180"/>
      <c r="E722" s="180"/>
      <c r="F722" s="180"/>
    </row>
    <row r="723" spans="1:7" x14ac:dyDescent="0.3">
      <c r="A723" s="180"/>
      <c r="B723" s="180"/>
      <c r="C723" s="180"/>
      <c r="D723" s="180"/>
      <c r="E723" s="180"/>
      <c r="F723" s="180"/>
    </row>
    <row r="724" spans="1:7" x14ac:dyDescent="0.3">
      <c r="A724" s="180"/>
      <c r="B724" s="180"/>
      <c r="C724" s="180"/>
      <c r="D724" s="180"/>
      <c r="E724" s="180"/>
      <c r="F724" s="180"/>
    </row>
    <row r="725" spans="1:7" x14ac:dyDescent="0.3">
      <c r="A725" s="180"/>
      <c r="B725" s="180"/>
      <c r="C725" s="180"/>
      <c r="D725" s="180"/>
      <c r="E725" s="180"/>
      <c r="F725" s="180"/>
    </row>
    <row r="726" spans="1:7" x14ac:dyDescent="0.3">
      <c r="A726" s="180"/>
      <c r="B726" s="180"/>
      <c r="C726" s="180"/>
      <c r="D726" s="180"/>
      <c r="E726" s="180"/>
      <c r="F726" s="180"/>
    </row>
    <row r="727" spans="1:7" x14ac:dyDescent="0.3">
      <c r="A727" s="180"/>
      <c r="B727" s="180"/>
      <c r="C727" s="180"/>
      <c r="D727" s="180"/>
      <c r="E727" s="180"/>
      <c r="F727" s="180"/>
    </row>
    <row r="728" spans="1:7" x14ac:dyDescent="0.3">
      <c r="A728" s="180"/>
      <c r="B728" s="180"/>
      <c r="C728" s="180"/>
      <c r="D728" s="172"/>
      <c r="E728" s="180"/>
      <c r="F728" s="180"/>
    </row>
    <row r="729" spans="1:7" x14ac:dyDescent="0.3">
      <c r="A729" s="180"/>
      <c r="B729" s="180"/>
      <c r="C729" s="180"/>
      <c r="D729" s="177"/>
      <c r="E729" s="180"/>
      <c r="F729" s="180"/>
    </row>
    <row r="730" spans="1:7" x14ac:dyDescent="0.3">
      <c r="A730" s="180"/>
      <c r="B730" s="180"/>
      <c r="C730" s="180"/>
      <c r="D730" s="180"/>
      <c r="E730" s="180"/>
      <c r="F730" s="180"/>
    </row>
    <row r="731" spans="1:7" x14ac:dyDescent="0.3">
      <c r="A731" s="186"/>
      <c r="B731" s="186"/>
      <c r="C731" s="186"/>
      <c r="D731" s="186"/>
      <c r="E731" s="186"/>
      <c r="F731" s="174"/>
      <c r="G731" s="173"/>
    </row>
    <row r="732" spans="1:7" x14ac:dyDescent="0.3">
      <c r="A732" s="173"/>
      <c r="B732" s="173"/>
      <c r="C732" s="173"/>
      <c r="D732" s="173"/>
      <c r="E732" s="173"/>
      <c r="F732" s="173"/>
    </row>
    <row r="733" spans="1:7" x14ac:dyDescent="0.3">
      <c r="A733" s="173"/>
      <c r="B733" s="173"/>
      <c r="C733" s="173"/>
      <c r="D733" s="173"/>
      <c r="E733" s="173"/>
      <c r="F733" s="173"/>
    </row>
    <row r="734" spans="1:7" x14ac:dyDescent="0.3">
      <c r="A734" s="173"/>
      <c r="B734" s="173"/>
      <c r="C734" s="173"/>
      <c r="D734" s="173"/>
      <c r="E734" s="173"/>
      <c r="F734" s="173"/>
    </row>
    <row r="735" spans="1:7" x14ac:dyDescent="0.3">
      <c r="A735" s="173"/>
      <c r="B735" s="173"/>
      <c r="C735" s="173"/>
      <c r="D735" s="173"/>
      <c r="E735" s="173"/>
      <c r="F735" s="173"/>
    </row>
    <row r="736" spans="1:7" x14ac:dyDescent="0.3">
      <c r="A736" s="175"/>
      <c r="B736" s="175"/>
      <c r="C736" s="175"/>
      <c r="D736" s="175"/>
      <c r="F736" s="173"/>
    </row>
    <row r="737" spans="1:6" x14ac:dyDescent="0.3">
      <c r="A737" s="180"/>
      <c r="B737" s="180"/>
      <c r="C737" s="180"/>
      <c r="D737" s="180"/>
      <c r="E737" s="173"/>
      <c r="F737" s="173"/>
    </row>
    <row r="738" spans="1:6" x14ac:dyDescent="0.3">
      <c r="A738" s="180"/>
      <c r="B738" s="180"/>
      <c r="C738" s="180"/>
      <c r="D738" s="180"/>
      <c r="E738" s="173"/>
      <c r="F738" s="173"/>
    </row>
    <row r="739" spans="1:6" x14ac:dyDescent="0.3">
      <c r="A739" s="180"/>
      <c r="B739" s="180"/>
      <c r="C739" s="180"/>
      <c r="D739" s="180"/>
      <c r="E739" s="173"/>
      <c r="F739" s="173"/>
    </row>
    <row r="740" spans="1:6" x14ac:dyDescent="0.3">
      <c r="A740" s="173"/>
      <c r="B740" s="173"/>
      <c r="D740" s="174"/>
      <c r="E740" s="173"/>
      <c r="F740" s="173"/>
    </row>
    <row r="741" spans="1:6" x14ac:dyDescent="0.3">
      <c r="A741" s="173"/>
      <c r="B741" s="173"/>
      <c r="C741" s="173"/>
      <c r="D741" s="173"/>
      <c r="E741" s="173"/>
      <c r="F741" s="173"/>
    </row>
    <row r="742" spans="1:6" x14ac:dyDescent="0.3">
      <c r="A742" s="173"/>
      <c r="B742" s="173"/>
      <c r="C742" s="173"/>
      <c r="D742" s="173"/>
      <c r="E742" s="173"/>
      <c r="F742" s="173"/>
    </row>
    <row r="743" spans="1:6" x14ac:dyDescent="0.3">
      <c r="A743" s="173"/>
      <c r="B743" s="173"/>
      <c r="C743" s="173"/>
      <c r="D743" s="173"/>
      <c r="E743" s="173"/>
      <c r="F743" s="173"/>
    </row>
    <row r="744" spans="1:6" x14ac:dyDescent="0.3">
      <c r="A744" s="173"/>
      <c r="B744" s="173"/>
      <c r="C744" s="173"/>
      <c r="D744" s="173"/>
      <c r="E744" s="173"/>
      <c r="F744" s="173"/>
    </row>
    <row r="745" spans="1:6" x14ac:dyDescent="0.3">
      <c r="A745" s="175"/>
      <c r="B745" s="175"/>
      <c r="C745" s="175"/>
      <c r="D745" s="175"/>
      <c r="E745" s="173"/>
      <c r="F745" s="173"/>
    </row>
    <row r="746" spans="1:6" x14ac:dyDescent="0.3">
      <c r="A746" s="172"/>
      <c r="B746" s="172"/>
      <c r="C746" s="180"/>
      <c r="D746" s="180"/>
      <c r="E746" s="173"/>
      <c r="F746" s="173"/>
    </row>
    <row r="747" spans="1:6" x14ac:dyDescent="0.3">
      <c r="A747" s="172"/>
      <c r="B747" s="172"/>
      <c r="C747" s="180"/>
      <c r="D747" s="180"/>
      <c r="E747" s="173"/>
      <c r="F747" s="173"/>
    </row>
    <row r="748" spans="1:6" x14ac:dyDescent="0.3">
      <c r="A748" s="172"/>
      <c r="B748" s="172"/>
      <c r="C748" s="180"/>
      <c r="D748" s="180"/>
      <c r="E748" s="173"/>
      <c r="F748" s="173"/>
    </row>
    <row r="749" spans="1:6" x14ac:dyDescent="0.3">
      <c r="A749" s="172"/>
      <c r="B749" s="172"/>
      <c r="C749" s="180"/>
      <c r="D749" s="180"/>
      <c r="E749" s="173"/>
      <c r="F749" s="173"/>
    </row>
    <row r="750" spans="1:6" x14ac:dyDescent="0.3">
      <c r="A750" s="172"/>
      <c r="B750" s="172"/>
      <c r="C750" s="180"/>
      <c r="D750" s="180"/>
      <c r="E750" s="173"/>
      <c r="F750" s="173"/>
    </row>
    <row r="751" spans="1:6" x14ac:dyDescent="0.3">
      <c r="A751" s="172"/>
      <c r="B751" s="172"/>
      <c r="C751" s="180"/>
      <c r="D751" s="180"/>
      <c r="E751" s="173"/>
      <c r="F751" s="173"/>
    </row>
    <row r="752" spans="1:6" x14ac:dyDescent="0.3">
      <c r="A752" s="172"/>
      <c r="B752" s="172"/>
      <c r="C752" s="180"/>
      <c r="D752" s="180"/>
      <c r="E752" s="173"/>
      <c r="F752" s="173"/>
    </row>
    <row r="753" spans="1:6" x14ac:dyDescent="0.3">
      <c r="A753" s="172"/>
      <c r="B753" s="172"/>
      <c r="C753" s="180"/>
      <c r="D753" s="180"/>
      <c r="E753" s="173"/>
      <c r="F753" s="173"/>
    </row>
    <row r="754" spans="1:6" x14ac:dyDescent="0.3">
      <c r="A754" s="172"/>
      <c r="B754" s="172"/>
      <c r="C754" s="180"/>
      <c r="D754" s="180"/>
      <c r="E754" s="173"/>
      <c r="F754" s="173"/>
    </row>
    <row r="755" spans="1:6" x14ac:dyDescent="0.3">
      <c r="A755" s="172"/>
      <c r="B755" s="172"/>
      <c r="C755" s="180"/>
      <c r="D755" s="180"/>
      <c r="E755" s="173"/>
      <c r="F755" s="173"/>
    </row>
    <row r="756" spans="1:6" x14ac:dyDescent="0.3">
      <c r="A756" s="172"/>
      <c r="B756" s="172"/>
      <c r="C756" s="180"/>
      <c r="D756" s="180"/>
      <c r="E756" s="173"/>
      <c r="F756" s="173"/>
    </row>
    <row r="757" spans="1:6" x14ac:dyDescent="0.3">
      <c r="A757" s="172"/>
      <c r="B757" s="172"/>
      <c r="C757" s="180"/>
      <c r="D757" s="174"/>
      <c r="E757" s="173"/>
      <c r="F757" s="173"/>
    </row>
    <row r="758" spans="1:6" x14ac:dyDescent="0.3">
      <c r="A758" s="172"/>
      <c r="B758" s="172"/>
      <c r="C758" s="180"/>
      <c r="D758" s="180"/>
      <c r="E758" s="173"/>
      <c r="F758" s="173"/>
    </row>
    <row r="759" spans="1:6" x14ac:dyDescent="0.3">
      <c r="A759" s="172"/>
      <c r="B759" s="172"/>
      <c r="C759" s="180"/>
      <c r="D759" s="180"/>
      <c r="E759" s="173"/>
      <c r="F759" s="173"/>
    </row>
    <row r="760" spans="1:6" x14ac:dyDescent="0.3">
      <c r="A760" s="173"/>
      <c r="B760" s="173"/>
      <c r="C760" s="173"/>
      <c r="D760" s="173"/>
      <c r="E760" s="173"/>
      <c r="F760" s="173"/>
    </row>
    <row r="761" spans="1:6" x14ac:dyDescent="0.3">
      <c r="A761" s="173"/>
      <c r="B761" s="173"/>
      <c r="C761" s="173"/>
      <c r="D761" s="173"/>
      <c r="E761" s="173"/>
      <c r="F761" s="173"/>
    </row>
    <row r="762" spans="1:6" x14ac:dyDescent="0.3">
      <c r="A762" s="173"/>
      <c r="B762" s="173"/>
      <c r="C762" s="173"/>
      <c r="D762" s="173"/>
      <c r="E762" s="173"/>
      <c r="F762" s="173"/>
    </row>
    <row r="763" spans="1:6" x14ac:dyDescent="0.3">
      <c r="A763" s="175"/>
      <c r="B763" s="173"/>
      <c r="C763" s="173"/>
      <c r="D763" s="173"/>
      <c r="E763" s="173"/>
      <c r="F763" s="173"/>
    </row>
    <row r="764" spans="1:6" x14ac:dyDescent="0.3">
      <c r="A764" s="172"/>
      <c r="B764" s="173"/>
      <c r="C764" s="173"/>
      <c r="D764" s="173"/>
      <c r="E764" s="173"/>
      <c r="F764" s="173"/>
    </row>
    <row r="765" spans="1:6" x14ac:dyDescent="0.3">
      <c r="A765" s="172"/>
      <c r="B765" s="173"/>
      <c r="C765" s="173"/>
      <c r="D765" s="173"/>
      <c r="E765" s="173"/>
      <c r="F765" s="173"/>
    </row>
    <row r="766" spans="1:6" x14ac:dyDescent="0.3">
      <c r="A766" s="172"/>
      <c r="B766" s="173"/>
      <c r="C766" s="173"/>
      <c r="D766" s="173"/>
      <c r="E766" s="173"/>
      <c r="F766" s="173"/>
    </row>
    <row r="767" spans="1:6" x14ac:dyDescent="0.3">
      <c r="A767" s="172"/>
      <c r="B767" s="173"/>
      <c r="C767" s="173"/>
      <c r="D767" s="173"/>
      <c r="E767" s="173"/>
      <c r="F767" s="173"/>
    </row>
    <row r="768" spans="1:6" x14ac:dyDescent="0.3">
      <c r="A768" s="172"/>
      <c r="B768" s="173"/>
      <c r="C768" s="173"/>
      <c r="D768" s="173"/>
      <c r="E768" s="173"/>
      <c r="F768" s="173"/>
    </row>
    <row r="769" spans="1:6" x14ac:dyDescent="0.3">
      <c r="A769" s="172"/>
      <c r="B769" s="173"/>
      <c r="C769" s="173"/>
      <c r="D769" s="173"/>
      <c r="E769" s="173"/>
      <c r="F769" s="173"/>
    </row>
    <row r="770" spans="1:6" x14ac:dyDescent="0.3">
      <c r="A770" s="172"/>
      <c r="B770" s="173"/>
      <c r="C770" s="173"/>
      <c r="D770" s="173"/>
      <c r="E770" s="173"/>
      <c r="F770" s="173"/>
    </row>
    <row r="771" spans="1:6" x14ac:dyDescent="0.3">
      <c r="A771" s="172"/>
      <c r="B771" s="173"/>
      <c r="C771" s="173"/>
      <c r="D771" s="173"/>
      <c r="E771" s="173"/>
      <c r="F771" s="173"/>
    </row>
    <row r="772" spans="1:6" x14ac:dyDescent="0.3">
      <c r="A772" s="172"/>
      <c r="B772" s="173"/>
      <c r="C772" s="173"/>
      <c r="D772" s="173"/>
      <c r="E772" s="173"/>
      <c r="F772" s="173"/>
    </row>
    <row r="773" spans="1:6" x14ac:dyDescent="0.3">
      <c r="A773" s="172"/>
      <c r="B773" s="173"/>
      <c r="C773" s="173"/>
      <c r="D773" s="173"/>
      <c r="E773" s="173"/>
      <c r="F773" s="173"/>
    </row>
    <row r="774" spans="1:6" x14ac:dyDescent="0.3">
      <c r="A774" s="172"/>
      <c r="B774" s="173"/>
      <c r="C774" s="173"/>
      <c r="D774" s="173"/>
      <c r="E774" s="173"/>
      <c r="F774" s="173"/>
    </row>
    <row r="775" spans="1:6" x14ac:dyDescent="0.3">
      <c r="A775" s="172"/>
      <c r="B775" s="173"/>
      <c r="C775" s="173"/>
      <c r="D775" s="173"/>
      <c r="E775" s="173"/>
      <c r="F775" s="173"/>
    </row>
    <row r="776" spans="1:6" x14ac:dyDescent="0.3">
      <c r="A776" s="172"/>
      <c r="B776" s="173"/>
      <c r="C776" s="173"/>
      <c r="D776" s="173"/>
      <c r="E776" s="173"/>
      <c r="F776" s="173"/>
    </row>
    <row r="777" spans="1:6" x14ac:dyDescent="0.3">
      <c r="A777" s="172"/>
      <c r="B777" s="173"/>
      <c r="C777" s="173"/>
      <c r="D777" s="173"/>
      <c r="E777" s="173"/>
      <c r="F777" s="173"/>
    </row>
    <row r="778" spans="1:6" x14ac:dyDescent="0.3">
      <c r="A778" s="172"/>
      <c r="B778" s="173"/>
      <c r="C778" s="173"/>
      <c r="D778" s="173"/>
      <c r="E778" s="173"/>
      <c r="F778" s="173"/>
    </row>
    <row r="779" spans="1:6" x14ac:dyDescent="0.3">
      <c r="A779" s="172"/>
      <c r="B779" s="173"/>
      <c r="C779" s="173"/>
      <c r="D779" s="173"/>
      <c r="E779" s="173"/>
      <c r="F779" s="173"/>
    </row>
    <row r="780" spans="1:6" x14ac:dyDescent="0.3">
      <c r="A780" s="172"/>
      <c r="B780" s="173"/>
      <c r="C780" s="173"/>
      <c r="D780" s="173"/>
      <c r="E780" s="173"/>
      <c r="F780" s="173"/>
    </row>
    <row r="781" spans="1:6" x14ac:dyDescent="0.3">
      <c r="A781" s="172"/>
      <c r="B781" s="173"/>
      <c r="C781" s="173"/>
      <c r="D781" s="173"/>
      <c r="E781" s="173"/>
      <c r="F781" s="173"/>
    </row>
    <row r="782" spans="1:6" x14ac:dyDescent="0.3">
      <c r="A782" s="172"/>
      <c r="B782" s="173"/>
      <c r="C782" s="173"/>
      <c r="D782" s="173"/>
      <c r="E782" s="173"/>
      <c r="F782" s="173"/>
    </row>
    <row r="783" spans="1:6" x14ac:dyDescent="0.3">
      <c r="A783" s="172"/>
      <c r="B783" s="173"/>
      <c r="C783" s="173"/>
      <c r="D783" s="173"/>
      <c r="E783" s="173"/>
      <c r="F783" s="173"/>
    </row>
    <row r="784" spans="1:6" x14ac:dyDescent="0.3">
      <c r="A784" s="172"/>
      <c r="B784" s="173"/>
      <c r="C784" s="173"/>
      <c r="D784" s="173"/>
      <c r="E784" s="173"/>
      <c r="F784" s="173"/>
    </row>
    <row r="785" spans="1:6" x14ac:dyDescent="0.3">
      <c r="A785" s="174"/>
      <c r="B785" s="173"/>
      <c r="C785" s="173"/>
      <c r="D785" s="173"/>
      <c r="E785" s="173"/>
      <c r="F785" s="173"/>
    </row>
    <row r="786" spans="1:6" x14ac:dyDescent="0.3">
      <c r="B786" s="174"/>
      <c r="C786" s="173"/>
      <c r="D786" s="173"/>
      <c r="E786" s="173"/>
      <c r="F786" s="173"/>
    </row>
    <row r="787" spans="1:6" x14ac:dyDescent="0.3">
      <c r="A787" s="173"/>
      <c r="B787" s="173"/>
      <c r="C787" s="173"/>
      <c r="D787" s="173"/>
      <c r="E787" s="173"/>
      <c r="F787" s="173"/>
    </row>
    <row r="788" spans="1:6" x14ac:dyDescent="0.3">
      <c r="A788" s="173"/>
      <c r="B788" s="173"/>
      <c r="C788" s="173"/>
      <c r="D788" s="173"/>
      <c r="E788" s="173"/>
      <c r="F788" s="173"/>
    </row>
    <row r="789" spans="1:6" x14ac:dyDescent="0.3">
      <c r="A789" s="173"/>
      <c r="B789" s="173"/>
      <c r="C789" s="173"/>
      <c r="D789" s="173"/>
      <c r="E789" s="173"/>
      <c r="F789" s="173"/>
    </row>
    <row r="790" spans="1:6" x14ac:dyDescent="0.3">
      <c r="A790" s="175"/>
      <c r="B790" s="173"/>
      <c r="C790" s="173"/>
      <c r="D790" s="173"/>
      <c r="E790" s="173"/>
      <c r="F790" s="173"/>
    </row>
    <row r="791" spans="1:6" x14ac:dyDescent="0.3">
      <c r="A791" s="172"/>
      <c r="B791" s="173"/>
      <c r="C791" s="173"/>
      <c r="D791" s="173"/>
      <c r="E791" s="173"/>
      <c r="F791" s="173"/>
    </row>
    <row r="792" spans="1:6" x14ac:dyDescent="0.3">
      <c r="A792" s="174"/>
      <c r="B792" s="173"/>
      <c r="C792" s="173"/>
      <c r="D792" s="173"/>
      <c r="E792" s="173"/>
      <c r="F792" s="173"/>
    </row>
    <row r="793" spans="1:6" x14ac:dyDescent="0.3">
      <c r="A793" s="173"/>
      <c r="B793" s="173"/>
      <c r="C793" s="173"/>
      <c r="D793" s="173"/>
      <c r="E793" s="173"/>
      <c r="F793" s="173"/>
    </row>
    <row r="794" spans="1:6" x14ac:dyDescent="0.3">
      <c r="A794" s="173"/>
      <c r="B794" s="173"/>
      <c r="C794" s="173"/>
      <c r="D794" s="173"/>
      <c r="E794" s="173"/>
      <c r="F794" s="173"/>
    </row>
    <row r="795" spans="1:6" ht="15.6" x14ac:dyDescent="0.3">
      <c r="A795" s="191"/>
      <c r="B795" s="191"/>
      <c r="C795" s="191"/>
      <c r="D795" s="191"/>
      <c r="E795" s="191"/>
    </row>
    <row r="796" spans="1:6" x14ac:dyDescent="0.3">
      <c r="A796" s="173"/>
      <c r="B796" s="173"/>
    </row>
    <row r="797" spans="1:6" x14ac:dyDescent="0.3">
      <c r="B797" s="173"/>
    </row>
    <row r="798" spans="1:6" x14ac:dyDescent="0.3">
      <c r="A798" s="173"/>
      <c r="B798" s="173"/>
    </row>
    <row r="800" spans="1:6" x14ac:dyDescent="0.3">
      <c r="C800" s="192"/>
      <c r="D800" s="192"/>
    </row>
    <row r="801" spans="1:4" x14ac:dyDescent="0.3">
      <c r="C801" s="192"/>
      <c r="D801" s="192"/>
    </row>
    <row r="802" spans="1:4" x14ac:dyDescent="0.3">
      <c r="C802" s="180"/>
      <c r="D802" s="180"/>
    </row>
    <row r="803" spans="1:4" x14ac:dyDescent="0.3">
      <c r="A803" s="192"/>
      <c r="B803" s="192"/>
      <c r="C803" s="180"/>
      <c r="D803" s="180"/>
    </row>
    <row r="804" spans="1:4" x14ac:dyDescent="0.3">
      <c r="A804" s="192"/>
      <c r="B804" s="192"/>
    </row>
    <row r="805" spans="1:4" x14ac:dyDescent="0.3">
      <c r="A805" s="180"/>
      <c r="B805" s="180"/>
    </row>
    <row r="806" spans="1:4" x14ac:dyDescent="0.3">
      <c r="A806" s="180"/>
      <c r="B806" s="180"/>
    </row>
    <row r="824" spans="1:6" x14ac:dyDescent="0.3">
      <c r="A824" s="193"/>
      <c r="C824" s="177"/>
      <c r="D824" s="177"/>
      <c r="E824" s="177"/>
      <c r="F824" s="177"/>
    </row>
    <row r="825" spans="1:6" x14ac:dyDescent="0.3">
      <c r="C825" s="172"/>
      <c r="D825" s="172"/>
      <c r="E825" s="172"/>
      <c r="F825" s="172"/>
    </row>
    <row r="826" spans="1:6" x14ac:dyDescent="0.3">
      <c r="C826" s="172"/>
      <c r="D826" s="172"/>
      <c r="E826" s="172"/>
      <c r="F826" s="172"/>
    </row>
    <row r="827" spans="1:6" x14ac:dyDescent="0.3">
      <c r="A827" s="177"/>
      <c r="B827" s="177"/>
      <c r="C827" s="172"/>
      <c r="D827" s="172"/>
      <c r="E827" s="172"/>
      <c r="F827" s="172"/>
    </row>
    <row r="828" spans="1:6" x14ac:dyDescent="0.3">
      <c r="A828" s="172"/>
      <c r="B828" s="172"/>
      <c r="C828" s="172"/>
      <c r="D828" s="172"/>
      <c r="E828" s="172"/>
      <c r="F828" s="172"/>
    </row>
    <row r="829" spans="1:6" x14ac:dyDescent="0.3">
      <c r="A829" s="172"/>
      <c r="B829" s="172"/>
      <c r="C829" s="172"/>
      <c r="D829" s="172"/>
      <c r="E829" s="172"/>
      <c r="F829" s="172"/>
    </row>
    <row r="830" spans="1:6" x14ac:dyDescent="0.3">
      <c r="A830" s="172"/>
      <c r="B830" s="172"/>
      <c r="C830" s="172"/>
      <c r="D830" s="172"/>
      <c r="E830" s="172"/>
      <c r="F830" s="172"/>
    </row>
    <row r="831" spans="1:6" x14ac:dyDescent="0.3">
      <c r="A831" s="172"/>
      <c r="B831" s="172"/>
      <c r="C831" s="172"/>
      <c r="D831" s="172"/>
      <c r="E831" s="172"/>
      <c r="F831" s="172"/>
    </row>
    <row r="832" spans="1:6" x14ac:dyDescent="0.3">
      <c r="A832" s="172"/>
      <c r="B832" s="172"/>
      <c r="C832" s="172"/>
      <c r="D832" s="172"/>
      <c r="E832" s="172"/>
      <c r="F832" s="172"/>
    </row>
    <row r="833" spans="1:6" x14ac:dyDescent="0.3">
      <c r="A833" s="172"/>
      <c r="B833" s="172"/>
      <c r="C833" s="172"/>
      <c r="D833" s="172"/>
      <c r="E833" s="172"/>
      <c r="F833" s="172"/>
    </row>
    <row r="834" spans="1:6" x14ac:dyDescent="0.3">
      <c r="A834" s="172"/>
      <c r="B834" s="172"/>
      <c r="C834" s="172"/>
      <c r="D834" s="172"/>
      <c r="E834" s="172"/>
      <c r="F834" s="172"/>
    </row>
    <row r="835" spans="1:6" x14ac:dyDescent="0.3">
      <c r="A835" s="172"/>
      <c r="B835" s="172"/>
      <c r="C835" s="172"/>
      <c r="D835" s="172"/>
      <c r="E835" s="172"/>
      <c r="F835" s="172"/>
    </row>
    <row r="836" spans="1:6" x14ac:dyDescent="0.3">
      <c r="A836" s="172"/>
      <c r="B836" s="172"/>
      <c r="C836" s="172"/>
      <c r="D836" s="172"/>
      <c r="E836" s="172"/>
      <c r="F836" s="172"/>
    </row>
    <row r="837" spans="1:6" x14ac:dyDescent="0.3">
      <c r="A837" s="172"/>
      <c r="B837" s="172"/>
      <c r="C837" s="172"/>
      <c r="D837" s="172"/>
      <c r="E837" s="172"/>
      <c r="F837" s="172"/>
    </row>
    <row r="838" spans="1:6" x14ac:dyDescent="0.3">
      <c r="A838" s="172"/>
      <c r="B838" s="172"/>
      <c r="C838" s="172"/>
      <c r="D838" s="172"/>
      <c r="E838" s="172"/>
      <c r="F838" s="172"/>
    </row>
    <row r="839" spans="1:6" x14ac:dyDescent="0.3">
      <c r="A839" s="172"/>
      <c r="B839" s="172"/>
      <c r="C839" s="172"/>
      <c r="D839" s="172"/>
      <c r="E839" s="172"/>
      <c r="F839" s="172"/>
    </row>
    <row r="840" spans="1:6" x14ac:dyDescent="0.3">
      <c r="A840" s="172"/>
      <c r="B840" s="172"/>
      <c r="C840" s="172"/>
      <c r="D840" s="172"/>
      <c r="E840" s="172"/>
      <c r="F840" s="172"/>
    </row>
    <row r="841" spans="1:6" x14ac:dyDescent="0.3">
      <c r="A841" s="172"/>
      <c r="B841" s="172"/>
      <c r="C841" s="172"/>
      <c r="D841" s="172"/>
      <c r="E841" s="172"/>
      <c r="F841" s="172"/>
    </row>
    <row r="842" spans="1:6" x14ac:dyDescent="0.3">
      <c r="A842" s="172"/>
      <c r="B842" s="172"/>
      <c r="C842" s="172"/>
      <c r="D842" s="172"/>
      <c r="E842" s="172"/>
      <c r="F842" s="172"/>
    </row>
    <row r="843" spans="1:6" x14ac:dyDescent="0.3">
      <c r="A843" s="172"/>
      <c r="B843" s="172"/>
      <c r="C843" s="172"/>
      <c r="D843" s="172"/>
      <c r="E843" s="172"/>
      <c r="F843" s="172"/>
    </row>
    <row r="844" spans="1:6" x14ac:dyDescent="0.3">
      <c r="A844" s="172"/>
      <c r="B844" s="172"/>
      <c r="C844" s="172"/>
      <c r="D844" s="172"/>
      <c r="E844" s="172"/>
      <c r="F844" s="172"/>
    </row>
    <row r="845" spans="1:6" x14ac:dyDescent="0.3">
      <c r="A845" s="172"/>
      <c r="B845" s="172"/>
      <c r="C845" s="172"/>
      <c r="D845" s="172"/>
      <c r="E845" s="172"/>
      <c r="F845" s="172"/>
    </row>
    <row r="846" spans="1:6" x14ac:dyDescent="0.3">
      <c r="A846" s="172"/>
      <c r="B846" s="172"/>
      <c r="C846" s="172"/>
      <c r="D846" s="172"/>
      <c r="E846" s="172"/>
      <c r="F846" s="172"/>
    </row>
    <row r="847" spans="1:6" x14ac:dyDescent="0.3">
      <c r="A847" s="172"/>
      <c r="B847" s="172"/>
      <c r="C847" s="172"/>
      <c r="D847" s="172"/>
      <c r="E847" s="172"/>
      <c r="F847" s="172"/>
    </row>
    <row r="848" spans="1:6" x14ac:dyDescent="0.3">
      <c r="A848" s="172"/>
      <c r="B848" s="172"/>
      <c r="C848" s="172"/>
      <c r="D848" s="172"/>
      <c r="E848" s="172"/>
      <c r="F848" s="172"/>
    </row>
    <row r="849" spans="1:7" x14ac:dyDescent="0.3">
      <c r="A849" s="172"/>
      <c r="B849" s="172"/>
      <c r="C849" s="172"/>
      <c r="D849" s="172"/>
      <c r="E849" s="172"/>
      <c r="F849" s="172"/>
    </row>
    <row r="850" spans="1:7" x14ac:dyDescent="0.3">
      <c r="A850" s="172"/>
      <c r="B850" s="172"/>
      <c r="C850" s="172"/>
      <c r="D850" s="172"/>
      <c r="E850" s="172"/>
      <c r="F850" s="172"/>
    </row>
    <row r="851" spans="1:7" x14ac:dyDescent="0.3">
      <c r="A851" s="172"/>
      <c r="B851" s="172"/>
      <c r="C851" s="172"/>
      <c r="D851" s="172"/>
      <c r="E851" s="172"/>
      <c r="F851" s="172"/>
    </row>
    <row r="852" spans="1:7" x14ac:dyDescent="0.3">
      <c r="A852" s="172"/>
      <c r="B852" s="172"/>
      <c r="C852" s="172"/>
      <c r="D852" s="172"/>
      <c r="E852" s="172"/>
      <c r="F852" s="172"/>
    </row>
    <row r="853" spans="1:7" x14ac:dyDescent="0.3">
      <c r="A853" s="172"/>
      <c r="B853" s="172"/>
      <c r="C853" s="172"/>
      <c r="D853" s="172"/>
      <c r="E853" s="172"/>
      <c r="F853" s="172"/>
    </row>
    <row r="854" spans="1:7" x14ac:dyDescent="0.3">
      <c r="A854" s="172"/>
      <c r="B854" s="172"/>
      <c r="C854" s="172"/>
      <c r="D854" s="172"/>
      <c r="E854" s="172"/>
      <c r="F854" s="172"/>
    </row>
    <row r="855" spans="1:7" x14ac:dyDescent="0.3">
      <c r="A855" s="172"/>
      <c r="B855" s="172"/>
      <c r="C855" s="172"/>
      <c r="D855" s="172"/>
      <c r="E855" s="172"/>
      <c r="F855" s="172"/>
    </row>
    <row r="856" spans="1:7" x14ac:dyDescent="0.3">
      <c r="A856" s="172"/>
      <c r="B856" s="172"/>
      <c r="C856" s="172"/>
      <c r="D856" s="172"/>
      <c r="E856" s="172"/>
      <c r="F856" s="172"/>
    </row>
    <row r="857" spans="1:7" x14ac:dyDescent="0.3">
      <c r="A857" s="172"/>
      <c r="B857" s="172"/>
      <c r="C857" s="172"/>
      <c r="D857" s="172"/>
      <c r="E857" s="172"/>
      <c r="F857" s="172"/>
    </row>
    <row r="858" spans="1:7" x14ac:dyDescent="0.3">
      <c r="A858" s="172"/>
      <c r="B858" s="172"/>
      <c r="C858" s="172"/>
      <c r="D858" s="172"/>
      <c r="E858" s="172"/>
      <c r="F858" s="172"/>
    </row>
    <row r="859" spans="1:7" x14ac:dyDescent="0.3">
      <c r="A859" s="172"/>
      <c r="B859" s="172"/>
      <c r="C859" s="172"/>
      <c r="D859" s="172"/>
      <c r="E859" s="172"/>
      <c r="F859" s="172"/>
    </row>
    <row r="860" spans="1:7" x14ac:dyDescent="0.3">
      <c r="A860" s="177"/>
      <c r="B860" s="172"/>
      <c r="C860" s="172"/>
      <c r="D860" s="172"/>
      <c r="E860" s="172"/>
      <c r="F860" s="172"/>
    </row>
    <row r="861" spans="1:7" x14ac:dyDescent="0.3">
      <c r="A861" s="177"/>
      <c r="B861" s="172"/>
      <c r="C861" s="172"/>
      <c r="D861" s="172"/>
      <c r="E861" s="172"/>
      <c r="F861" s="172"/>
    </row>
    <row r="862" spans="1:7" x14ac:dyDescent="0.3">
      <c r="A862" s="172"/>
      <c r="B862" s="172"/>
      <c r="C862" s="172"/>
      <c r="D862" s="172"/>
      <c r="E862" s="172"/>
      <c r="F862" s="172"/>
    </row>
    <row r="863" spans="1:7" x14ac:dyDescent="0.3">
      <c r="A863" s="172"/>
      <c r="B863" s="172"/>
      <c r="C863" s="162"/>
      <c r="D863" s="172"/>
      <c r="E863" s="172"/>
      <c r="F863" s="172"/>
    </row>
    <row r="864" spans="1:7" x14ac:dyDescent="0.3">
      <c r="A864" s="172"/>
      <c r="B864" s="172"/>
      <c r="C864" s="173"/>
      <c r="D864" s="173"/>
      <c r="E864" s="173"/>
      <c r="F864" s="174"/>
      <c r="G864" s="173"/>
    </row>
    <row r="865" spans="1:6" x14ac:dyDescent="0.3">
      <c r="A865" s="172"/>
      <c r="B865" s="172"/>
    </row>
    <row r="866" spans="1:6" x14ac:dyDescent="0.3">
      <c r="A866" s="162"/>
      <c r="B866" s="162"/>
      <c r="C866" s="193"/>
      <c r="D866" s="193"/>
      <c r="E866" s="193"/>
      <c r="F866" s="193"/>
    </row>
    <row r="867" spans="1:6" x14ac:dyDescent="0.3">
      <c r="A867" s="173"/>
      <c r="B867" s="173"/>
      <c r="C867" s="193"/>
      <c r="D867" s="193"/>
      <c r="E867" s="193"/>
      <c r="F867" s="193"/>
    </row>
    <row r="868" spans="1:6" x14ac:dyDescent="0.3">
      <c r="C868" s="193"/>
      <c r="D868" s="193"/>
      <c r="E868" s="193"/>
      <c r="F868" s="193"/>
    </row>
    <row r="869" spans="1:6" x14ac:dyDescent="0.3">
      <c r="A869" s="193"/>
      <c r="B869" s="193"/>
      <c r="C869" s="194"/>
      <c r="D869" s="194"/>
      <c r="E869" s="194"/>
      <c r="F869" s="194"/>
    </row>
    <row r="870" spans="1:6" x14ac:dyDescent="0.3">
      <c r="A870" s="193"/>
      <c r="B870" s="193"/>
      <c r="C870" s="194"/>
      <c r="D870" s="194"/>
      <c r="E870" s="194"/>
      <c r="F870" s="194"/>
    </row>
    <row r="871" spans="1:6" x14ac:dyDescent="0.3">
      <c r="A871" s="193"/>
      <c r="B871" s="193"/>
      <c r="C871" s="194"/>
      <c r="D871" s="194"/>
      <c r="E871" s="194"/>
      <c r="F871" s="194"/>
    </row>
    <row r="872" spans="1:6" x14ac:dyDescent="0.3">
      <c r="A872" s="177"/>
      <c r="B872" s="177"/>
      <c r="C872" s="194"/>
      <c r="D872" s="194"/>
      <c r="E872" s="194"/>
      <c r="F872" s="194"/>
    </row>
    <row r="873" spans="1:6" x14ac:dyDescent="0.3">
      <c r="A873" s="195"/>
      <c r="B873" s="172"/>
      <c r="C873" s="194"/>
      <c r="D873" s="194"/>
      <c r="E873" s="194"/>
      <c r="F873" s="194"/>
    </row>
    <row r="874" spans="1:6" x14ac:dyDescent="0.3">
      <c r="A874" s="195"/>
      <c r="B874" s="172"/>
      <c r="C874" s="194"/>
      <c r="D874" s="194"/>
      <c r="E874" s="194"/>
      <c r="F874" s="194"/>
    </row>
    <row r="875" spans="1:6" x14ac:dyDescent="0.3">
      <c r="A875" s="177"/>
      <c r="B875" s="172"/>
      <c r="C875" s="194"/>
      <c r="D875" s="194"/>
      <c r="E875" s="194"/>
      <c r="F875" s="194"/>
    </row>
    <row r="876" spans="1:6" x14ac:dyDescent="0.3">
      <c r="A876" s="177"/>
      <c r="B876" s="172"/>
      <c r="C876" s="194"/>
      <c r="D876" s="194"/>
      <c r="E876" s="194"/>
      <c r="F876" s="194"/>
    </row>
    <row r="877" spans="1:6" x14ac:dyDescent="0.3">
      <c r="A877" s="177"/>
      <c r="B877" s="172"/>
      <c r="C877" s="194"/>
      <c r="D877" s="194"/>
      <c r="E877" s="194"/>
      <c r="F877" s="194"/>
    </row>
    <row r="878" spans="1:6" x14ac:dyDescent="0.3">
      <c r="A878" s="177"/>
      <c r="B878" s="172"/>
      <c r="C878" s="194"/>
      <c r="D878" s="194"/>
      <c r="E878" s="194"/>
      <c r="F878" s="194"/>
    </row>
    <row r="879" spans="1:6" x14ac:dyDescent="0.3">
      <c r="A879" s="177"/>
      <c r="B879" s="172"/>
      <c r="C879" s="194"/>
      <c r="D879" s="194"/>
      <c r="E879" s="194"/>
      <c r="F879" s="194"/>
    </row>
    <row r="880" spans="1:6" x14ac:dyDescent="0.3">
      <c r="A880" s="195"/>
      <c r="B880" s="172"/>
      <c r="C880" s="194"/>
      <c r="D880" s="194"/>
      <c r="E880" s="194"/>
      <c r="F880" s="194"/>
    </row>
    <row r="881" spans="1:6" x14ac:dyDescent="0.3">
      <c r="A881" s="195"/>
      <c r="B881" s="172"/>
      <c r="C881" s="173"/>
      <c r="D881" s="194"/>
      <c r="E881" s="194"/>
      <c r="F881" s="194"/>
    </row>
    <row r="882" spans="1:6" x14ac:dyDescent="0.3">
      <c r="A882" s="177"/>
      <c r="B882" s="172"/>
      <c r="C882" s="194"/>
      <c r="D882" s="194"/>
      <c r="E882" s="194"/>
      <c r="F882" s="194"/>
    </row>
    <row r="883" spans="1:6" x14ac:dyDescent="0.3">
      <c r="A883" s="177"/>
      <c r="B883" s="172"/>
      <c r="C883" s="196"/>
      <c r="D883" s="196"/>
      <c r="E883" s="196"/>
      <c r="F883" s="196"/>
    </row>
    <row r="884" spans="1:6" x14ac:dyDescent="0.3">
      <c r="A884" s="172"/>
      <c r="B884" s="174"/>
      <c r="C884" s="196"/>
      <c r="D884" s="196"/>
      <c r="E884" s="196"/>
      <c r="F884" s="196"/>
    </row>
    <row r="885" spans="1:6" x14ac:dyDescent="0.3">
      <c r="A885" s="172"/>
      <c r="B885" s="194"/>
      <c r="C885" s="194"/>
      <c r="D885" s="194"/>
      <c r="E885" s="194"/>
      <c r="F885" s="194"/>
    </row>
    <row r="886" spans="1:6" x14ac:dyDescent="0.3">
      <c r="A886" s="196"/>
      <c r="B886" s="196"/>
      <c r="C886" s="174"/>
      <c r="D886" s="173"/>
      <c r="E886" s="194"/>
      <c r="F886" s="194"/>
    </row>
    <row r="887" spans="1:6" x14ac:dyDescent="0.3">
      <c r="A887" s="196"/>
      <c r="B887" s="196"/>
      <c r="E887" s="194"/>
      <c r="F887" s="194"/>
    </row>
    <row r="888" spans="1:6" x14ac:dyDescent="0.3">
      <c r="A888" s="194"/>
      <c r="B888" s="194"/>
      <c r="F888" s="194"/>
    </row>
    <row r="889" spans="1:6" x14ac:dyDescent="0.3">
      <c r="C889" s="177"/>
      <c r="D889" s="197"/>
      <c r="E889" s="177"/>
      <c r="F889" s="194"/>
    </row>
    <row r="890" spans="1:6" x14ac:dyDescent="0.3">
      <c r="A890" s="194"/>
      <c r="C890" s="172"/>
      <c r="D890" s="172"/>
      <c r="E890" s="172"/>
      <c r="F890" s="194"/>
    </row>
    <row r="891" spans="1:6" x14ac:dyDescent="0.3">
      <c r="C891" s="172"/>
      <c r="D891" s="172"/>
      <c r="E891" s="172"/>
      <c r="F891" s="194"/>
    </row>
    <row r="892" spans="1:6" x14ac:dyDescent="0.3">
      <c r="A892" s="177"/>
      <c r="B892" s="177"/>
      <c r="C892" s="172"/>
      <c r="D892" s="172"/>
      <c r="E892" s="172"/>
      <c r="F892" s="194"/>
    </row>
    <row r="893" spans="1:6" x14ac:dyDescent="0.3">
      <c r="A893" s="172"/>
      <c r="B893" s="172"/>
      <c r="C893" s="172"/>
      <c r="D893" s="172"/>
      <c r="E893" s="172"/>
      <c r="F893" s="194"/>
    </row>
    <row r="894" spans="1:6" x14ac:dyDescent="0.3">
      <c r="A894" s="172"/>
      <c r="B894" s="172"/>
      <c r="C894" s="172"/>
      <c r="D894" s="172"/>
      <c r="E894" s="172"/>
      <c r="F894" s="194"/>
    </row>
    <row r="895" spans="1:6" x14ac:dyDescent="0.3">
      <c r="A895" s="172"/>
      <c r="B895" s="172"/>
      <c r="C895" s="172"/>
      <c r="D895" s="172"/>
      <c r="E895" s="172"/>
      <c r="F895" s="194"/>
    </row>
    <row r="896" spans="1:6" x14ac:dyDescent="0.3">
      <c r="A896" s="172"/>
      <c r="B896" s="172"/>
      <c r="C896" s="172"/>
      <c r="D896" s="172"/>
      <c r="E896" s="172"/>
      <c r="F896" s="194"/>
    </row>
    <row r="897" spans="1:6" x14ac:dyDescent="0.3">
      <c r="A897" s="172"/>
      <c r="B897" s="172"/>
      <c r="C897" s="172"/>
      <c r="D897" s="172"/>
      <c r="E897" s="172"/>
      <c r="F897" s="194"/>
    </row>
    <row r="898" spans="1:6" x14ac:dyDescent="0.3">
      <c r="A898" s="172"/>
      <c r="B898" s="172"/>
      <c r="C898" s="172"/>
      <c r="D898" s="172"/>
      <c r="E898" s="172"/>
      <c r="F898" s="194"/>
    </row>
    <row r="899" spans="1:6" x14ac:dyDescent="0.3">
      <c r="A899" s="172"/>
      <c r="B899" s="172"/>
      <c r="C899" s="172"/>
      <c r="D899" s="172"/>
      <c r="E899" s="172"/>
      <c r="F899" s="194"/>
    </row>
    <row r="900" spans="1:6" x14ac:dyDescent="0.3">
      <c r="A900" s="172"/>
      <c r="B900" s="172"/>
      <c r="C900" s="172"/>
      <c r="D900" s="172"/>
      <c r="E900" s="172"/>
      <c r="F900" s="194"/>
    </row>
    <row r="901" spans="1:6" x14ac:dyDescent="0.3">
      <c r="A901" s="172"/>
      <c r="B901" s="172"/>
      <c r="C901" s="172"/>
      <c r="D901" s="172"/>
      <c r="E901" s="172"/>
      <c r="F901" s="194"/>
    </row>
    <row r="902" spans="1:6" x14ac:dyDescent="0.3">
      <c r="A902" s="172"/>
      <c r="B902" s="172"/>
      <c r="C902" s="172"/>
      <c r="D902" s="172"/>
      <c r="E902" s="172"/>
      <c r="F902" s="194"/>
    </row>
    <row r="903" spans="1:6" x14ac:dyDescent="0.3">
      <c r="A903" s="172"/>
      <c r="B903" s="172"/>
      <c r="C903" s="172"/>
      <c r="D903" s="172"/>
      <c r="E903" s="172"/>
      <c r="F903" s="194"/>
    </row>
    <row r="904" spans="1:6" x14ac:dyDescent="0.3">
      <c r="A904" s="172"/>
      <c r="B904" s="172"/>
      <c r="C904" s="172"/>
      <c r="D904" s="172"/>
      <c r="E904" s="172"/>
      <c r="F904" s="194"/>
    </row>
    <row r="905" spans="1:6" x14ac:dyDescent="0.3">
      <c r="A905" s="172"/>
      <c r="B905" s="172"/>
      <c r="C905" s="194"/>
      <c r="D905" s="194"/>
      <c r="E905" s="198"/>
      <c r="F905" s="199"/>
    </row>
    <row r="906" spans="1:6" x14ac:dyDescent="0.3">
      <c r="A906" s="172"/>
      <c r="B906" s="172"/>
      <c r="C906" s="194"/>
      <c r="D906" s="194"/>
      <c r="E906" s="194"/>
      <c r="F906" s="194"/>
    </row>
    <row r="907" spans="1:6" x14ac:dyDescent="0.3">
      <c r="A907" s="172"/>
      <c r="B907" s="172"/>
      <c r="C907" s="172"/>
      <c r="D907" s="176"/>
      <c r="E907" s="174"/>
      <c r="F907" s="173"/>
    </row>
    <row r="908" spans="1:6" x14ac:dyDescent="0.3">
      <c r="A908" s="194"/>
      <c r="B908" s="194"/>
      <c r="C908" s="174"/>
      <c r="D908" s="173"/>
      <c r="E908" s="194"/>
      <c r="F908" s="194"/>
    </row>
    <row r="909" spans="1:6" x14ac:dyDescent="0.3">
      <c r="A909" s="194"/>
      <c r="B909" s="194"/>
      <c r="C909" s="174"/>
      <c r="D909" s="173"/>
      <c r="E909" s="194"/>
      <c r="F909" s="194"/>
    </row>
    <row r="910" spans="1:6" x14ac:dyDescent="0.3">
      <c r="A910" s="172"/>
      <c r="B910" s="177"/>
      <c r="C910" s="193"/>
      <c r="D910" s="193"/>
      <c r="E910" s="193"/>
      <c r="F910" s="193"/>
    </row>
    <row r="911" spans="1:6" x14ac:dyDescent="0.3">
      <c r="A911" s="177"/>
      <c r="B911" s="177"/>
      <c r="C911" s="193"/>
      <c r="D911" s="193"/>
      <c r="E911" s="193"/>
      <c r="F911" s="193"/>
    </row>
    <row r="912" spans="1:6" x14ac:dyDescent="0.3">
      <c r="A912" s="177"/>
      <c r="B912" s="177"/>
      <c r="C912" s="177"/>
      <c r="D912" s="193"/>
      <c r="E912" s="193"/>
      <c r="F912" s="193"/>
    </row>
    <row r="913" spans="1:6" x14ac:dyDescent="0.3">
      <c r="A913" s="193"/>
      <c r="B913" s="193"/>
      <c r="C913" s="172"/>
      <c r="D913" s="193"/>
      <c r="E913" s="193"/>
      <c r="F913" s="193"/>
    </row>
    <row r="914" spans="1:6" x14ac:dyDescent="0.3">
      <c r="A914" s="193"/>
      <c r="B914" s="193"/>
      <c r="C914" s="172"/>
      <c r="D914" s="193"/>
      <c r="E914" s="193"/>
      <c r="F914" s="193"/>
    </row>
    <row r="915" spans="1:6" x14ac:dyDescent="0.3">
      <c r="A915" s="177"/>
      <c r="B915" s="177"/>
      <c r="C915" s="172"/>
      <c r="D915" s="193"/>
      <c r="E915" s="193"/>
      <c r="F915" s="193"/>
    </row>
    <row r="916" spans="1:6" x14ac:dyDescent="0.3">
      <c r="A916" s="172"/>
      <c r="B916" s="172"/>
      <c r="C916" s="172"/>
      <c r="D916" s="193"/>
      <c r="E916" s="193"/>
      <c r="F916" s="193"/>
    </row>
    <row r="917" spans="1:6" x14ac:dyDescent="0.3">
      <c r="A917" s="172"/>
      <c r="B917" s="172"/>
      <c r="C917" s="172"/>
      <c r="D917" s="193"/>
      <c r="E917" s="193"/>
      <c r="F917" s="193"/>
    </row>
    <row r="918" spans="1:6" x14ac:dyDescent="0.3">
      <c r="A918" s="172"/>
      <c r="B918" s="172"/>
      <c r="C918" s="172"/>
      <c r="D918" s="193"/>
      <c r="E918" s="193"/>
      <c r="F918" s="193"/>
    </row>
    <row r="919" spans="1:6" x14ac:dyDescent="0.3">
      <c r="A919" s="172"/>
      <c r="B919" s="172"/>
      <c r="C919" s="174"/>
      <c r="D919" s="173"/>
      <c r="E919" s="193"/>
      <c r="F919" s="193"/>
    </row>
    <row r="920" spans="1:6" x14ac:dyDescent="0.3">
      <c r="A920" s="172"/>
      <c r="B920" s="172"/>
      <c r="C920" s="172"/>
      <c r="D920" s="194"/>
      <c r="E920" s="194"/>
      <c r="F920" s="194"/>
    </row>
    <row r="921" spans="1:6" x14ac:dyDescent="0.3">
      <c r="A921" s="172"/>
      <c r="B921" s="172"/>
      <c r="C921" s="193"/>
      <c r="D921" s="193"/>
      <c r="E921" s="193"/>
      <c r="F921" s="194"/>
    </row>
    <row r="922" spans="1:6" x14ac:dyDescent="0.3">
      <c r="A922" s="193"/>
      <c r="B922" s="172"/>
      <c r="C922" s="196"/>
      <c r="D922" s="196"/>
      <c r="E922" s="196"/>
      <c r="F922" s="196"/>
    </row>
    <row r="923" spans="1:6" x14ac:dyDescent="0.3">
      <c r="A923" s="194"/>
      <c r="B923" s="172"/>
      <c r="C923" s="196"/>
      <c r="D923" s="196"/>
      <c r="E923" s="196"/>
      <c r="F923" s="196"/>
    </row>
    <row r="924" spans="1:6" x14ac:dyDescent="0.3">
      <c r="A924" s="193"/>
      <c r="B924" s="193"/>
      <c r="C924" s="194"/>
      <c r="D924" s="194"/>
      <c r="E924" s="194"/>
      <c r="F924" s="194"/>
    </row>
    <row r="925" spans="1:6" x14ac:dyDescent="0.3">
      <c r="A925" s="196"/>
      <c r="B925" s="196"/>
      <c r="C925" s="177"/>
      <c r="D925" s="177"/>
      <c r="E925" s="177"/>
      <c r="F925" s="194"/>
    </row>
    <row r="926" spans="1:6" x14ac:dyDescent="0.3">
      <c r="A926" s="196"/>
      <c r="B926" s="196"/>
      <c r="C926" s="172"/>
      <c r="D926" s="172"/>
      <c r="E926" s="172"/>
      <c r="F926" s="194"/>
    </row>
    <row r="927" spans="1:6" x14ac:dyDescent="0.3">
      <c r="A927" s="177"/>
      <c r="B927" s="177"/>
      <c r="C927" s="172"/>
      <c r="D927" s="172"/>
      <c r="E927" s="172"/>
      <c r="F927" s="194"/>
    </row>
    <row r="928" spans="1:6" x14ac:dyDescent="0.3">
      <c r="A928" s="177"/>
      <c r="B928" s="197"/>
      <c r="C928" s="172"/>
      <c r="D928" s="172"/>
      <c r="E928" s="172"/>
      <c r="F928" s="194"/>
    </row>
    <row r="929" spans="1:6" x14ac:dyDescent="0.3">
      <c r="A929" s="172"/>
      <c r="B929" s="172"/>
      <c r="C929" s="172"/>
      <c r="D929" s="172"/>
      <c r="E929" s="172"/>
      <c r="F929" s="194"/>
    </row>
    <row r="930" spans="1:6" x14ac:dyDescent="0.3">
      <c r="A930" s="172"/>
      <c r="B930" s="172"/>
      <c r="C930" s="172"/>
      <c r="D930" s="172"/>
      <c r="E930" s="172"/>
      <c r="F930" s="194"/>
    </row>
    <row r="931" spans="1:6" x14ac:dyDescent="0.3">
      <c r="A931" s="172"/>
      <c r="B931" s="172"/>
      <c r="C931" s="172"/>
      <c r="D931" s="172"/>
      <c r="E931" s="172"/>
      <c r="F931" s="194"/>
    </row>
    <row r="932" spans="1:6" x14ac:dyDescent="0.3">
      <c r="A932" s="172"/>
      <c r="B932" s="172"/>
      <c r="C932" s="172"/>
      <c r="D932" s="172"/>
      <c r="E932" s="172"/>
      <c r="F932" s="194"/>
    </row>
    <row r="933" spans="1:6" x14ac:dyDescent="0.3">
      <c r="A933" s="172"/>
      <c r="B933" s="172"/>
      <c r="C933" s="172"/>
      <c r="D933" s="172"/>
      <c r="E933" s="172"/>
      <c r="F933" s="194"/>
    </row>
    <row r="934" spans="1:6" x14ac:dyDescent="0.3">
      <c r="A934" s="172"/>
      <c r="B934" s="172"/>
      <c r="C934" s="172"/>
      <c r="D934" s="172"/>
      <c r="E934" s="172"/>
      <c r="F934" s="194"/>
    </row>
    <row r="935" spans="1:6" x14ac:dyDescent="0.3">
      <c r="A935" s="172"/>
      <c r="B935" s="172"/>
      <c r="C935" s="172"/>
      <c r="D935" s="172"/>
      <c r="E935" s="172"/>
      <c r="F935" s="194"/>
    </row>
    <row r="936" spans="1:6" x14ac:dyDescent="0.3">
      <c r="A936" s="172"/>
      <c r="B936" s="172"/>
      <c r="C936" s="172"/>
      <c r="D936" s="172"/>
      <c r="E936" s="172"/>
      <c r="F936" s="194"/>
    </row>
    <row r="937" spans="1:6" x14ac:dyDescent="0.3">
      <c r="A937" s="172"/>
      <c r="B937" s="172"/>
      <c r="C937" s="172"/>
      <c r="D937" s="172"/>
      <c r="E937" s="172"/>
      <c r="F937" s="194"/>
    </row>
    <row r="938" spans="1:6" x14ac:dyDescent="0.3">
      <c r="A938" s="172"/>
      <c r="B938" s="172"/>
      <c r="C938" s="172"/>
      <c r="D938" s="172"/>
      <c r="E938" s="172"/>
      <c r="F938" s="194"/>
    </row>
    <row r="939" spans="1:6" x14ac:dyDescent="0.3">
      <c r="A939" s="172"/>
      <c r="B939" s="172"/>
      <c r="C939" s="172"/>
      <c r="D939" s="172"/>
      <c r="E939" s="172"/>
      <c r="F939" s="194"/>
    </row>
    <row r="940" spans="1:6" x14ac:dyDescent="0.3">
      <c r="A940" s="172"/>
      <c r="B940" s="172"/>
      <c r="C940" s="172"/>
      <c r="D940" s="172"/>
      <c r="E940" s="172"/>
      <c r="F940" s="194"/>
    </row>
    <row r="941" spans="1:6" x14ac:dyDescent="0.3">
      <c r="A941" s="172"/>
      <c r="B941" s="172"/>
      <c r="C941" s="172"/>
      <c r="D941" s="172"/>
      <c r="E941" s="172"/>
      <c r="F941" s="194"/>
    </row>
    <row r="942" spans="1:6" x14ac:dyDescent="0.3">
      <c r="A942" s="172"/>
      <c r="B942" s="172"/>
      <c r="C942" s="172"/>
      <c r="D942" s="172"/>
      <c r="E942" s="172"/>
      <c r="F942" s="194"/>
    </row>
    <row r="943" spans="1:6" x14ac:dyDescent="0.3">
      <c r="A943" s="172"/>
      <c r="B943" s="172"/>
      <c r="C943" s="172"/>
      <c r="D943" s="172"/>
      <c r="E943" s="172"/>
      <c r="F943" s="194"/>
    </row>
    <row r="944" spans="1:6" x14ac:dyDescent="0.3">
      <c r="A944" s="172"/>
      <c r="B944" s="172"/>
      <c r="C944" s="194"/>
      <c r="D944" s="194"/>
      <c r="E944" s="174"/>
      <c r="F944" s="173"/>
    </row>
    <row r="945" spans="1:6" x14ac:dyDescent="0.3">
      <c r="A945" s="172"/>
      <c r="B945" s="172"/>
      <c r="C945" s="194"/>
      <c r="D945" s="194"/>
      <c r="E945" s="194"/>
      <c r="F945" s="194"/>
    </row>
    <row r="946" spans="1:6" x14ac:dyDescent="0.3">
      <c r="A946" s="172"/>
      <c r="B946" s="172"/>
      <c r="C946" s="196"/>
      <c r="D946" s="196"/>
      <c r="E946" s="196"/>
      <c r="F946" s="196"/>
    </row>
    <row r="947" spans="1:6" x14ac:dyDescent="0.3">
      <c r="A947" s="177"/>
      <c r="B947" s="177"/>
      <c r="C947" s="196"/>
      <c r="D947" s="196"/>
      <c r="E947" s="196"/>
      <c r="F947" s="196"/>
    </row>
    <row r="948" spans="1:6" x14ac:dyDescent="0.3">
      <c r="A948" s="177"/>
      <c r="B948" s="177"/>
      <c r="C948" s="194"/>
      <c r="D948" s="194"/>
      <c r="E948" s="194"/>
      <c r="F948" s="194"/>
    </row>
    <row r="949" spans="1:6" x14ac:dyDescent="0.3">
      <c r="A949" s="196"/>
      <c r="B949" s="196"/>
      <c r="C949" s="172"/>
      <c r="D949" s="172"/>
      <c r="E949" s="172"/>
      <c r="F949" s="194"/>
    </row>
    <row r="950" spans="1:6" x14ac:dyDescent="0.3">
      <c r="A950" s="196"/>
      <c r="B950" s="196"/>
      <c r="C950" s="172"/>
      <c r="D950" s="172"/>
      <c r="E950" s="172"/>
      <c r="F950" s="194"/>
    </row>
    <row r="951" spans="1:6" x14ac:dyDescent="0.3">
      <c r="A951" s="194"/>
      <c r="B951" s="194"/>
      <c r="C951" s="172"/>
      <c r="D951" s="172"/>
      <c r="E951" s="172"/>
      <c r="F951" s="194"/>
    </row>
    <row r="952" spans="1:6" x14ac:dyDescent="0.3">
      <c r="A952" s="172"/>
      <c r="B952" s="172"/>
      <c r="C952" s="172"/>
      <c r="D952" s="172"/>
      <c r="E952" s="172"/>
      <c r="F952" s="194"/>
    </row>
    <row r="953" spans="1:6" x14ac:dyDescent="0.3">
      <c r="A953" s="172"/>
      <c r="B953" s="172"/>
      <c r="C953" s="172"/>
      <c r="D953" s="172"/>
      <c r="E953" s="172"/>
      <c r="F953" s="194"/>
    </row>
    <row r="954" spans="1:6" x14ac:dyDescent="0.3">
      <c r="A954" s="172"/>
      <c r="B954" s="172"/>
      <c r="C954" s="194"/>
      <c r="D954" s="194"/>
      <c r="E954" s="174"/>
      <c r="F954" s="173"/>
    </row>
    <row r="955" spans="1:6" x14ac:dyDescent="0.3">
      <c r="A955" s="172"/>
      <c r="B955" s="172"/>
      <c r="C955" s="194"/>
      <c r="D955" s="194"/>
      <c r="E955" s="194"/>
      <c r="F955" s="194"/>
    </row>
    <row r="956" spans="1:6" x14ac:dyDescent="0.3">
      <c r="A956" s="172"/>
      <c r="B956" s="172"/>
      <c r="C956" s="193"/>
      <c r="D956" s="193"/>
      <c r="E956" s="193"/>
      <c r="F956" s="193"/>
    </row>
    <row r="957" spans="1:6" x14ac:dyDescent="0.3">
      <c r="A957" s="177"/>
      <c r="B957" s="177"/>
      <c r="C957" s="193"/>
      <c r="D957" s="193"/>
      <c r="E957" s="193"/>
      <c r="F957" s="193"/>
    </row>
    <row r="958" spans="1:6" x14ac:dyDescent="0.3">
      <c r="A958" s="177"/>
      <c r="B958" s="177"/>
      <c r="C958" s="177"/>
      <c r="D958" s="177"/>
      <c r="E958" s="193"/>
      <c r="F958" s="193"/>
    </row>
    <row r="959" spans="1:6" x14ac:dyDescent="0.3">
      <c r="A959" s="193"/>
      <c r="B959" s="193"/>
      <c r="C959" s="172"/>
      <c r="D959" s="172"/>
      <c r="E959" s="193"/>
      <c r="F959" s="193"/>
    </row>
    <row r="960" spans="1:6" x14ac:dyDescent="0.3">
      <c r="A960" s="193"/>
      <c r="B960" s="193"/>
      <c r="C960" s="172"/>
      <c r="D960" s="172"/>
      <c r="E960" s="193"/>
      <c r="F960" s="193"/>
    </row>
    <row r="961" spans="1:6" x14ac:dyDescent="0.3">
      <c r="A961" s="177"/>
      <c r="B961" s="177"/>
      <c r="C961" s="172"/>
      <c r="D961" s="172"/>
      <c r="E961" s="193"/>
      <c r="F961" s="193"/>
    </row>
    <row r="962" spans="1:6" x14ac:dyDescent="0.3">
      <c r="A962" s="195"/>
      <c r="B962" s="172"/>
      <c r="C962" s="172"/>
      <c r="D962" s="172"/>
      <c r="E962" s="193"/>
      <c r="F962" s="193"/>
    </row>
    <row r="963" spans="1:6" x14ac:dyDescent="0.3">
      <c r="A963" s="195"/>
      <c r="B963" s="172"/>
      <c r="C963" s="172"/>
      <c r="D963" s="172"/>
      <c r="E963" s="193"/>
      <c r="F963" s="193"/>
    </row>
    <row r="964" spans="1:6" x14ac:dyDescent="0.3">
      <c r="A964" s="177"/>
      <c r="B964" s="172"/>
      <c r="C964" s="172"/>
      <c r="D964" s="172"/>
      <c r="E964" s="193"/>
      <c r="F964" s="193"/>
    </row>
    <row r="965" spans="1:6" x14ac:dyDescent="0.3">
      <c r="A965" s="177"/>
      <c r="B965" s="172"/>
      <c r="C965" s="172"/>
      <c r="D965" s="172"/>
      <c r="E965" s="193"/>
      <c r="F965" s="193"/>
    </row>
    <row r="966" spans="1:6" x14ac:dyDescent="0.3">
      <c r="A966" s="177"/>
      <c r="B966" s="172"/>
      <c r="C966" s="172"/>
      <c r="D966" s="172"/>
      <c r="E966" s="193"/>
      <c r="F966" s="193"/>
    </row>
    <row r="967" spans="1:6" x14ac:dyDescent="0.3">
      <c r="A967" s="177"/>
      <c r="B967" s="172"/>
      <c r="C967" s="172"/>
      <c r="D967" s="172"/>
      <c r="E967" s="193"/>
      <c r="F967" s="193"/>
    </row>
    <row r="968" spans="1:6" x14ac:dyDescent="0.3">
      <c r="A968" s="177"/>
      <c r="B968" s="172"/>
      <c r="C968" s="172"/>
      <c r="D968" s="172"/>
      <c r="E968" s="193"/>
      <c r="F968" s="193"/>
    </row>
    <row r="969" spans="1:6" x14ac:dyDescent="0.3">
      <c r="A969" s="195"/>
      <c r="B969" s="172"/>
      <c r="C969" s="172"/>
      <c r="D969" s="172"/>
      <c r="E969" s="193"/>
      <c r="F969" s="193"/>
    </row>
    <row r="970" spans="1:6" x14ac:dyDescent="0.3">
      <c r="A970" s="195"/>
      <c r="B970" s="172"/>
      <c r="C970" s="193"/>
      <c r="D970" s="174"/>
      <c r="E970" s="173"/>
      <c r="F970" s="193"/>
    </row>
    <row r="971" spans="1:6" x14ac:dyDescent="0.3">
      <c r="A971" s="177"/>
      <c r="B971" s="172"/>
      <c r="C971" s="193"/>
      <c r="D971" s="193"/>
      <c r="E971" s="193"/>
      <c r="F971" s="193"/>
    </row>
    <row r="972" spans="1:6" x14ac:dyDescent="0.3">
      <c r="A972" s="177"/>
      <c r="B972" s="172"/>
      <c r="C972" s="193"/>
      <c r="D972" s="193"/>
      <c r="E972" s="193"/>
      <c r="F972" s="194"/>
    </row>
    <row r="973" spans="1:6" x14ac:dyDescent="0.3">
      <c r="A973" s="193"/>
      <c r="B973" s="172"/>
      <c r="C973" s="193"/>
      <c r="D973" s="193"/>
      <c r="E973" s="193"/>
      <c r="F973" s="193"/>
    </row>
    <row r="974" spans="1:6" x14ac:dyDescent="0.3">
      <c r="A974" s="193"/>
      <c r="B974" s="193"/>
      <c r="C974" s="193"/>
      <c r="D974" s="193"/>
      <c r="E974" s="193"/>
      <c r="F974" s="193"/>
    </row>
    <row r="975" spans="1:6" x14ac:dyDescent="0.3">
      <c r="A975" s="193"/>
      <c r="B975" s="193"/>
      <c r="C975" s="193"/>
      <c r="D975" s="193"/>
      <c r="E975" s="193"/>
      <c r="F975" s="193"/>
    </row>
    <row r="976" spans="1:6" x14ac:dyDescent="0.3">
      <c r="A976" s="193"/>
      <c r="B976" s="193"/>
      <c r="C976" s="193"/>
      <c r="D976" s="193"/>
      <c r="E976" s="193"/>
      <c r="F976" s="193"/>
    </row>
    <row r="977" spans="1:6" x14ac:dyDescent="0.3">
      <c r="A977" s="193"/>
      <c r="B977" s="193"/>
      <c r="C977" s="193"/>
      <c r="D977" s="193"/>
      <c r="E977" s="193"/>
      <c r="F977" s="193"/>
    </row>
    <row r="978" spans="1:6" x14ac:dyDescent="0.3">
      <c r="A978" s="177"/>
      <c r="B978" s="177"/>
      <c r="C978" s="193"/>
      <c r="D978" s="193"/>
      <c r="E978" s="193"/>
      <c r="F978" s="193"/>
    </row>
    <row r="979" spans="1:6" x14ac:dyDescent="0.3">
      <c r="A979" s="195"/>
      <c r="B979" s="172"/>
      <c r="C979" s="193"/>
      <c r="D979" s="193"/>
      <c r="E979" s="193"/>
      <c r="F979" s="193"/>
    </row>
    <row r="980" spans="1:6" x14ac:dyDescent="0.3">
      <c r="A980" s="195"/>
      <c r="B980" s="172"/>
      <c r="C980" s="173"/>
      <c r="D980" s="193"/>
      <c r="E980" s="193"/>
      <c r="F980" s="193"/>
    </row>
    <row r="981" spans="1:6" x14ac:dyDescent="0.3">
      <c r="A981" s="195"/>
      <c r="B981" s="172"/>
      <c r="C981" s="193"/>
      <c r="D981" s="193"/>
      <c r="E981" s="193"/>
      <c r="F981" s="193"/>
    </row>
    <row r="982" spans="1:6" x14ac:dyDescent="0.3">
      <c r="A982" s="195"/>
      <c r="B982" s="172"/>
      <c r="C982" s="193"/>
      <c r="D982" s="193"/>
      <c r="E982" s="193"/>
      <c r="F982" s="193"/>
    </row>
    <row r="983" spans="1:6" x14ac:dyDescent="0.3">
      <c r="A983" s="193"/>
      <c r="B983" s="174"/>
      <c r="C983" s="193"/>
      <c r="D983" s="193"/>
      <c r="E983" s="193"/>
      <c r="F983" s="193"/>
    </row>
    <row r="984" spans="1:6" x14ac:dyDescent="0.3">
      <c r="A984" s="193"/>
      <c r="B984" s="193"/>
      <c r="C984" s="193"/>
      <c r="D984" s="193"/>
      <c r="E984" s="193"/>
      <c r="F984" s="193"/>
    </row>
    <row r="985" spans="1:6" x14ac:dyDescent="0.3">
      <c r="A985" s="193"/>
      <c r="B985" s="193"/>
      <c r="C985" s="193"/>
      <c r="D985" s="193"/>
      <c r="E985" s="193"/>
      <c r="F985" s="193"/>
    </row>
    <row r="986" spans="1:6" x14ac:dyDescent="0.3">
      <c r="A986" s="193"/>
      <c r="B986" s="193"/>
      <c r="C986" s="193"/>
      <c r="D986" s="193"/>
      <c r="E986" s="193"/>
      <c r="F986" s="193"/>
    </row>
    <row r="987" spans="1:6" x14ac:dyDescent="0.3">
      <c r="A987" s="177"/>
      <c r="B987" s="177"/>
      <c r="C987" s="193"/>
      <c r="D987" s="193"/>
      <c r="E987" s="193"/>
      <c r="F987" s="193"/>
    </row>
    <row r="988" spans="1:6" x14ac:dyDescent="0.3">
      <c r="A988" s="195"/>
      <c r="B988" s="172"/>
      <c r="C988" s="193"/>
      <c r="D988" s="193"/>
      <c r="E988" s="193"/>
      <c r="F988" s="193"/>
    </row>
    <row r="989" spans="1:6" x14ac:dyDescent="0.3">
      <c r="A989" s="195"/>
      <c r="B989" s="172"/>
      <c r="C989" s="173"/>
      <c r="D989" s="193"/>
      <c r="E989" s="193"/>
      <c r="F989" s="193"/>
    </row>
    <row r="990" spans="1:6" x14ac:dyDescent="0.3">
      <c r="A990" s="195"/>
      <c r="B990" s="172"/>
      <c r="C990" s="193"/>
      <c r="D990" s="193"/>
      <c r="E990" s="193"/>
      <c r="F990" s="193"/>
    </row>
    <row r="991" spans="1:6" x14ac:dyDescent="0.3">
      <c r="A991" s="195"/>
      <c r="B991" s="172"/>
      <c r="C991" s="193"/>
      <c r="D991" s="193"/>
      <c r="E991" s="193"/>
      <c r="F991" s="193"/>
    </row>
    <row r="992" spans="1:6" x14ac:dyDescent="0.3">
      <c r="A992" s="193"/>
      <c r="B992" s="174"/>
      <c r="C992" s="193"/>
      <c r="D992" s="193"/>
      <c r="E992" s="193"/>
      <c r="F992" s="193"/>
    </row>
    <row r="993" spans="1:6" x14ac:dyDescent="0.3">
      <c r="A993" s="193"/>
      <c r="B993" s="193"/>
      <c r="C993" s="193"/>
      <c r="D993" s="193"/>
      <c r="E993" s="193"/>
      <c r="F993" s="193"/>
    </row>
    <row r="994" spans="1:6" x14ac:dyDescent="0.3">
      <c r="A994" s="193"/>
      <c r="B994" s="193"/>
      <c r="C994" s="173"/>
      <c r="D994" s="193"/>
      <c r="E994" s="193"/>
      <c r="F994" s="193"/>
    </row>
    <row r="995" spans="1:6" x14ac:dyDescent="0.3">
      <c r="A995" s="193"/>
      <c r="B995" s="193"/>
      <c r="C995" s="193"/>
      <c r="D995" s="193"/>
      <c r="E995" s="193"/>
      <c r="F995" s="193"/>
    </row>
    <row r="996" spans="1:6" x14ac:dyDescent="0.3">
      <c r="A996" s="177"/>
      <c r="B996" s="177"/>
      <c r="C996" s="193"/>
      <c r="D996" s="193"/>
      <c r="E996" s="193"/>
      <c r="F996" s="193"/>
    </row>
    <row r="997" spans="1:6" x14ac:dyDescent="0.3">
      <c r="A997" s="195"/>
      <c r="B997" s="174"/>
      <c r="C997" s="193"/>
      <c r="D997" s="193"/>
      <c r="E997" s="193"/>
      <c r="F997" s="193"/>
    </row>
    <row r="998" spans="1:6" x14ac:dyDescent="0.3">
      <c r="A998" s="193"/>
      <c r="B998" s="193"/>
      <c r="C998" s="172"/>
      <c r="D998" s="172"/>
      <c r="E998" s="193"/>
      <c r="F998" s="193"/>
    </row>
    <row r="999" spans="1:6" x14ac:dyDescent="0.3">
      <c r="A999" s="193"/>
      <c r="B999" s="193"/>
      <c r="C999" s="172"/>
      <c r="D999" s="172"/>
      <c r="E999" s="193"/>
      <c r="F999" s="193"/>
    </row>
    <row r="1000" spans="1:6" x14ac:dyDescent="0.3">
      <c r="A1000" s="193"/>
      <c r="B1000" s="193"/>
      <c r="C1000" s="172"/>
      <c r="D1000" s="172"/>
      <c r="E1000" s="193"/>
      <c r="F1000" s="193"/>
    </row>
    <row r="1001" spans="1:6" x14ac:dyDescent="0.3">
      <c r="A1001" s="177"/>
      <c r="B1001" s="172"/>
      <c r="C1001" s="172"/>
      <c r="D1001" s="172"/>
      <c r="E1001" s="193"/>
      <c r="F1001" s="193"/>
    </row>
    <row r="1002" spans="1:6" x14ac:dyDescent="0.3">
      <c r="A1002" s="195"/>
      <c r="B1002" s="172"/>
      <c r="C1002" s="172"/>
      <c r="D1002" s="172"/>
      <c r="E1002" s="193"/>
      <c r="F1002" s="193"/>
    </row>
    <row r="1003" spans="1:6" x14ac:dyDescent="0.3">
      <c r="A1003" s="195"/>
      <c r="B1003" s="172"/>
      <c r="C1003" s="172"/>
      <c r="D1003" s="172"/>
      <c r="E1003" s="193"/>
      <c r="F1003" s="193"/>
    </row>
    <row r="1004" spans="1:6" x14ac:dyDescent="0.3">
      <c r="A1004" s="195"/>
      <c r="B1004" s="172"/>
      <c r="C1004" s="193"/>
      <c r="D1004" s="174"/>
      <c r="E1004" s="173"/>
      <c r="F1004" s="193"/>
    </row>
    <row r="1005" spans="1:6" x14ac:dyDescent="0.3">
      <c r="A1005" s="195"/>
      <c r="B1005" s="172"/>
      <c r="C1005" s="193"/>
      <c r="D1005" s="193"/>
      <c r="E1005" s="193"/>
      <c r="F1005" s="193"/>
    </row>
    <row r="1006" spans="1:6" x14ac:dyDescent="0.3">
      <c r="A1006" s="195"/>
      <c r="B1006" s="172"/>
      <c r="C1006" s="196"/>
      <c r="D1006" s="196"/>
      <c r="E1006" s="196"/>
      <c r="F1006" s="196"/>
    </row>
    <row r="1007" spans="1:6" x14ac:dyDescent="0.3">
      <c r="A1007" s="193"/>
      <c r="B1007" s="193"/>
      <c r="C1007" s="196"/>
      <c r="D1007" s="196"/>
      <c r="E1007" s="196"/>
      <c r="F1007" s="196"/>
    </row>
    <row r="1008" spans="1:6" x14ac:dyDescent="0.3">
      <c r="A1008" s="193"/>
      <c r="B1008" s="193"/>
      <c r="C1008" s="194"/>
      <c r="D1008" s="194"/>
      <c r="E1008" s="194"/>
      <c r="F1008" s="194"/>
    </row>
    <row r="1009" spans="1:6" x14ac:dyDescent="0.3">
      <c r="A1009" s="196"/>
      <c r="B1009" s="196"/>
      <c r="C1009" s="194"/>
      <c r="D1009" s="194"/>
      <c r="E1009" s="194"/>
      <c r="F1009" s="194"/>
    </row>
    <row r="1010" spans="1:6" x14ac:dyDescent="0.3">
      <c r="A1010" s="196"/>
      <c r="B1010" s="196"/>
      <c r="C1010" s="194"/>
      <c r="D1010" s="194"/>
      <c r="E1010" s="194"/>
      <c r="F1010" s="194"/>
    </row>
    <row r="1011" spans="1:6" x14ac:dyDescent="0.3">
      <c r="A1011" s="194"/>
      <c r="B1011" s="194"/>
      <c r="C1011" s="194"/>
      <c r="D1011" s="194"/>
      <c r="E1011" s="194"/>
      <c r="F1011" s="194"/>
    </row>
    <row r="1012" spans="1:6" x14ac:dyDescent="0.3">
      <c r="A1012" s="177"/>
      <c r="B1012" s="177"/>
      <c r="C1012" s="194"/>
      <c r="D1012" s="194"/>
      <c r="E1012" s="194"/>
      <c r="F1012" s="194"/>
    </row>
    <row r="1013" spans="1:6" x14ac:dyDescent="0.3">
      <c r="A1013" s="195"/>
      <c r="B1013" s="172"/>
      <c r="C1013" s="194"/>
      <c r="D1013" s="194"/>
      <c r="E1013" s="194"/>
      <c r="F1013" s="194"/>
    </row>
    <row r="1014" spans="1:6" x14ac:dyDescent="0.3">
      <c r="A1014" s="195"/>
      <c r="B1014" s="172"/>
      <c r="C1014" s="194"/>
      <c r="D1014" s="194"/>
      <c r="E1014" s="194"/>
      <c r="F1014" s="194"/>
    </row>
    <row r="1015" spans="1:6" x14ac:dyDescent="0.3">
      <c r="A1015" s="195"/>
      <c r="B1015" s="172"/>
      <c r="C1015" s="200"/>
      <c r="D1015" s="193"/>
      <c r="E1015" s="193"/>
      <c r="F1015" s="193"/>
    </row>
    <row r="1016" spans="1:6" x14ac:dyDescent="0.3">
      <c r="A1016" s="195"/>
      <c r="B1016" s="172"/>
      <c r="C1016" s="193"/>
      <c r="D1016" s="193"/>
      <c r="E1016" s="193"/>
      <c r="F1016" s="193"/>
    </row>
    <row r="1017" spans="1:6" x14ac:dyDescent="0.3">
      <c r="A1017" s="195"/>
      <c r="B1017" s="172"/>
      <c r="C1017" s="193"/>
      <c r="D1017" s="193"/>
      <c r="E1017" s="193"/>
      <c r="F1017" s="193"/>
    </row>
    <row r="1018" spans="1:6" x14ac:dyDescent="0.3">
      <c r="A1018" s="193"/>
      <c r="B1018" s="201"/>
      <c r="C1018" s="193"/>
      <c r="D1018" s="193"/>
      <c r="E1018" s="193"/>
      <c r="F1018" s="193"/>
    </row>
    <row r="1019" spans="1:6" x14ac:dyDescent="0.3">
      <c r="A1019" s="193"/>
      <c r="B1019" s="193"/>
      <c r="C1019" s="193"/>
      <c r="D1019" s="193"/>
      <c r="E1019" s="193"/>
      <c r="F1019" s="193"/>
    </row>
    <row r="1020" spans="1:6" x14ac:dyDescent="0.3">
      <c r="A1020" s="193"/>
      <c r="B1020" s="193"/>
      <c r="C1020" s="193"/>
      <c r="D1020" s="193"/>
      <c r="E1020" s="193"/>
      <c r="F1020" s="193"/>
    </row>
    <row r="1021" spans="1:6" x14ac:dyDescent="0.3">
      <c r="A1021" s="193"/>
      <c r="B1021" s="193"/>
      <c r="C1021" s="193"/>
      <c r="D1021" s="193"/>
      <c r="E1021" s="193"/>
      <c r="F1021" s="193"/>
    </row>
    <row r="1022" spans="1:6" x14ac:dyDescent="0.3">
      <c r="A1022" s="177"/>
      <c r="B1022" s="172"/>
      <c r="C1022" s="193"/>
      <c r="D1022" s="193"/>
      <c r="E1022" s="193"/>
      <c r="F1022" s="193"/>
    </row>
    <row r="1023" spans="1:6" x14ac:dyDescent="0.3">
      <c r="A1023" s="187"/>
      <c r="B1023" s="172"/>
      <c r="C1023" s="193"/>
      <c r="D1023" s="193"/>
      <c r="E1023" s="193"/>
      <c r="F1023" s="193"/>
    </row>
    <row r="1024" spans="1:6" x14ac:dyDescent="0.3">
      <c r="A1024" s="187"/>
      <c r="B1024" s="172"/>
      <c r="C1024" s="193"/>
      <c r="D1024" s="193"/>
      <c r="E1024" s="193"/>
      <c r="F1024" s="193"/>
    </row>
    <row r="1025" spans="1:6" x14ac:dyDescent="0.3">
      <c r="A1025" s="187"/>
      <c r="B1025" s="172"/>
      <c r="C1025" s="193"/>
      <c r="D1025" s="193"/>
      <c r="E1025" s="193"/>
      <c r="F1025" s="193"/>
    </row>
    <row r="1026" spans="1:6" x14ac:dyDescent="0.3">
      <c r="A1026" s="187"/>
      <c r="B1026" s="172"/>
      <c r="C1026" s="193"/>
      <c r="D1026" s="193"/>
      <c r="E1026" s="193"/>
      <c r="F1026" s="193"/>
    </row>
    <row r="1027" spans="1:6" x14ac:dyDescent="0.3">
      <c r="A1027" s="195"/>
      <c r="B1027" s="172"/>
      <c r="C1027" s="193"/>
      <c r="D1027" s="193"/>
      <c r="E1027" s="193"/>
      <c r="F1027" s="193"/>
    </row>
    <row r="1028" spans="1:6" x14ac:dyDescent="0.3">
      <c r="A1028" s="195"/>
      <c r="B1028" s="172"/>
      <c r="C1028" s="200"/>
      <c r="D1028" s="193"/>
      <c r="E1028" s="193"/>
      <c r="F1028" s="193"/>
    </row>
    <row r="1029" spans="1:6" x14ac:dyDescent="0.3">
      <c r="A1029" s="187"/>
      <c r="B1029" s="172"/>
      <c r="C1029" s="193"/>
      <c r="D1029" s="193"/>
      <c r="E1029" s="193"/>
      <c r="F1029" s="193"/>
    </row>
    <row r="1030" spans="1:6" x14ac:dyDescent="0.3">
      <c r="A1030" s="187"/>
      <c r="B1030" s="172"/>
      <c r="C1030" s="193"/>
      <c r="D1030" s="193"/>
      <c r="E1030" s="193"/>
      <c r="F1030" s="193"/>
    </row>
    <row r="1031" spans="1:6" x14ac:dyDescent="0.3">
      <c r="A1031" s="193"/>
      <c r="B1031" s="201"/>
      <c r="C1031" s="193"/>
      <c r="D1031" s="193"/>
      <c r="E1031" s="193"/>
      <c r="F1031" s="193"/>
    </row>
    <row r="1032" spans="1:6" x14ac:dyDescent="0.3">
      <c r="A1032" s="193"/>
      <c r="B1032" s="193"/>
      <c r="C1032" s="193"/>
      <c r="D1032" s="193"/>
      <c r="E1032" s="193"/>
      <c r="F1032" s="193"/>
    </row>
    <row r="1033" spans="1:6" x14ac:dyDescent="0.3">
      <c r="A1033" s="193"/>
      <c r="B1033" s="193"/>
      <c r="C1033" s="193"/>
      <c r="D1033" s="193"/>
      <c r="E1033" s="193"/>
      <c r="F1033" s="193"/>
    </row>
    <row r="1034" spans="1:6" x14ac:dyDescent="0.3">
      <c r="A1034" s="193"/>
      <c r="B1034" s="193"/>
      <c r="C1034" s="193"/>
      <c r="D1034" s="193"/>
      <c r="E1034" s="193"/>
      <c r="F1034" s="193"/>
    </row>
    <row r="1035" spans="1:6" x14ac:dyDescent="0.3">
      <c r="A1035" s="177"/>
      <c r="B1035" s="172"/>
      <c r="C1035" s="193"/>
      <c r="D1035" s="193"/>
      <c r="E1035" s="193"/>
      <c r="F1035" s="193"/>
    </row>
    <row r="1036" spans="1:6" x14ac:dyDescent="0.3">
      <c r="A1036" s="187"/>
      <c r="B1036" s="172"/>
      <c r="C1036" s="193"/>
      <c r="D1036" s="193"/>
      <c r="E1036" s="193"/>
      <c r="F1036" s="193"/>
    </row>
    <row r="1037" spans="1:6" x14ac:dyDescent="0.3">
      <c r="A1037" s="187"/>
      <c r="B1037" s="172"/>
      <c r="C1037" s="193"/>
      <c r="D1037" s="193"/>
      <c r="E1037" s="193"/>
      <c r="F1037" s="193"/>
    </row>
    <row r="1038" spans="1:6" x14ac:dyDescent="0.3">
      <c r="A1038" s="187"/>
      <c r="B1038" s="172"/>
      <c r="C1038" s="193"/>
      <c r="D1038" s="193"/>
      <c r="E1038" s="193"/>
      <c r="F1038" s="193"/>
    </row>
    <row r="1039" spans="1:6" x14ac:dyDescent="0.3">
      <c r="A1039" s="187"/>
      <c r="B1039" s="172"/>
      <c r="C1039" s="193"/>
      <c r="D1039" s="193"/>
      <c r="E1039" s="193"/>
      <c r="F1039" s="193"/>
    </row>
    <row r="1040" spans="1:6" x14ac:dyDescent="0.3">
      <c r="A1040" s="195"/>
      <c r="B1040" s="172"/>
      <c r="C1040" s="193"/>
      <c r="D1040" s="193"/>
      <c r="E1040" s="193"/>
      <c r="F1040" s="193"/>
    </row>
    <row r="1041" spans="1:6" x14ac:dyDescent="0.3">
      <c r="A1041" s="195"/>
      <c r="B1041" s="172"/>
      <c r="C1041" s="200"/>
      <c r="D1041" s="193"/>
      <c r="E1041" s="193"/>
      <c r="F1041" s="193"/>
    </row>
    <row r="1042" spans="1:6" x14ac:dyDescent="0.3">
      <c r="A1042" s="187"/>
      <c r="B1042" s="172"/>
      <c r="C1042" s="193"/>
      <c r="D1042" s="193"/>
      <c r="E1042" s="193"/>
      <c r="F1042" s="193"/>
    </row>
    <row r="1043" spans="1:6" x14ac:dyDescent="0.3">
      <c r="A1043" s="187"/>
      <c r="B1043" s="172"/>
      <c r="C1043" s="193"/>
      <c r="D1043" s="193"/>
      <c r="E1043" s="193"/>
      <c r="F1043" s="193"/>
    </row>
    <row r="1044" spans="1:6" x14ac:dyDescent="0.3">
      <c r="A1044" s="193"/>
      <c r="B1044" s="201"/>
      <c r="C1044" s="193"/>
      <c r="D1044" s="193"/>
      <c r="E1044" s="193"/>
      <c r="F1044" s="193"/>
    </row>
    <row r="1045" spans="1:6" x14ac:dyDescent="0.3">
      <c r="A1045" s="193"/>
      <c r="B1045" s="193"/>
      <c r="C1045" s="193"/>
      <c r="D1045" s="193"/>
      <c r="E1045" s="193"/>
      <c r="F1045" s="193"/>
    </row>
    <row r="1046" spans="1:6" x14ac:dyDescent="0.3">
      <c r="A1046" s="193"/>
      <c r="B1046" s="193"/>
      <c r="C1046" s="193"/>
      <c r="D1046" s="193"/>
      <c r="E1046" s="193"/>
      <c r="F1046" s="193"/>
    </row>
    <row r="1047" spans="1:6" x14ac:dyDescent="0.3">
      <c r="A1047" s="193"/>
      <c r="B1047" s="193"/>
      <c r="C1047" s="193"/>
      <c r="D1047" s="193"/>
      <c r="E1047" s="193"/>
      <c r="F1047" s="193"/>
    </row>
    <row r="1048" spans="1:6" x14ac:dyDescent="0.3">
      <c r="A1048" s="177"/>
      <c r="B1048" s="177"/>
      <c r="C1048" s="193"/>
      <c r="D1048" s="193"/>
      <c r="E1048" s="193"/>
      <c r="F1048" s="193"/>
    </row>
    <row r="1049" spans="1:6" x14ac:dyDescent="0.3">
      <c r="A1049" s="195"/>
      <c r="B1049" s="172"/>
      <c r="C1049" s="193"/>
      <c r="D1049" s="193"/>
      <c r="E1049" s="193"/>
      <c r="F1049" s="193"/>
    </row>
    <row r="1050" spans="1:6" x14ac:dyDescent="0.3">
      <c r="A1050" s="195"/>
      <c r="B1050" s="172"/>
      <c r="C1050" s="200"/>
      <c r="D1050" s="193"/>
      <c r="E1050" s="193"/>
      <c r="F1050" s="193"/>
    </row>
    <row r="1051" spans="1:6" x14ac:dyDescent="0.3">
      <c r="A1051" s="195"/>
      <c r="B1051" s="172"/>
      <c r="C1051" s="193"/>
      <c r="D1051" s="193"/>
      <c r="E1051" s="193"/>
      <c r="F1051" s="193"/>
    </row>
    <row r="1052" spans="1:6" x14ac:dyDescent="0.3">
      <c r="A1052" s="195"/>
      <c r="B1052" s="172"/>
      <c r="C1052" s="193"/>
      <c r="D1052" s="193"/>
      <c r="E1052" s="193"/>
      <c r="F1052" s="193"/>
    </row>
    <row r="1053" spans="1:6" x14ac:dyDescent="0.3">
      <c r="A1053" s="193"/>
      <c r="B1053" s="201"/>
      <c r="C1053" s="193"/>
      <c r="D1053" s="193"/>
      <c r="E1053" s="193"/>
      <c r="F1053" s="193"/>
    </row>
    <row r="1054" spans="1:6" x14ac:dyDescent="0.3">
      <c r="A1054" s="193"/>
      <c r="B1054" s="193"/>
      <c r="C1054" s="193"/>
      <c r="D1054" s="193"/>
      <c r="E1054" s="193"/>
      <c r="F1054" s="193"/>
    </row>
    <row r="1055" spans="1:6" x14ac:dyDescent="0.3">
      <c r="A1055" s="193"/>
      <c r="B1055" s="193"/>
      <c r="C1055" s="193"/>
      <c r="D1055" s="193"/>
      <c r="E1055" s="193"/>
      <c r="F1055" s="193"/>
    </row>
    <row r="1056" spans="1:6" x14ac:dyDescent="0.3">
      <c r="A1056" s="193"/>
      <c r="B1056" s="193"/>
      <c r="C1056" s="200"/>
      <c r="D1056" s="193"/>
      <c r="E1056" s="193"/>
      <c r="F1056" s="193"/>
    </row>
    <row r="1057" spans="1:6" x14ac:dyDescent="0.3">
      <c r="A1057" s="177"/>
      <c r="B1057" s="177"/>
      <c r="C1057" s="193"/>
      <c r="D1057" s="193"/>
      <c r="E1057" s="193"/>
      <c r="F1057" s="193"/>
    </row>
    <row r="1058" spans="1:6" x14ac:dyDescent="0.3">
      <c r="A1058" s="195"/>
      <c r="B1058" s="172"/>
      <c r="C1058" s="193"/>
      <c r="D1058" s="193"/>
      <c r="E1058" s="193"/>
      <c r="F1058" s="193"/>
    </row>
    <row r="1059" spans="1:6" x14ac:dyDescent="0.3">
      <c r="A1059" s="195"/>
      <c r="B1059" s="201"/>
      <c r="C1059" s="196"/>
      <c r="D1059" s="196"/>
      <c r="E1059" s="196"/>
      <c r="F1059" s="193"/>
    </row>
    <row r="1060" spans="1:6" x14ac:dyDescent="0.3">
      <c r="A1060" s="193"/>
      <c r="B1060" s="193"/>
      <c r="C1060" s="196"/>
      <c r="D1060" s="196"/>
      <c r="E1060" s="196"/>
      <c r="F1060" s="193"/>
    </row>
    <row r="1061" spans="1:6" x14ac:dyDescent="0.3">
      <c r="A1061" s="193"/>
      <c r="B1061" s="193"/>
      <c r="C1061" s="194"/>
      <c r="D1061" s="194"/>
      <c r="E1061" s="194"/>
      <c r="F1061" s="194"/>
    </row>
    <row r="1062" spans="1:6" x14ac:dyDescent="0.3">
      <c r="A1062" s="196"/>
      <c r="B1062" s="196"/>
      <c r="C1062" s="177"/>
      <c r="D1062" s="177"/>
      <c r="E1062" s="202"/>
      <c r="F1062" s="202"/>
    </row>
    <row r="1063" spans="1:6" x14ac:dyDescent="0.3">
      <c r="A1063" s="196"/>
      <c r="B1063" s="196"/>
      <c r="C1063" s="172"/>
      <c r="D1063" s="172"/>
      <c r="E1063" s="202"/>
      <c r="F1063" s="202"/>
    </row>
    <row r="1064" spans="1:6" x14ac:dyDescent="0.3">
      <c r="A1064" s="194"/>
      <c r="B1064" s="194"/>
      <c r="C1064" s="172"/>
      <c r="D1064" s="172"/>
      <c r="E1064" s="202"/>
      <c r="F1064" s="202"/>
    </row>
    <row r="1065" spans="1:6" x14ac:dyDescent="0.3">
      <c r="A1065" s="177"/>
      <c r="B1065" s="177"/>
      <c r="C1065" s="172"/>
      <c r="D1065" s="172"/>
      <c r="E1065" s="202"/>
      <c r="F1065" s="202"/>
    </row>
    <row r="1066" spans="1:6" x14ac:dyDescent="0.3">
      <c r="A1066" s="177"/>
      <c r="B1066" s="172"/>
      <c r="C1066" s="172"/>
      <c r="D1066" s="172"/>
      <c r="E1066" s="202"/>
      <c r="F1066" s="202"/>
    </row>
    <row r="1067" spans="1:6" x14ac:dyDescent="0.3">
      <c r="A1067" s="177"/>
      <c r="B1067" s="172"/>
      <c r="C1067" s="172"/>
      <c r="D1067" s="172"/>
      <c r="E1067" s="202"/>
      <c r="F1067" s="202"/>
    </row>
    <row r="1068" spans="1:6" x14ac:dyDescent="0.3">
      <c r="A1068" s="177"/>
      <c r="B1068" s="172"/>
      <c r="C1068" s="172"/>
      <c r="D1068" s="172"/>
      <c r="E1068" s="202"/>
      <c r="F1068" s="202"/>
    </row>
    <row r="1069" spans="1:6" x14ac:dyDescent="0.3">
      <c r="A1069" s="177"/>
      <c r="B1069" s="172"/>
      <c r="C1069" s="202"/>
      <c r="D1069" s="201"/>
      <c r="E1069" s="200"/>
      <c r="F1069" s="202"/>
    </row>
    <row r="1070" spans="1:6" x14ac:dyDescent="0.3">
      <c r="A1070" s="177"/>
      <c r="B1070" s="172"/>
      <c r="C1070" s="202"/>
      <c r="D1070" s="202"/>
      <c r="E1070" s="202"/>
      <c r="F1070" s="202"/>
    </row>
    <row r="1071" spans="1:6" x14ac:dyDescent="0.3">
      <c r="A1071" s="177"/>
      <c r="B1071" s="172"/>
      <c r="C1071" s="196"/>
      <c r="D1071" s="196"/>
      <c r="E1071" s="196"/>
      <c r="F1071" s="193"/>
    </row>
    <row r="1072" spans="1:6" x14ac:dyDescent="0.3">
      <c r="A1072" s="177"/>
      <c r="B1072" s="177"/>
      <c r="C1072" s="196"/>
      <c r="D1072" s="196"/>
      <c r="E1072" s="196"/>
      <c r="F1072" s="193"/>
    </row>
    <row r="1073" spans="1:6" x14ac:dyDescent="0.3">
      <c r="A1073" s="177"/>
      <c r="B1073" s="177"/>
      <c r="C1073" s="193"/>
      <c r="D1073" s="193"/>
      <c r="E1073" s="193"/>
      <c r="F1073" s="193"/>
    </row>
    <row r="1074" spans="1:6" x14ac:dyDescent="0.3">
      <c r="A1074" s="196"/>
      <c r="B1074" s="196"/>
      <c r="C1074" s="177"/>
      <c r="D1074" s="177"/>
      <c r="E1074" s="194"/>
      <c r="F1074" s="194"/>
    </row>
    <row r="1075" spans="1:6" x14ac:dyDescent="0.3">
      <c r="A1075" s="196"/>
      <c r="B1075" s="196"/>
      <c r="C1075" s="172"/>
      <c r="D1075" s="172"/>
      <c r="E1075" s="194"/>
      <c r="F1075" s="194"/>
    </row>
    <row r="1076" spans="1:6" x14ac:dyDescent="0.3">
      <c r="A1076" s="193"/>
      <c r="B1076" s="193"/>
      <c r="C1076" s="172"/>
      <c r="D1076" s="172"/>
      <c r="E1076" s="194"/>
      <c r="F1076" s="194"/>
    </row>
    <row r="1077" spans="1:6" x14ac:dyDescent="0.3">
      <c r="A1077" s="177"/>
      <c r="B1077" s="177"/>
      <c r="C1077" s="172"/>
      <c r="D1077" s="172"/>
      <c r="E1077" s="194"/>
      <c r="F1077" s="194"/>
    </row>
    <row r="1078" spans="1:6" x14ac:dyDescent="0.3">
      <c r="A1078" s="195"/>
      <c r="B1078" s="172"/>
      <c r="C1078" s="172"/>
      <c r="D1078" s="172"/>
      <c r="E1078" s="194"/>
      <c r="F1078" s="194"/>
    </row>
    <row r="1079" spans="1:6" x14ac:dyDescent="0.3">
      <c r="A1079" s="195"/>
      <c r="B1079" s="172"/>
      <c r="C1079" s="173"/>
      <c r="D1079" s="201"/>
      <c r="E1079" s="200"/>
      <c r="F1079" s="194"/>
    </row>
    <row r="1080" spans="1:6" x14ac:dyDescent="0.3">
      <c r="A1080" s="195"/>
      <c r="B1080" s="172"/>
      <c r="C1080" s="194"/>
      <c r="D1080" s="194"/>
      <c r="E1080" s="194"/>
      <c r="F1080" s="194"/>
    </row>
    <row r="1081" spans="1:6" x14ac:dyDescent="0.3">
      <c r="A1081" s="195"/>
      <c r="B1081" s="172"/>
      <c r="C1081" s="194"/>
      <c r="D1081" s="194"/>
      <c r="E1081" s="194"/>
      <c r="F1081" s="194"/>
    </row>
    <row r="1082" spans="1:6" x14ac:dyDescent="0.3">
      <c r="A1082" s="194"/>
      <c r="B1082" s="174"/>
      <c r="C1082" s="194"/>
      <c r="D1082" s="194"/>
      <c r="E1082" s="194"/>
      <c r="F1082" s="194"/>
    </row>
    <row r="1083" spans="1:6" x14ac:dyDescent="0.3">
      <c r="A1083" s="194"/>
      <c r="B1083" s="194"/>
      <c r="C1083" s="194"/>
      <c r="D1083" s="194"/>
      <c r="E1083" s="194"/>
      <c r="F1083" s="194"/>
    </row>
    <row r="1084" spans="1:6" x14ac:dyDescent="0.3">
      <c r="A1084" s="193"/>
      <c r="B1084" s="193"/>
      <c r="C1084" s="201"/>
      <c r="D1084" s="200"/>
      <c r="E1084" s="194"/>
      <c r="F1084" s="194"/>
    </row>
    <row r="1085" spans="1:6" x14ac:dyDescent="0.3">
      <c r="A1085" s="193"/>
      <c r="B1085" s="193"/>
      <c r="C1085" s="194"/>
      <c r="D1085" s="194"/>
      <c r="E1085" s="194"/>
      <c r="F1085" s="194"/>
    </row>
    <row r="1086" spans="1:6" x14ac:dyDescent="0.3">
      <c r="A1086" s="193"/>
      <c r="B1086" s="193"/>
      <c r="C1086" s="194"/>
      <c r="D1086" s="194"/>
      <c r="E1086" s="194"/>
      <c r="F1086" s="194"/>
    </row>
    <row r="1087" spans="1:6" x14ac:dyDescent="0.3">
      <c r="A1087" s="177"/>
      <c r="B1087" s="177"/>
      <c r="C1087" s="194"/>
      <c r="D1087" s="194"/>
      <c r="E1087" s="194"/>
      <c r="F1087" s="194"/>
    </row>
    <row r="1088" spans="1:6" x14ac:dyDescent="0.3">
      <c r="A1088" s="193"/>
      <c r="B1088" s="193"/>
      <c r="C1088" s="194"/>
      <c r="D1088" s="194"/>
      <c r="E1088" s="194"/>
      <c r="F1088" s="194"/>
    </row>
    <row r="1089" spans="1:10" x14ac:dyDescent="0.3">
      <c r="A1089" s="193"/>
      <c r="B1089" s="193"/>
      <c r="C1089" s="201"/>
      <c r="D1089" s="200"/>
      <c r="E1089" s="194"/>
      <c r="F1089" s="194"/>
    </row>
    <row r="1090" spans="1:10" x14ac:dyDescent="0.3">
      <c r="A1090" s="193"/>
      <c r="B1090" s="193"/>
      <c r="C1090" s="194"/>
      <c r="D1090" s="194"/>
      <c r="E1090" s="194"/>
      <c r="F1090" s="194"/>
    </row>
    <row r="1091" spans="1:10" x14ac:dyDescent="0.3">
      <c r="A1091" s="193"/>
      <c r="B1091" s="193"/>
      <c r="C1091" s="194"/>
      <c r="D1091" s="194"/>
      <c r="E1091" s="194"/>
      <c r="F1091" s="194"/>
    </row>
    <row r="1092" spans="1:10" x14ac:dyDescent="0.3">
      <c r="A1092" s="177"/>
      <c r="B1092" s="177"/>
      <c r="C1092" s="203"/>
      <c r="D1092" s="203"/>
      <c r="E1092" s="203"/>
      <c r="F1092" s="204"/>
      <c r="G1092" s="170"/>
      <c r="H1092" s="170"/>
      <c r="I1092" s="170"/>
      <c r="J1092" s="170"/>
    </row>
    <row r="1093" spans="1:10" x14ac:dyDescent="0.3">
      <c r="A1093" s="194"/>
      <c r="B1093" s="194"/>
      <c r="C1093" s="194"/>
      <c r="D1093" s="194"/>
      <c r="E1093" s="194"/>
      <c r="F1093" s="194"/>
    </row>
    <row r="1094" spans="1:10" x14ac:dyDescent="0.3">
      <c r="A1094" s="193"/>
      <c r="B1094" s="193"/>
      <c r="C1094" s="194"/>
      <c r="D1094" s="194"/>
      <c r="E1094" s="194"/>
      <c r="F1094" s="194"/>
    </row>
    <row r="1095" spans="1:10" x14ac:dyDescent="0.3">
      <c r="A1095" s="203"/>
      <c r="B1095" s="203"/>
      <c r="C1095" s="194"/>
      <c r="D1095" s="194"/>
      <c r="E1095" s="194"/>
      <c r="F1095" s="194"/>
    </row>
    <row r="1096" spans="1:10" x14ac:dyDescent="0.3">
      <c r="A1096" s="194"/>
      <c r="B1096" s="194"/>
      <c r="C1096" s="194"/>
      <c r="D1096" s="194"/>
      <c r="E1096" s="194"/>
      <c r="F1096" s="194"/>
    </row>
    <row r="1097" spans="1:10" x14ac:dyDescent="0.3">
      <c r="A1097" s="177"/>
      <c r="B1097" s="177"/>
      <c r="C1097" s="194"/>
      <c r="D1097" s="194"/>
      <c r="E1097" s="194"/>
      <c r="F1097" s="194"/>
    </row>
    <row r="1098" spans="1:10" x14ac:dyDescent="0.3">
      <c r="A1098" s="177"/>
      <c r="B1098" s="172"/>
      <c r="C1098" s="200"/>
      <c r="D1098" s="194"/>
      <c r="E1098" s="194"/>
      <c r="F1098" s="194"/>
    </row>
    <row r="1099" spans="1:10" x14ac:dyDescent="0.3">
      <c r="A1099" s="195"/>
      <c r="B1099" s="172"/>
      <c r="C1099" s="173"/>
      <c r="D1099" s="194"/>
      <c r="E1099" s="194"/>
      <c r="F1099" s="194"/>
    </row>
    <row r="1100" spans="1:10" x14ac:dyDescent="0.3">
      <c r="A1100" s="195"/>
      <c r="B1100" s="172"/>
      <c r="C1100" s="193"/>
      <c r="D1100" s="193"/>
      <c r="E1100" s="193"/>
      <c r="F1100" s="193"/>
    </row>
    <row r="1101" spans="1:10" x14ac:dyDescent="0.3">
      <c r="A1101" s="197"/>
      <c r="B1101" s="201"/>
      <c r="C1101" s="194"/>
      <c r="D1101" s="194"/>
      <c r="E1101" s="194"/>
      <c r="F1101" s="194"/>
    </row>
    <row r="1102" spans="1:10" x14ac:dyDescent="0.3">
      <c r="A1102" s="197"/>
      <c r="B1102" s="174"/>
      <c r="C1102" s="201"/>
      <c r="D1102" s="200"/>
      <c r="E1102" s="194"/>
      <c r="F1102" s="194"/>
    </row>
    <row r="1103" spans="1:10" x14ac:dyDescent="0.3">
      <c r="A1103" s="193"/>
      <c r="B1103" s="193"/>
      <c r="C1103" s="194"/>
      <c r="D1103" s="194"/>
      <c r="E1103" s="194"/>
      <c r="F1103" s="194"/>
    </row>
    <row r="1104" spans="1:10" x14ac:dyDescent="0.3">
      <c r="A1104" s="194"/>
      <c r="B1104" s="194"/>
      <c r="C1104" s="203"/>
      <c r="D1104" s="194"/>
      <c r="E1104" s="194"/>
      <c r="F1104" s="194"/>
    </row>
    <row r="1105" spans="1:6" x14ac:dyDescent="0.3">
      <c r="A1105" s="177"/>
      <c r="B1105" s="177"/>
      <c r="C1105" s="194"/>
      <c r="D1105" s="194"/>
      <c r="E1105" s="194"/>
      <c r="F1105" s="194"/>
    </row>
    <row r="1106" spans="1:6" x14ac:dyDescent="0.3">
      <c r="A1106" s="177"/>
      <c r="B1106" s="172"/>
      <c r="C1106" s="194"/>
      <c r="D1106" s="194"/>
      <c r="E1106" s="194"/>
      <c r="F1106" s="194"/>
    </row>
    <row r="1107" spans="1:6" x14ac:dyDescent="0.3">
      <c r="A1107" s="203"/>
      <c r="B1107" s="203"/>
      <c r="C1107" s="194"/>
      <c r="D1107" s="194"/>
      <c r="E1107" s="194"/>
      <c r="F1107" s="194"/>
    </row>
    <row r="1108" spans="1:6" x14ac:dyDescent="0.3">
      <c r="A1108" s="194"/>
      <c r="B1108" s="194"/>
      <c r="C1108" s="194"/>
      <c r="D1108" s="194"/>
      <c r="E1108" s="194"/>
      <c r="F1108" s="194"/>
    </row>
    <row r="1109" spans="1:6" x14ac:dyDescent="0.3">
      <c r="A1109" s="177"/>
      <c r="B1109" s="177"/>
      <c r="C1109" s="200"/>
      <c r="D1109" s="194"/>
      <c r="E1109" s="194"/>
      <c r="F1109" s="194"/>
    </row>
    <row r="1110" spans="1:6" x14ac:dyDescent="0.3">
      <c r="A1110" s="177"/>
      <c r="B1110" s="172"/>
      <c r="C1110" s="194"/>
      <c r="D1110" s="194"/>
      <c r="E1110" s="194"/>
      <c r="F1110" s="194"/>
    </row>
    <row r="1111" spans="1:6" x14ac:dyDescent="0.3">
      <c r="A1111" s="177"/>
      <c r="B1111" s="172"/>
      <c r="C1111" s="193"/>
      <c r="D1111" s="193"/>
      <c r="E1111" s="194"/>
      <c r="F1111" s="194"/>
    </row>
    <row r="1112" spans="1:6" x14ac:dyDescent="0.3">
      <c r="A1112" s="197"/>
      <c r="B1112" s="201"/>
      <c r="C1112" s="194"/>
      <c r="D1112" s="194"/>
      <c r="E1112" s="194"/>
      <c r="F1112" s="194"/>
    </row>
    <row r="1113" spans="1:6" x14ac:dyDescent="0.3">
      <c r="A1113" s="195"/>
      <c r="B1113" s="172"/>
      <c r="C1113" s="201"/>
      <c r="D1113" s="200"/>
      <c r="E1113" s="194"/>
      <c r="F1113" s="194"/>
    </row>
    <row r="1114" spans="1:6" x14ac:dyDescent="0.3">
      <c r="A1114" s="193"/>
      <c r="B1114" s="193"/>
      <c r="C1114" s="194"/>
      <c r="D1114" s="194"/>
      <c r="E1114" s="194"/>
      <c r="F1114" s="194"/>
    </row>
    <row r="1115" spans="1:6" x14ac:dyDescent="0.3">
      <c r="A1115" s="194"/>
      <c r="B1115" s="194"/>
      <c r="C1115" s="193"/>
      <c r="D1115" s="193"/>
      <c r="E1115" s="193"/>
      <c r="F1115" s="193"/>
    </row>
    <row r="1116" spans="1:6" x14ac:dyDescent="0.3">
      <c r="A1116" s="177"/>
      <c r="B1116" s="177"/>
      <c r="C1116" s="194"/>
      <c r="D1116" s="194"/>
      <c r="E1116" s="194"/>
      <c r="F1116" s="194"/>
    </row>
    <row r="1117" spans="1:6" x14ac:dyDescent="0.3">
      <c r="A1117" s="194"/>
      <c r="B1117" s="194"/>
      <c r="C1117" s="194"/>
      <c r="D1117" s="194"/>
      <c r="E1117" s="194"/>
      <c r="F1117" s="194"/>
    </row>
    <row r="1118" spans="1:6" x14ac:dyDescent="0.3">
      <c r="A1118" s="193"/>
      <c r="B1118" s="193"/>
      <c r="C1118" s="194"/>
      <c r="D1118" s="194"/>
      <c r="E1118" s="194"/>
      <c r="F1118" s="194"/>
    </row>
    <row r="1119" spans="1:6" x14ac:dyDescent="0.3">
      <c r="A1119" s="194"/>
      <c r="B1119" s="194"/>
      <c r="C1119" s="194"/>
      <c r="D1119" s="194"/>
      <c r="E1119" s="194"/>
      <c r="F1119" s="194"/>
    </row>
    <row r="1120" spans="1:6" x14ac:dyDescent="0.3">
      <c r="A1120" s="177"/>
      <c r="B1120" s="177"/>
      <c r="C1120" s="194"/>
      <c r="D1120" s="194"/>
      <c r="E1120" s="194"/>
      <c r="F1120" s="194"/>
    </row>
    <row r="1121" spans="1:6" x14ac:dyDescent="0.3">
      <c r="A1121" s="177"/>
      <c r="B1121" s="172"/>
      <c r="C1121" s="200"/>
      <c r="D1121" s="194"/>
      <c r="E1121" s="194"/>
      <c r="F1121" s="194"/>
    </row>
    <row r="1122" spans="1:6" x14ac:dyDescent="0.3">
      <c r="A1122" s="177"/>
      <c r="B1122" s="172"/>
      <c r="C1122" s="194"/>
      <c r="D1122" s="194"/>
      <c r="E1122" s="194"/>
      <c r="F1122" s="194"/>
    </row>
    <row r="1123" spans="1:6" x14ac:dyDescent="0.3">
      <c r="A1123" s="177"/>
      <c r="B1123" s="172"/>
      <c r="C1123" s="193"/>
      <c r="D1123" s="193"/>
      <c r="E1123" s="193"/>
      <c r="F1123" s="194"/>
    </row>
    <row r="1124" spans="1:6" x14ac:dyDescent="0.3">
      <c r="A1124" s="197"/>
      <c r="B1124" s="201"/>
      <c r="C1124" s="194"/>
      <c r="D1124" s="194"/>
      <c r="E1124" s="194"/>
      <c r="F1124" s="194"/>
    </row>
    <row r="1125" spans="1:6" x14ac:dyDescent="0.3">
      <c r="A1125" s="195"/>
      <c r="B1125" s="172"/>
      <c r="C1125" s="201"/>
      <c r="D1125" s="200"/>
      <c r="E1125" s="194"/>
      <c r="F1125" s="194"/>
    </row>
    <row r="1126" spans="1:6" x14ac:dyDescent="0.3">
      <c r="A1126" s="193"/>
      <c r="B1126" s="193"/>
      <c r="C1126" s="194"/>
      <c r="D1126" s="194"/>
      <c r="E1126" s="194"/>
      <c r="F1126" s="194"/>
    </row>
    <row r="1127" spans="1:6" x14ac:dyDescent="0.3">
      <c r="A1127" s="195"/>
      <c r="B1127" s="180"/>
      <c r="C1127" s="193"/>
      <c r="D1127" s="193"/>
      <c r="E1127" s="193"/>
      <c r="F1127" s="193"/>
    </row>
    <row r="1128" spans="1:6" x14ac:dyDescent="0.3">
      <c r="A1128" s="177"/>
      <c r="B1128" s="177"/>
      <c r="C1128" s="173"/>
      <c r="D1128" s="194"/>
      <c r="E1128" s="194"/>
      <c r="F1128" s="194"/>
    </row>
    <row r="1129" spans="1:6" x14ac:dyDescent="0.3">
      <c r="A1129" s="195"/>
      <c r="B1129" s="172"/>
      <c r="C1129" s="173"/>
      <c r="D1129" s="194"/>
      <c r="E1129" s="194"/>
      <c r="F1129" s="194"/>
    </row>
    <row r="1130" spans="1:6" x14ac:dyDescent="0.3">
      <c r="A1130" s="193"/>
      <c r="B1130" s="193"/>
      <c r="C1130" s="173"/>
      <c r="D1130" s="194"/>
      <c r="E1130" s="194"/>
      <c r="F1130" s="194"/>
    </row>
    <row r="1131" spans="1:6" x14ac:dyDescent="0.3">
      <c r="A1131" s="194"/>
      <c r="B1131" s="174"/>
      <c r="C1131" s="173"/>
      <c r="D1131" s="194"/>
      <c r="E1131" s="194"/>
      <c r="F1131" s="194"/>
    </row>
    <row r="1132" spans="1:6" x14ac:dyDescent="0.3">
      <c r="A1132" s="177"/>
      <c r="B1132" s="177"/>
      <c r="C1132" s="173"/>
      <c r="D1132" s="194"/>
      <c r="E1132" s="194"/>
      <c r="F1132" s="194"/>
    </row>
    <row r="1133" spans="1:6" x14ac:dyDescent="0.3">
      <c r="A1133" s="177"/>
      <c r="B1133" s="172"/>
      <c r="C1133" s="173"/>
      <c r="D1133" s="194"/>
      <c r="E1133" s="194"/>
      <c r="F1133" s="194"/>
    </row>
    <row r="1134" spans="1:6" x14ac:dyDescent="0.3">
      <c r="A1134" s="177"/>
      <c r="B1134" s="172"/>
      <c r="C1134" s="173"/>
      <c r="D1134" s="194"/>
      <c r="E1134" s="194"/>
      <c r="F1134" s="194"/>
    </row>
    <row r="1135" spans="1:6" x14ac:dyDescent="0.3">
      <c r="A1135" s="177"/>
      <c r="B1135" s="172"/>
      <c r="C1135" s="173"/>
      <c r="D1135" s="194"/>
      <c r="E1135" s="194"/>
      <c r="F1135" s="194"/>
    </row>
    <row r="1136" spans="1:6" x14ac:dyDescent="0.3">
      <c r="A1136" s="177"/>
      <c r="B1136" s="172"/>
      <c r="C1136" s="193"/>
      <c r="D1136" s="193"/>
      <c r="E1136" s="193"/>
      <c r="F1136" s="193"/>
    </row>
    <row r="1137" spans="1:6" x14ac:dyDescent="0.3">
      <c r="A1137" s="195"/>
      <c r="B1137" s="172"/>
      <c r="C1137" s="173"/>
      <c r="D1137" s="194"/>
      <c r="E1137" s="194"/>
      <c r="F1137" s="194"/>
    </row>
    <row r="1138" spans="1:6" x14ac:dyDescent="0.3">
      <c r="A1138" s="195"/>
      <c r="B1138" s="172"/>
      <c r="C1138" s="200"/>
      <c r="D1138" s="194"/>
      <c r="E1138" s="194"/>
      <c r="F1138" s="194"/>
    </row>
  </sheetData>
  <mergeCells count="177">
    <mergeCell ref="A82:F82"/>
    <mergeCell ref="G82:G83"/>
    <mergeCell ref="H82:H83"/>
    <mergeCell ref="C92:C93"/>
    <mergeCell ref="F92:F93"/>
    <mergeCell ref="A92:A93"/>
    <mergeCell ref="A144:A147"/>
    <mergeCell ref="D83:E83"/>
    <mergeCell ref="A84:A91"/>
    <mergeCell ref="C84:C90"/>
    <mergeCell ref="F84:F91"/>
    <mergeCell ref="C109:C110"/>
    <mergeCell ref="G109:G110"/>
    <mergeCell ref="H109:H110"/>
    <mergeCell ref="A133:A139"/>
    <mergeCell ref="C133:C138"/>
    <mergeCell ref="D133:D139"/>
    <mergeCell ref="G133:G139"/>
    <mergeCell ref="A129:E129"/>
    <mergeCell ref="A131:D131"/>
    <mergeCell ref="E132:F132"/>
    <mergeCell ref="A109:A110"/>
    <mergeCell ref="F109:F110"/>
    <mergeCell ref="A111:A114"/>
    <mergeCell ref="J170:J173"/>
    <mergeCell ref="K170:K173"/>
    <mergeCell ref="I156:I159"/>
    <mergeCell ref="J156:J159"/>
    <mergeCell ref="K156:K159"/>
    <mergeCell ref="A160:A163"/>
    <mergeCell ref="C160:C163"/>
    <mergeCell ref="D160:D163"/>
    <mergeCell ref="G160:G163"/>
    <mergeCell ref="H160:H163"/>
    <mergeCell ref="I170:I173"/>
    <mergeCell ref="A156:A159"/>
    <mergeCell ref="C156:C159"/>
    <mergeCell ref="D156:D159"/>
    <mergeCell ref="G156:G159"/>
    <mergeCell ref="H156:H159"/>
    <mergeCell ref="G170:G173"/>
    <mergeCell ref="H170:H173"/>
    <mergeCell ref="J174:J177"/>
    <mergeCell ref="K174:K177"/>
    <mergeCell ref="A174:A177"/>
    <mergeCell ref="C174:C177"/>
    <mergeCell ref="D174:D177"/>
    <mergeCell ref="I160:I163"/>
    <mergeCell ref="A192:A201"/>
    <mergeCell ref="I178:I187"/>
    <mergeCell ref="G148:G151"/>
    <mergeCell ref="H148:H151"/>
    <mergeCell ref="I152:I155"/>
    <mergeCell ref="I174:I177"/>
    <mergeCell ref="G174:G177"/>
    <mergeCell ref="H174:H177"/>
    <mergeCell ref="J178:J187"/>
    <mergeCell ref="K178:K187"/>
    <mergeCell ref="A178:A187"/>
    <mergeCell ref="C178:C187"/>
    <mergeCell ref="D178:D187"/>
    <mergeCell ref="G178:G187"/>
    <mergeCell ref="H178:H187"/>
    <mergeCell ref="I148:I151"/>
    <mergeCell ref="J148:J151"/>
    <mergeCell ref="K148:K151"/>
    <mergeCell ref="D152:D155"/>
    <mergeCell ref="G152:G155"/>
    <mergeCell ref="H152:H155"/>
    <mergeCell ref="C111:C114"/>
    <mergeCell ref="F111:F114"/>
    <mergeCell ref="A97:A99"/>
    <mergeCell ref="A103:A105"/>
    <mergeCell ref="C103:C105"/>
    <mergeCell ref="F103:F105"/>
    <mergeCell ref="G140:G143"/>
    <mergeCell ref="H140:H143"/>
    <mergeCell ref="C144:C147"/>
    <mergeCell ref="D144:D147"/>
    <mergeCell ref="G144:G147"/>
    <mergeCell ref="H144:H147"/>
    <mergeCell ref="A148:A151"/>
    <mergeCell ref="C148:C151"/>
    <mergeCell ref="A94:A96"/>
    <mergeCell ref="C94:C96"/>
    <mergeCell ref="F94:F96"/>
    <mergeCell ref="A106:A107"/>
    <mergeCell ref="C106:C107"/>
    <mergeCell ref="F106:F107"/>
    <mergeCell ref="A100:A102"/>
    <mergeCell ref="C100:C102"/>
    <mergeCell ref="F100:F102"/>
    <mergeCell ref="C97:C99"/>
    <mergeCell ref="F97:F99"/>
    <mergeCell ref="G202:G205"/>
    <mergeCell ref="H202:H205"/>
    <mergeCell ref="I188:I191"/>
    <mergeCell ref="J188:J191"/>
    <mergeCell ref="K188:K191"/>
    <mergeCell ref="C188:C191"/>
    <mergeCell ref="D188:D191"/>
    <mergeCell ref="G188:G191"/>
    <mergeCell ref="H188:H191"/>
    <mergeCell ref="I202:I205"/>
    <mergeCell ref="J202:J205"/>
    <mergeCell ref="K202:K205"/>
    <mergeCell ref="C202:C205"/>
    <mergeCell ref="C192:C201"/>
    <mergeCell ref="D192:D201"/>
    <mergeCell ref="G192:G201"/>
    <mergeCell ref="H192:H201"/>
    <mergeCell ref="I192:I201"/>
    <mergeCell ref="J192:J201"/>
    <mergeCell ref="K192:K201"/>
    <mergeCell ref="K144:K147"/>
    <mergeCell ref="J133:J139"/>
    <mergeCell ref="K133:K139"/>
    <mergeCell ref="G165:G166"/>
    <mergeCell ref="H165:H166"/>
    <mergeCell ref="G167:G169"/>
    <mergeCell ref="H167:H169"/>
    <mergeCell ref="I167:I169"/>
    <mergeCell ref="J167:J169"/>
    <mergeCell ref="I165:I166"/>
    <mergeCell ref="J165:J166"/>
    <mergeCell ref="J160:J163"/>
    <mergeCell ref="K160:K163"/>
    <mergeCell ref="J144:J147"/>
    <mergeCell ref="K140:K143"/>
    <mergeCell ref="H133:H139"/>
    <mergeCell ref="I144:I147"/>
    <mergeCell ref="J140:J143"/>
    <mergeCell ref="J152:J155"/>
    <mergeCell ref="K152:K155"/>
    <mergeCell ref="I133:I139"/>
    <mergeCell ref="I140:I143"/>
    <mergeCell ref="A1:K1"/>
    <mergeCell ref="A2:K2"/>
    <mergeCell ref="A3:K3"/>
    <mergeCell ref="A4:K4"/>
    <mergeCell ref="A6:K6"/>
    <mergeCell ref="A78:F78"/>
    <mergeCell ref="A65:D65"/>
    <mergeCell ref="A42:D42"/>
    <mergeCell ref="C58:E58"/>
    <mergeCell ref="A8:D8"/>
    <mergeCell ref="C12:E12"/>
    <mergeCell ref="A14:D14"/>
    <mergeCell ref="C40:E40"/>
    <mergeCell ref="B72:F72"/>
    <mergeCell ref="A60:D60"/>
    <mergeCell ref="C63:E63"/>
    <mergeCell ref="A74:D74"/>
    <mergeCell ref="A209:D209"/>
    <mergeCell ref="A225:D225"/>
    <mergeCell ref="A125:A128"/>
    <mergeCell ref="C125:C128"/>
    <mergeCell ref="F125:F128"/>
    <mergeCell ref="A115:A124"/>
    <mergeCell ref="C115:C124"/>
    <mergeCell ref="F115:F124"/>
    <mergeCell ref="D148:D151"/>
    <mergeCell ref="A206:F206"/>
    <mergeCell ref="A202:A205"/>
    <mergeCell ref="D202:D205"/>
    <mergeCell ref="A221:A223"/>
    <mergeCell ref="A140:A143"/>
    <mergeCell ref="D140:D143"/>
    <mergeCell ref="A188:A191"/>
    <mergeCell ref="D170:D173"/>
    <mergeCell ref="A170:A173"/>
    <mergeCell ref="C170:C173"/>
    <mergeCell ref="A152:A155"/>
    <mergeCell ref="C152:C155"/>
    <mergeCell ref="A165:A169"/>
    <mergeCell ref="C167:C169"/>
    <mergeCell ref="C140:C142"/>
  </mergeCells>
  <phoneticPr fontId="49" type="noConversion"/>
  <printOptions horizontalCentered="1"/>
  <pageMargins left="0" right="0" top="0.39370078740157483" bottom="0" header="0" footer="0"/>
  <pageSetup paperSize="9" scale="60" orientation="landscape" r:id="rId1"/>
  <rowBreaks count="5" manualBreakCount="5">
    <brk id="41" max="10" man="1"/>
    <brk id="81" max="10" man="1"/>
    <brk id="129" max="10" man="1"/>
    <brk id="177" max="10" man="1"/>
    <brk id="226"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6</vt:i4>
      </vt:variant>
    </vt:vector>
  </HeadingPairs>
  <TitlesOfParts>
    <vt:vector size="12" baseType="lpstr">
      <vt:lpstr>PLANILHA ORÇAMENTARIA</vt:lpstr>
      <vt:lpstr>MC II</vt:lpstr>
      <vt:lpstr>CFF</vt:lpstr>
      <vt:lpstr>COMP.CUSTO</vt:lpstr>
      <vt:lpstr>COTAÇÕES</vt:lpstr>
      <vt:lpstr>ANEXO MC ESTRUTURA COMPLEMENTAR</vt:lpstr>
      <vt:lpstr>'ANEXO MC ESTRUTURA COMPLEMENTAR'!Area_de_impressao</vt:lpstr>
      <vt:lpstr>CFF!Area_de_impressao</vt:lpstr>
      <vt:lpstr>COMP.CUSTO!Area_de_impressao</vt:lpstr>
      <vt:lpstr>COTAÇÕES!Area_de_impressao</vt:lpstr>
      <vt:lpstr>'MC II'!Area_de_impressao</vt:lpstr>
      <vt:lpstr>'PLANILHA ORÇAMENTARIA'!Area_de_impressao</vt:lpstr>
    </vt:vector>
  </TitlesOfParts>
  <Company>Setop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Setop</dc:creator>
  <cp:lastModifiedBy>PRISCILA DE PAULA</cp:lastModifiedBy>
  <cp:lastPrinted>2024-11-27T12:35:08Z</cp:lastPrinted>
  <dcterms:created xsi:type="dcterms:W3CDTF">2006-09-22T13:55:22Z</dcterms:created>
  <dcterms:modified xsi:type="dcterms:W3CDTF">2024-11-27T12:35:26Z</dcterms:modified>
</cp:coreProperties>
</file>